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heshiftpr0ject.sharepoint.com/sites/TSP/Projets/01 - Projets terminés/PTEF/10 - Indus LMR/100 - Mise au propre modèles/Modèles à publier/"/>
    </mc:Choice>
  </mc:AlternateContent>
  <xr:revisionPtr revIDLastSave="386" documentId="13_ncr:1_{BC6A45B1-AC0E-420D-945B-68AAA7C9F75C}" xr6:coauthVersionLast="47" xr6:coauthVersionMax="47" xr10:uidLastSave="{6EB1D75A-BECC-44B5-8555-DDF175283855}"/>
  <bookViews>
    <workbookView xWindow="-120" yWindow="-15870" windowWidth="25440" windowHeight="15270" tabRatio="827" xr2:uid="{91C5F0DB-96EE-4AE5-9313-3040EDC1D468}"/>
  </bookViews>
  <sheets>
    <sheet name="Lisez-moi" sheetId="19" r:id="rId1"/>
    <sheet name="Filière Ciment" sheetId="10" r:id="rId2"/>
    <sheet name="Filière Béton" sheetId="12" r:id="rId3"/>
    <sheet name="Acier" sheetId="15" r:id="rId4"/>
    <sheet name="Données ACV béton" sheetId="16" r:id="rId5"/>
    <sheet name="Ciments &amp; clinker" sheetId="17" r:id="rId6"/>
    <sheet name="Logement" sheetId="14" r:id="rId7"/>
    <sheet name="Part de marché béton" sheetId="18" r:id="rId8"/>
    <sheet name="Sources"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0" l="1"/>
  <c r="I25" i="10"/>
  <c r="C8" i="12"/>
  <c r="F11" i="14" l="1"/>
  <c r="F12" i="14"/>
  <c r="D12" i="14"/>
  <c r="D11" i="14"/>
  <c r="F15" i="18"/>
  <c r="D15" i="18"/>
  <c r="C29" i="14"/>
  <c r="D29" i="14"/>
  <c r="D31" i="14" s="1"/>
  <c r="D36" i="14"/>
  <c r="D38" i="14" s="1"/>
  <c r="G20" i="14"/>
  <c r="G19" i="14"/>
  <c r="C31" i="14" l="1"/>
  <c r="C38" i="14"/>
  <c r="D10" i="18" l="1"/>
  <c r="J6" i="16" l="1"/>
  <c r="J9" i="16" s="1"/>
  <c r="Q6" i="16"/>
  <c r="Q9" i="16" s="1"/>
  <c r="P6" i="16"/>
  <c r="P9" i="16" s="1"/>
  <c r="O6" i="16"/>
  <c r="O9" i="16" s="1"/>
  <c r="N6" i="16"/>
  <c r="N9" i="16" s="1"/>
  <c r="M6" i="16"/>
  <c r="M9" i="16" s="1"/>
  <c r="L6" i="16"/>
  <c r="L9" i="16" s="1"/>
  <c r="K6" i="16"/>
  <c r="K9" i="16" s="1"/>
  <c r="I6" i="16"/>
  <c r="I9" i="16" s="1"/>
  <c r="H9" i="12"/>
  <c r="I19" i="12"/>
  <c r="E28" i="18" l="1"/>
  <c r="G28" i="18" s="1"/>
  <c r="E22" i="18"/>
  <c r="G22" i="18"/>
  <c r="C22" i="18"/>
  <c r="H13" i="18" l="1"/>
  <c r="H14" i="18"/>
  <c r="H12" i="18"/>
  <c r="H9" i="18" l="1"/>
  <c r="H8" i="18"/>
  <c r="H7" i="18"/>
  <c r="H28" i="18" l="1"/>
  <c r="H22" i="18"/>
  <c r="F30" i="18"/>
  <c r="F28" i="18"/>
  <c r="F22" i="18"/>
  <c r="F24" i="18"/>
  <c r="G24" i="18"/>
  <c r="H24" i="18" s="1"/>
  <c r="G30" i="18"/>
  <c r="H30" i="18" s="1"/>
  <c r="H15" i="18"/>
  <c r="H10" i="18"/>
  <c r="E8" i="12" l="1"/>
  <c r="D8" i="12"/>
  <c r="D24" i="17" l="1"/>
  <c r="C9" i="10" l="1"/>
  <c r="I23" i="12" l="1"/>
  <c r="C17" i="17" l="1"/>
  <c r="C32" i="17"/>
  <c r="C31" i="17"/>
  <c r="D15" i="17"/>
  <c r="C23" i="17"/>
  <c r="D23" i="17" s="1"/>
  <c r="D22" i="17"/>
  <c r="C22" i="17"/>
  <c r="D32" i="17"/>
  <c r="D31" i="17"/>
  <c r="C28" i="17"/>
  <c r="D28" i="17" s="1"/>
  <c r="D34" i="17" s="1"/>
  <c r="D30" i="17"/>
  <c r="C30" i="17"/>
  <c r="D29" i="17"/>
  <c r="C29" i="17"/>
  <c r="D21" i="17"/>
  <c r="D20" i="17"/>
  <c r="C21" i="17"/>
  <c r="C20" i="17"/>
  <c r="C19" i="17"/>
  <c r="D19" i="17" s="1"/>
  <c r="I18" i="10"/>
  <c r="H18" i="10"/>
  <c r="H15" i="10"/>
  <c r="I13" i="10"/>
  <c r="I15" i="10" s="1"/>
  <c r="H13" i="10"/>
  <c r="I21" i="10"/>
  <c r="I21" i="12" s="1"/>
  <c r="D33" i="17" l="1"/>
  <c r="C34" i="17"/>
  <c r="C33" i="17" s="1"/>
  <c r="H10" i="10" l="1"/>
  <c r="D9" i="17"/>
  <c r="D26" i="17"/>
  <c r="E9" i="10" s="1"/>
  <c r="E10" i="10" s="1"/>
  <c r="C26" i="17"/>
  <c r="C25" i="17" s="1"/>
  <c r="D6" i="17"/>
  <c r="I11" i="10" s="1"/>
  <c r="C7" i="16"/>
  <c r="C4" i="16"/>
  <c r="C6" i="16" s="1"/>
  <c r="C16" i="16" l="1"/>
  <c r="F5" i="16"/>
  <c r="I26" i="10"/>
  <c r="I24" i="10"/>
  <c r="F4" i="16"/>
  <c r="H17" i="12" s="1"/>
  <c r="I17" i="12" s="1"/>
  <c r="C9" i="16"/>
  <c r="H12" i="12" s="1"/>
  <c r="F3" i="16" l="1"/>
  <c r="H16" i="12" s="1"/>
  <c r="I12" i="12"/>
  <c r="H13" i="12"/>
  <c r="I13" i="12" l="1"/>
  <c r="I14" i="12" s="1"/>
  <c r="H14" i="12"/>
  <c r="D4" i="15" l="1"/>
  <c r="I9" i="12" s="1"/>
  <c r="C4" i="15"/>
  <c r="H8" i="12" l="1"/>
  <c r="H6" i="10"/>
  <c r="I20" i="10" l="1"/>
  <c r="I22" i="12"/>
  <c r="E8" i="10"/>
  <c r="D8" i="10"/>
  <c r="C8" i="10"/>
  <c r="E20" i="14"/>
  <c r="E19" i="14"/>
  <c r="F18" i="14"/>
  <c r="D18" i="14"/>
  <c r="C18" i="14"/>
  <c r="G18" i="14" l="1"/>
  <c r="E18" i="14"/>
  <c r="I10" i="12"/>
  <c r="G9" i="14" l="1"/>
  <c r="E23" i="12" s="1"/>
  <c r="G8" i="14"/>
  <c r="E22" i="12" s="1"/>
  <c r="E9" i="14"/>
  <c r="D23" i="12" s="1"/>
  <c r="E8" i="14"/>
  <c r="D22" i="12" s="1"/>
  <c r="F7" i="14" l="1"/>
  <c r="D7" i="14"/>
  <c r="C7" i="14"/>
  <c r="E7" i="14" l="1"/>
  <c r="D24" i="12" s="1"/>
  <c r="G7" i="14"/>
  <c r="E24" i="12" s="1"/>
  <c r="C6" i="12"/>
  <c r="C17" i="12"/>
  <c r="C10" i="12" l="1"/>
  <c r="C11" i="12"/>
  <c r="H6" i="12"/>
  <c r="I20" i="12"/>
  <c r="D9" i="18" l="1"/>
  <c r="F9" i="18" s="1"/>
  <c r="D8" i="18"/>
  <c r="F8" i="18" s="1"/>
  <c r="D7" i="18"/>
  <c r="F7" i="18" s="1"/>
  <c r="F10" i="18" s="1"/>
  <c r="D14" i="18"/>
  <c r="F14" i="18" s="1"/>
  <c r="D13" i="18"/>
  <c r="F13" i="18" s="1"/>
  <c r="D12" i="18"/>
  <c r="E10" i="18" l="1"/>
  <c r="C21" i="18" s="1"/>
  <c r="C23" i="18" s="1"/>
  <c r="C25" i="18" s="1"/>
  <c r="G10" i="18"/>
  <c r="E21" i="18" s="1"/>
  <c r="E15" i="18"/>
  <c r="C27" i="18" s="1"/>
  <c r="C29" i="18" s="1"/>
  <c r="C31" i="18" s="1"/>
  <c r="F12" i="18"/>
  <c r="G15" i="18" s="1"/>
  <c r="E27" i="18" s="1"/>
  <c r="E29" i="18" l="1"/>
  <c r="G27" i="18"/>
  <c r="F27" i="18"/>
  <c r="E23" i="18"/>
  <c r="G21" i="18"/>
  <c r="F21" i="18"/>
  <c r="C12" i="12"/>
  <c r="C14" i="12" s="1"/>
  <c r="E30" i="12" l="1"/>
  <c r="D30" i="12"/>
  <c r="F23" i="18"/>
  <c r="D39" i="12" s="1"/>
  <c r="E25" i="18"/>
  <c r="F25" i="18" s="1"/>
  <c r="G29" i="18"/>
  <c r="H27" i="18"/>
  <c r="G23" i="18"/>
  <c r="H21" i="18"/>
  <c r="F29" i="18"/>
  <c r="D40" i="12" s="1"/>
  <c r="D42" i="12" s="1"/>
  <c r="E31" i="18"/>
  <c r="F31" i="18" s="1"/>
  <c r="C15" i="12"/>
  <c r="D27" i="12" s="1"/>
  <c r="D14" i="12" l="1"/>
  <c r="D13" i="12"/>
  <c r="D6" i="12"/>
  <c r="D6" i="10" s="1"/>
  <c r="D10" i="12"/>
  <c r="D16" i="12"/>
  <c r="D11" i="12"/>
  <c r="D17" i="12"/>
  <c r="E14" i="12"/>
  <c r="E16" i="12"/>
  <c r="E11" i="12"/>
  <c r="E17" i="12"/>
  <c r="E13" i="12"/>
  <c r="E10" i="12"/>
  <c r="D41" i="12"/>
  <c r="H23" i="18"/>
  <c r="E39" i="12" s="1"/>
  <c r="G25" i="18"/>
  <c r="H25" i="18" s="1"/>
  <c r="H29" i="18"/>
  <c r="E40" i="12" s="1"/>
  <c r="E42" i="12" s="1"/>
  <c r="G31" i="18"/>
  <c r="H31" i="18" s="1"/>
  <c r="E27" i="12"/>
  <c r="D25" i="17"/>
  <c r="I28" i="10"/>
  <c r="I8" i="12"/>
  <c r="I16" i="12" s="1"/>
  <c r="I26" i="12" s="1"/>
  <c r="D12" i="12" l="1"/>
  <c r="D15" i="12" s="1"/>
  <c r="E12" i="12"/>
  <c r="E15" i="12" s="1"/>
  <c r="D45" i="12"/>
  <c r="E41" i="12"/>
  <c r="I24" i="12"/>
  <c r="E45" i="12" l="1"/>
  <c r="I27" i="10" s="1"/>
  <c r="I25" i="12" l="1"/>
  <c r="E6" i="12"/>
  <c r="E6" i="10" s="1"/>
  <c r="I6" i="10" s="1"/>
  <c r="I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 TSP</author>
    <author>TSP_MAX</author>
  </authors>
  <commentList>
    <comment ref="C6" authorId="0" shapeId="0" xr:uid="{46B44FAA-7DBB-4DC3-80AC-FE066DBB94AE}">
      <text>
        <r>
          <rPr>
            <sz val="9"/>
            <color indexed="81"/>
            <rFont val="Tahoma"/>
            <family val="2"/>
          </rPr>
          <t>Données 2018
Source : [15] ADEME (2021), p. 7</t>
        </r>
      </text>
    </comment>
    <comment ref="H8" authorId="0" shapeId="0" xr:uid="{E36718AB-7FBC-4B0E-AB30-42BC4135D80F}">
      <text>
        <r>
          <rPr>
            <sz val="9"/>
            <color indexed="81"/>
            <rFont val="Tahoma"/>
            <family val="2"/>
          </rPr>
          <t>Source : [1] SFIC (2021), p. 5</t>
        </r>
      </text>
    </comment>
    <comment ref="H10" authorId="0" shapeId="0" xr:uid="{0C799179-C2CB-4B84-895A-3A22A7731EB0}">
      <text>
        <r>
          <rPr>
            <sz val="9"/>
            <color indexed="81"/>
            <rFont val="Tahoma"/>
            <family val="2"/>
          </rPr>
          <t>Les GES de prod. du ciment sont assimilée à celles de production du clinker</t>
        </r>
      </text>
    </comment>
    <comment ref="H12" authorId="0" shapeId="0" xr:uid="{48A7C275-FC9E-49C4-88F5-19A1F0BB299F}">
      <text>
        <r>
          <rPr>
            <sz val="9"/>
            <color indexed="81"/>
            <rFont val="Tahoma"/>
            <family val="2"/>
          </rPr>
          <t>Données 2015.
Source : [1] SFIC (2021), p. 13</t>
        </r>
      </text>
    </comment>
    <comment ref="I12" authorId="0" shapeId="0" xr:uid="{4D2D9859-92CC-48DD-8E61-8A7728864EB5}">
      <text>
        <r>
          <rPr>
            <sz val="9"/>
            <color indexed="81"/>
            <rFont val="Tahoma"/>
            <family val="2"/>
          </rPr>
          <t>Hyp. PTEF alignée sur la feuille de route du secteur.
Source : [1] SFIC (2021), p. 13</t>
        </r>
      </text>
    </comment>
    <comment ref="H14" authorId="0" shapeId="0" xr:uid="{281B6F80-0BA4-4B9B-BE8E-05A8F7027357}">
      <text>
        <r>
          <rPr>
            <sz val="9"/>
            <color indexed="81"/>
            <rFont val="Tahoma"/>
            <family val="2"/>
          </rPr>
          <t>Données 2015
Source : [1] SFIC (2021), p. 13</t>
        </r>
      </text>
    </comment>
    <comment ref="I14" authorId="0" shapeId="0" xr:uid="{D9DCB7D4-ED63-416A-A046-FC2EB65E8496}">
      <text>
        <r>
          <rPr>
            <sz val="9"/>
            <color indexed="81"/>
            <rFont val="Tahoma"/>
            <family val="2"/>
          </rPr>
          <t>Hyp. PTEF alignée sur la feuille de route du secteur.
Source : [1] SFIC (2021), p. 13</t>
        </r>
      </text>
    </comment>
    <comment ref="H15" authorId="0" shapeId="0" xr:uid="{DB9D1B9A-681F-4C04-9A08-89959012382F}">
      <text>
        <r>
          <rPr>
            <sz val="9"/>
            <color indexed="81"/>
            <rFont val="Tahoma"/>
            <family val="2"/>
          </rPr>
          <t>Données 2015.
Source : [1] SFIC (2021), p. 13</t>
        </r>
      </text>
    </comment>
    <comment ref="I15" authorId="0" shapeId="0" xr:uid="{B10E82D9-497A-434F-9922-2AC8D68664EF}">
      <text>
        <r>
          <rPr>
            <sz val="9"/>
            <color indexed="81"/>
            <rFont val="Tahoma"/>
            <family val="2"/>
          </rPr>
          <t>Hyp. PTEF alignée sur la feuille de route du secteur.
Source : [1] SFIC (2021), p. 13</t>
        </r>
      </text>
    </comment>
    <comment ref="H16" authorId="0" shapeId="0" xr:uid="{5EBC72E3-429F-4D10-B1B3-24A4B9B038C1}">
      <text>
        <r>
          <rPr>
            <sz val="9"/>
            <color indexed="81"/>
            <rFont val="Tahoma"/>
            <family val="2"/>
          </rPr>
          <t>Données 2015
Source : [1] SFIC (2021), p. 13</t>
        </r>
      </text>
    </comment>
    <comment ref="I16" authorId="0" shapeId="0" xr:uid="{A53353E8-C8C2-4EC0-B5DE-5C3A71D2ABDA}">
      <text>
        <r>
          <rPr>
            <sz val="9"/>
            <color indexed="81"/>
            <rFont val="Tahoma"/>
            <family val="2"/>
          </rPr>
          <t>Hyp. PTEF alignée sur la feuille de route du secteur.
Source : [1] SFIC (2021), p. 13</t>
        </r>
      </text>
    </comment>
    <comment ref="H17" authorId="0" shapeId="0" xr:uid="{26DF0C62-5754-4414-8D5E-0D9EB231C847}">
      <text>
        <r>
          <rPr>
            <sz val="9"/>
            <color indexed="81"/>
            <rFont val="Tahoma"/>
            <family val="2"/>
          </rPr>
          <t>Données 2015.
Source : [1] SFIC (2021), p. 13</t>
        </r>
      </text>
    </comment>
    <comment ref="I17" authorId="0" shapeId="0" xr:uid="{318148E8-3105-4A83-A3BE-34A3FC47415F}">
      <text>
        <r>
          <rPr>
            <sz val="9"/>
            <color indexed="81"/>
            <rFont val="Tahoma"/>
            <family val="2"/>
          </rPr>
          <t>Hyp. PTEF alignée sur la feuille de route du secteur.
Source : [1] SFIC (2021), p. 13</t>
        </r>
      </text>
    </comment>
    <comment ref="I22" authorId="0" shapeId="0" xr:uid="{B96535D8-7EE4-4C06-8210-CD6B086A30EB}">
      <text>
        <r>
          <rPr>
            <sz val="9"/>
            <color indexed="81"/>
            <rFont val="Tahoma"/>
            <family val="2"/>
          </rPr>
          <t>Hyp. PTEF alignée sur la feuille de route du secteur.
Source : [1] SFIC (2021), p. 8</t>
        </r>
      </text>
    </comment>
    <comment ref="I23" authorId="0" shapeId="0" xr:uid="{217BC25E-6B7B-48ED-A254-890633190941}">
      <text>
        <r>
          <rPr>
            <sz val="9"/>
            <color indexed="81"/>
            <rFont val="Tahoma"/>
            <family val="2"/>
          </rPr>
          <t>Hyp. PTEF alignée sur la feuille de route du secteur.
Source : [1] SFIC (2021), p. 8</t>
        </r>
      </text>
    </comment>
    <comment ref="I25" authorId="0" shapeId="0" xr:uid="{41D603B1-EE07-4DF7-847E-0EDB471ABA35}">
      <text>
        <r>
          <rPr>
            <sz val="9"/>
            <color indexed="81"/>
            <rFont val="Tahoma"/>
            <family val="2"/>
          </rPr>
          <t>Hypothèse : 50 % du potentiel maximum pour les sites cimentiers.
Source : [14] ADEME (2020), p. 19</t>
        </r>
      </text>
    </comment>
    <comment ref="I26" authorId="1" shapeId="0" xr:uid="{5F52AFCA-4BE0-4B4A-B140-7602871B5E0C}">
      <text>
        <r>
          <rPr>
            <sz val="9"/>
            <color indexed="81"/>
            <rFont val="Tahoma"/>
            <family val="2"/>
          </rPr>
          <t>Potentiel plancher de la sobriété, calculé pour une application de la sobriété après comptabilisation des effets des leviers technologiques</t>
        </r>
      </text>
    </comment>
    <comment ref="I27" authorId="1" shapeId="0" xr:uid="{7E6DA1FE-25C7-41BD-8726-D49A6B3FAAD6}">
      <text>
        <r>
          <rPr>
            <sz val="9"/>
            <color indexed="81"/>
            <rFont val="Tahoma"/>
            <family val="2"/>
          </rPr>
          <t xml:space="preserve">Potentiel plancher de la substitution calculé pour une application de la sobriété après comptabilisation des effets des leviers technologiques
Remarque : Le potentiel de la substitution est supérieur en vision "béton" qu'en vision "ciment" en valeur absolue, agissant également sur l'acier contenu dans le béton.
</t>
        </r>
      </text>
    </comment>
    <comment ref="I28" authorId="1" shapeId="0" xr:uid="{C78DC08F-3D46-4A21-A8A8-9435757C9D91}">
      <text>
        <r>
          <rPr>
            <sz val="9"/>
            <color indexed="81"/>
            <rFont val="Tahoma"/>
            <family val="2"/>
          </rPr>
          <t>Potentiel plancher de la sobriété, calculé pour une application de la sobriété après comptabilisation des effets des leviers technologiques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MAX TSP</author>
    <author>tc={D7A82735-539E-4ECB-8C15-CF19812595C9}</author>
    <author>TSP_MAX</author>
  </authors>
  <commentList>
    <comment ref="C8" authorId="0" shapeId="0" xr:uid="{E3C38608-7556-42F9-932C-B98A1447FD53}">
      <text>
        <r>
          <rPr>
            <sz val="9"/>
            <color indexed="81"/>
            <rFont val="Tahoma"/>
            <family val="2"/>
          </rPr>
          <t>Source : [14] Ifpeb (2021), p. 6</t>
        </r>
      </text>
    </comment>
    <comment ref="D8" authorId="0" shapeId="0" xr:uid="{882B2282-23DA-4CEE-AE58-EA5C72041DAD}">
      <text>
        <r>
          <rPr>
            <sz val="9"/>
            <color indexed="81"/>
            <rFont val="Tahoma"/>
            <family val="2"/>
          </rPr>
          <t>Hypothèse PTEF sur la base d'auditions de personnes expertes : réduction de 5 % à 2030 du contenu du béton en ciment par les mesures d'optimisation.</t>
        </r>
      </text>
    </comment>
    <comment ref="E8" authorId="0" shapeId="0" xr:uid="{CC7B5937-4534-47D2-97DC-6FF19038D1A8}">
      <text>
        <r>
          <rPr>
            <sz val="9"/>
            <color indexed="81"/>
            <rFont val="Tahoma"/>
            <family val="2"/>
          </rPr>
          <t>Hypothèse PTEF sur la base d'auditions de personnes expertes : réduction de 10 % à 2050 du contenu du béton en ciment par les mesures d'optimisation.</t>
        </r>
      </text>
    </comment>
    <comment ref="H10" authorId="1" shapeId="0" xr:uid="{D7A82735-539E-4ECB-8C15-CF19812595C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Hypothèse : l’impact carbone de production des autres constituants du béton est négligeable devant celui de l’acier et du ciment.</t>
      </text>
    </comment>
    <comment ref="I10" authorId="0" shapeId="0" xr:uid="{8D28F3CB-CF40-4744-96DA-DE8E442222A7}">
      <text>
        <r>
          <rPr>
            <sz val="9"/>
            <color indexed="81"/>
            <rFont val="Tahoma"/>
            <family val="2"/>
          </rPr>
          <t>Hypothèse : l'impact de production des autres constituants reste constant</t>
        </r>
      </text>
    </comment>
    <comment ref="H12" authorId="0" shapeId="0" xr:uid="{33CACD81-1E8E-43F8-A3D0-CD1BBFE8CAAF}">
      <text>
        <r>
          <rPr>
            <sz val="9"/>
            <color indexed="81"/>
            <rFont val="Tahoma"/>
            <family val="2"/>
          </rPr>
          <t>Hypothèse : masse volumique moyenne prise correspondante à celle d'un poteau en béton armé</t>
        </r>
      </text>
    </comment>
    <comment ref="I12" authorId="0" shapeId="0" xr:uid="{5A277B02-1B64-4169-BCF9-8C286F1530D2}">
      <text>
        <r>
          <rPr>
            <sz val="9"/>
            <color indexed="81"/>
            <rFont val="Tahoma"/>
            <family val="2"/>
          </rPr>
          <t>Hypothèse : masse volumique moyenne prise correspondante à celle d'un poteau en béton armé</t>
        </r>
      </text>
    </comment>
    <comment ref="C13" authorId="0" shapeId="0" xr:uid="{9012E211-DCBD-4875-85D4-9EDC95572936}">
      <text>
        <r>
          <rPr>
            <sz val="9"/>
            <color indexed="81"/>
            <rFont val="Tahoma"/>
            <family val="2"/>
          </rPr>
          <t>Données 2015
Source : [13] CNI (2023), p. 10</t>
        </r>
      </text>
    </comment>
    <comment ref="H13" authorId="0" shapeId="0" xr:uid="{EB7CE9FB-E666-4E76-A2AE-8B7515BD14B6}">
      <text>
        <r>
          <rPr>
            <sz val="9"/>
            <color indexed="81"/>
            <rFont val="Tahoma"/>
            <family val="2"/>
          </rPr>
          <t>Hypothèse : ferraillage moyen pris correspondant à celui d'un poteau en béton armé</t>
        </r>
      </text>
    </comment>
    <comment ref="I13" authorId="0" shapeId="0" xr:uid="{82B9FD14-EDDC-42BB-87DD-3D2D24747730}">
      <text>
        <r>
          <rPr>
            <sz val="9"/>
            <color indexed="81"/>
            <rFont val="Tahoma"/>
            <family val="2"/>
          </rPr>
          <t>Hypothèse : le contenu en acier du béton moyen ne varie pas.</t>
        </r>
      </text>
    </comment>
    <comment ref="G14" authorId="0" shapeId="0" xr:uid="{50546371-F5E6-4A39-B20D-76E46C437E74}">
      <text>
        <r>
          <rPr>
            <sz val="9"/>
            <color indexed="81"/>
            <rFont val="Tahoma"/>
            <family val="2"/>
          </rPr>
          <t>Additions minérales
Granulats
Adjuvants</t>
        </r>
      </text>
    </comment>
    <comment ref="C16" authorId="0" shapeId="0" xr:uid="{834C98CC-8A1A-478D-A83C-688FE153E15F}">
      <text>
        <r>
          <rPr>
            <sz val="9"/>
            <color indexed="81"/>
            <rFont val="Tahoma"/>
            <family val="2"/>
          </rPr>
          <t>Données 2015
Source : [13] CNI (2023), p. 10</t>
        </r>
      </text>
    </comment>
    <comment ref="B17" authorId="0" shapeId="0" xr:uid="{5B1AF683-8D02-443A-88BD-EF2C6B47C5F1}">
      <text>
        <r>
          <rPr>
            <sz val="9"/>
            <color indexed="81"/>
            <rFont val="Tahoma"/>
            <family val="2"/>
          </rPr>
          <t>Travaux publics génie civil</t>
        </r>
      </text>
    </comment>
    <comment ref="I17" authorId="0" shapeId="0" xr:uid="{99F09B91-91AA-4A44-A244-D229123921EF}">
      <text>
        <r>
          <rPr>
            <sz val="9"/>
            <color indexed="81"/>
            <rFont val="Tahoma"/>
            <family val="2"/>
          </rPr>
          <t>Hypothèse : la carbonatation reste équivalente en 2050</t>
        </r>
      </text>
    </comment>
    <comment ref="C18" authorId="0" shapeId="0" xr:uid="{34D90230-A4E0-4CFF-AD1F-BB1EB2786269}">
      <text>
        <r>
          <rPr>
            <sz val="9"/>
            <color indexed="81"/>
            <rFont val="Tahoma"/>
            <family val="2"/>
          </rPr>
          <t>Données 2015
Source : [13] CNI (2023), p. 10</t>
        </r>
      </text>
    </comment>
    <comment ref="C19" authorId="0" shapeId="0" xr:uid="{A4BA7D4F-D63E-4AEE-9CBE-B65BC387C400}">
      <text>
        <r>
          <rPr>
            <sz val="9"/>
            <color indexed="81"/>
            <rFont val="Tahoma"/>
            <family val="2"/>
          </rPr>
          <t>Données 2015
Source : [13] CNI (2023), p. 10</t>
        </r>
      </text>
    </comment>
    <comment ref="I19" authorId="0" shapeId="0" xr:uid="{D0B261B8-FE97-43B0-B4AD-6AE5282D6D15}">
      <text>
        <r>
          <rPr>
            <sz val="9"/>
            <color indexed="81"/>
            <rFont val="Tahoma"/>
            <family val="2"/>
          </rPr>
          <t>Hypothèse : les gisements notables d'efficacité énergétique sont déjà exploités pour l'acier (Source : CNI (2021)), donc seul le gisement dû au ciment est reporté.</t>
        </r>
      </text>
    </comment>
    <comment ref="C20" authorId="0" shapeId="0" xr:uid="{3B93665B-153C-48F3-9CD9-18AA1466139F}">
      <text>
        <r>
          <rPr>
            <sz val="9"/>
            <color indexed="81"/>
            <rFont val="Tahoma"/>
            <family val="2"/>
          </rPr>
          <t>Données 2015
Source : [13] CNI (2023), p. 10</t>
        </r>
      </text>
    </comment>
    <comment ref="I21" authorId="0" shapeId="0" xr:uid="{3E6A6F1F-EAFF-4AEA-8DBF-76C89D49D3C8}">
      <text>
        <r>
          <rPr>
            <sz val="9"/>
            <color indexed="81"/>
            <rFont val="Tahoma"/>
            <family val="2"/>
          </rPr>
          <t>L'intégralité des usages finaux du ciment sont pris en compte dans la filière béton, le gisement de réduction brute du ciment est donc reporté ici.</t>
        </r>
      </text>
    </comment>
    <comment ref="I22" authorId="0" shapeId="0" xr:uid="{31AFD562-BA97-4DAE-9CF4-50E08D4B8BCD}">
      <text>
        <r>
          <rPr>
            <sz val="9"/>
            <color indexed="81"/>
            <rFont val="Tahoma"/>
            <family val="2"/>
          </rPr>
          <t>L'intégralité des usages finaux du ciment sont pris en compte dans la filière béton, le gisement de réduction brute du ciment est donc reporté ici.</t>
        </r>
      </text>
    </comment>
    <comment ref="I23" authorId="0" shapeId="0" xr:uid="{F2BAA6D4-FC96-4A36-9458-E813C11E3379}">
      <text>
        <r>
          <rPr>
            <sz val="9"/>
            <color indexed="81"/>
            <rFont val="Tahoma"/>
            <family val="2"/>
          </rPr>
          <t>L'intégralité des usages finaux du ciment sont pris en compte dans la filière béton, le gisement de réduction brute du ciment est donc reporté ici.</t>
        </r>
      </text>
    </comment>
    <comment ref="I24" authorId="0" shapeId="0" xr:uid="{FCA09DD4-415A-4B8D-8700-85B7DE8230AC}">
      <text>
        <r>
          <rPr>
            <sz val="9"/>
            <color indexed="81"/>
            <rFont val="Tahoma"/>
            <family val="2"/>
          </rPr>
          <t>Potentiel plancher de la sobriété, calculé pour une application de la sobriété après comptabilisation des effets des leviers technologiques</t>
        </r>
      </text>
    </comment>
    <comment ref="D25" authorId="0" shapeId="0" xr:uid="{B5C46C8A-8C5E-46B1-90B6-79919CB821F4}">
      <text>
        <r>
          <rPr>
            <sz val="9"/>
            <color indexed="81"/>
            <rFont val="Tahoma"/>
            <family val="2"/>
          </rPr>
          <t>Hypothèse : niveaux de construction tertiaire, infrastructures, voiries et génie civil gardés constants sur toute la période de modélisation.</t>
        </r>
      </text>
    </comment>
    <comment ref="E25" authorId="0" shapeId="0" xr:uid="{8D3612D9-D490-439D-9DDE-9408A9BE2347}">
      <text>
        <r>
          <rPr>
            <sz val="9"/>
            <color indexed="81"/>
            <rFont val="Tahoma"/>
            <family val="2"/>
          </rPr>
          <t>Hypothèse : niveaux de construction tertiaire, infrastructures, voiries et génie civil gardés constants sur toute la période de modélisation.</t>
        </r>
      </text>
    </comment>
    <comment ref="I25" authorId="2" shapeId="0" xr:uid="{E8878758-8A6F-42D5-8D89-3C027ED4C4B6}">
      <text>
        <r>
          <rPr>
            <sz val="9"/>
            <color indexed="81"/>
            <rFont val="Tahoma"/>
            <family val="2"/>
          </rPr>
          <t>Potentiel plancher de la substitution calculé pour une application après comptabilisation des effets des leviers technologiques</t>
        </r>
      </text>
    </comment>
    <comment ref="D26" authorId="0" shapeId="0" xr:uid="{B6BFF555-B276-4036-964E-8DC965283055}">
      <text>
        <r>
          <rPr>
            <sz val="9"/>
            <color indexed="81"/>
            <rFont val="Tahoma"/>
            <family val="2"/>
          </rPr>
          <t>Hypothèse : niveaux de construction tertiaire, infrastructures, voiries et génie civil gardés constants sur toute la période de modélisation.</t>
        </r>
      </text>
    </comment>
    <comment ref="E26" authorId="0" shapeId="0" xr:uid="{3AE9E7EC-ACC8-4E16-93FD-5252EB74F952}">
      <text>
        <r>
          <rPr>
            <sz val="9"/>
            <color indexed="81"/>
            <rFont val="Tahoma"/>
            <family val="2"/>
          </rPr>
          <t>Hypothèse : niveaux de construction tertiaire, infrastructures, voiries et génie civil gardés constants sur toute la période de modélisation.</t>
        </r>
      </text>
    </comment>
    <comment ref="I26" authorId="2" shapeId="0" xr:uid="{FE09FF4B-DE22-4CB1-8B7C-BA3F7AE0C27E}">
      <text>
        <r>
          <rPr>
            <sz val="9"/>
            <color indexed="81"/>
            <rFont val="Tahoma"/>
            <family val="2"/>
          </rPr>
          <t>Potentiel plancher de la sobriété, calculé pour une application de la sobriété après comptabilisation des effets des leviers technologiques</t>
        </r>
      </text>
    </comment>
    <comment ref="D28" authorId="2" shapeId="0" xr:uid="{21C9E1F1-913F-4ACA-9E97-D5E92C2904B6}">
      <text>
        <r>
          <rPr>
            <sz val="9"/>
            <color indexed="81"/>
            <rFont val="Tahoma"/>
            <family val="2"/>
          </rPr>
          <t>Hypothèse : la part de la rénovation étant négligeable dans la consommation totale de béton dans le résidentiel, on considère que la part de la rénovation du résidentiel dans la consommation totale de béton pour la rénovation des bâtiments dans leur ensemble est négligeable.</t>
        </r>
      </text>
    </comment>
    <comment ref="E28" authorId="2" shapeId="0" xr:uid="{AEA9CD5F-71F5-4E48-B587-C21C0710C503}">
      <text>
        <r>
          <rPr>
            <sz val="9"/>
            <color indexed="81"/>
            <rFont val="Tahoma"/>
            <family val="2"/>
          </rPr>
          <t>Hypothèse : la part de la rénovation étant négligeable dans la consommation totale de béton dans le résidentiel, on considère que la part de la rénovation du résidentiel dans la consommation totale de béton pour la rénovation des bâtiments dans leur ensemble est négligeable.</t>
        </r>
      </text>
    </comment>
    <comment ref="B29" authorId="0" shapeId="0" xr:uid="{8FFAA3AC-6BE5-4376-8FE9-A4D41CA54CA7}">
      <text>
        <r>
          <rPr>
            <sz val="9"/>
            <color indexed="81"/>
            <rFont val="Tahoma"/>
            <family val="2"/>
          </rPr>
          <t>Travaux publics génie civil</t>
        </r>
      </text>
    </comment>
    <comment ref="D29" authorId="0" shapeId="0" xr:uid="{D08D84BA-F2B9-41B1-B18E-D42C6FD97B09}">
      <text>
        <r>
          <rPr>
            <sz val="9"/>
            <color indexed="81"/>
            <rFont val="Tahoma"/>
            <family val="2"/>
          </rPr>
          <t>Hypothèse : niveaux de construction tertiaire, infrastructures, voiries et génie civil gardés constants sur toute la période de modélisation.</t>
        </r>
      </text>
    </comment>
    <comment ref="E29" authorId="0" shapeId="0" xr:uid="{9BF7F712-58BD-4A54-99CF-F0A8D2BFC380}">
      <text>
        <r>
          <rPr>
            <sz val="9"/>
            <color indexed="81"/>
            <rFont val="Tahoma"/>
            <family val="2"/>
          </rPr>
          <t>Hypothèse : niveaux de construction tertiaire, infrastructures, voiries et génie civil gardés constants sur toute la période de modélisation.</t>
        </r>
      </text>
    </comment>
    <comment ref="D32" authorId="0" shapeId="0" xr:uid="{1D35EF54-9022-47C0-86D6-0B7C209ABB03}">
      <text>
        <r>
          <rPr>
            <sz val="9"/>
            <color indexed="81"/>
            <rFont val="Tahoma"/>
            <family val="2"/>
          </rPr>
          <t>Hypothèse PTEF sur la base d'auditions d'acteurs.</t>
        </r>
      </text>
    </comment>
    <comment ref="E32" authorId="0" shapeId="0" xr:uid="{AEC010B2-6CD6-421B-B25E-B716D416BB5B}">
      <text>
        <r>
          <rPr>
            <sz val="9"/>
            <color indexed="81"/>
            <rFont val="Tahoma"/>
            <family val="2"/>
          </rPr>
          <t>Hypothèse PTEF sur la base d'auditions d'acteurs.</t>
        </r>
      </text>
    </comment>
    <comment ref="B37" authorId="0" shapeId="0" xr:uid="{1D19BE2D-F9ED-4376-B499-A310757BE2E6}">
      <text>
        <r>
          <rPr>
            <sz val="9"/>
            <color indexed="81"/>
            <rFont val="Tahoma"/>
            <family val="2"/>
          </rPr>
          <t>Travaux publics génie civil</t>
        </r>
      </text>
    </comment>
    <comment ref="D41" authorId="0" shapeId="0" xr:uid="{0414CF7A-3441-4D17-A821-575985F57EDF}">
      <text>
        <r>
          <rPr>
            <sz val="9"/>
            <color indexed="81"/>
            <rFont val="Tahoma"/>
            <family val="2"/>
          </rPr>
          <t>Hypothèse : la variation des volumes de béton entrant en jeu dans le tertiaire est du même ordre que pour le LC.</t>
        </r>
      </text>
    </comment>
    <comment ref="E41" authorId="0" shapeId="0" xr:uid="{B8A2211B-9D5F-4D4A-9135-77416F314B09}">
      <text>
        <r>
          <rPr>
            <sz val="9"/>
            <color indexed="81"/>
            <rFont val="Tahoma"/>
            <family val="2"/>
          </rPr>
          <t>Hypothèse : la variation des volumes de béton entrant en jeu dans le tertiaire est du même ordre que pour le LC.</t>
        </r>
      </text>
    </comment>
    <comment ref="D42" authorId="0" shapeId="0" xr:uid="{2B6FE9F1-3C2B-44B3-861E-307E7CF7DA0E}">
      <text>
        <r>
          <rPr>
            <sz val="9"/>
            <color indexed="81"/>
            <rFont val="Tahoma"/>
            <family val="2"/>
          </rPr>
          <t>Hypothèse : la variation des volumes de béton entrant en jeu dans le Bâtiment indsutriel et agricole est du même ordre que pour le LC.</t>
        </r>
      </text>
    </comment>
    <comment ref="E42" authorId="0" shapeId="0" xr:uid="{9D87C9AF-8E95-4C67-B2C3-AC908317BC43}">
      <text>
        <r>
          <rPr>
            <sz val="9"/>
            <color indexed="81"/>
            <rFont val="Tahoma"/>
            <family val="2"/>
          </rPr>
          <t>Hypothèse : la variation des volumes de béton entrant en jeu dans le Bâtiment industriel et agricole est du même ordre que pour le LC.</t>
        </r>
      </text>
    </comment>
    <comment ref="D43" authorId="0" shapeId="0" xr:uid="{627C815B-0C24-4D33-BC4F-7C9B5410D09D}">
      <text>
        <r>
          <rPr>
            <sz val="9"/>
            <color indexed="81"/>
            <rFont val="Tahoma"/>
            <family val="2"/>
          </rPr>
          <t>Hypothèse : la variation des volumes de béton entrant en jeu dans la rénovation n'est pas significative.</t>
        </r>
      </text>
    </comment>
    <comment ref="E43" authorId="0" shapeId="0" xr:uid="{6450441C-C835-4E64-981D-6C82E3534610}">
      <text>
        <r>
          <rPr>
            <sz val="9"/>
            <color indexed="81"/>
            <rFont val="Tahoma"/>
            <family val="2"/>
          </rPr>
          <t>Hypothèse : la variation des volumes de béton entrant en jeu dans la rénovation n'est pas significative.</t>
        </r>
      </text>
    </comment>
    <comment ref="B44" authorId="0" shapeId="0" xr:uid="{895819E8-AB2E-47BC-B0CE-A59BF1654BC2}">
      <text>
        <r>
          <rPr>
            <sz val="9"/>
            <color indexed="81"/>
            <rFont val="Tahoma"/>
            <family val="2"/>
          </rPr>
          <t>Travaux publics génie civil</t>
        </r>
      </text>
    </comment>
    <comment ref="D44" authorId="0" shapeId="0" xr:uid="{43EAB245-F72C-4B58-945C-8CF3697932AD}">
      <text>
        <r>
          <rPr>
            <sz val="9"/>
            <color indexed="81"/>
            <rFont val="Tahoma"/>
            <family val="2"/>
          </rPr>
          <t>Hypothèse : la variation des volumes de béton entrant en jeu dans le TPGC n'est pas significative.</t>
        </r>
      </text>
    </comment>
    <comment ref="E44" authorId="0" shapeId="0" xr:uid="{97354933-DBB0-43D8-BB40-55E73AF41E07}">
      <text>
        <r>
          <rPr>
            <sz val="9"/>
            <color indexed="81"/>
            <rFont val="Tahoma"/>
            <family val="2"/>
          </rPr>
          <t>Hypothèse : la variation des volumes de béton entrant en jeu dans le TPGC n'est pas significative.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MAX TSP</author>
  </authors>
  <commentList>
    <comment ref="C6" authorId="0" shapeId="0" xr:uid="{42F60E27-542D-4993-AF08-0FF99E72B857}">
      <text>
        <r>
          <rPr>
            <sz val="9"/>
            <color indexed="81"/>
            <rFont val="Tahoma"/>
            <family val="2"/>
          </rPr>
          <t>Résultat issu des modélisations du secteur "Acier" du PTEF
Source : [3] The Shift Project (2022)</t>
        </r>
      </text>
    </comment>
    <comment ref="D6" authorId="0" shapeId="0" xr:uid="{77022D8F-25A2-4287-AEFF-71DD9063E595}">
      <text>
        <r>
          <rPr>
            <sz val="9"/>
            <color indexed="81"/>
            <rFont val="Tahoma"/>
            <family val="2"/>
          </rPr>
          <t>Résultat issu des modélisations du secteur "Acier" du PTEF
Source : [3] The Shift Project (2022)</t>
        </r>
      </text>
    </comment>
    <comment ref="C7" authorId="0" shapeId="0" xr:uid="{1C6D440F-92FB-418D-904D-AF42D90205AC}">
      <text>
        <r>
          <rPr>
            <sz val="9"/>
            <color indexed="81"/>
            <rFont val="Tahoma"/>
            <family val="2"/>
          </rPr>
          <t>Résultat issu des modélisations du secteur "Acier" du PTEF
Source : [3] The Shift Project (2022)</t>
        </r>
      </text>
    </comment>
    <comment ref="D7" authorId="0" shapeId="0" xr:uid="{6815A12F-8665-4765-822B-6C28F9A9850E}">
      <text>
        <r>
          <rPr>
            <sz val="9"/>
            <color indexed="81"/>
            <rFont val="Tahoma"/>
            <family val="2"/>
          </rPr>
          <t>Résultat issu des modélisations du secteur "Acier" du PTEF
Source : [3] The Shift Project (2022)</t>
        </r>
      </text>
    </comment>
    <comment ref="C8" authorId="0" shapeId="0" xr:uid="{739F5E06-AAB2-4DE0-8E32-C2EB1007217C}">
      <text>
        <r>
          <rPr>
            <sz val="9"/>
            <color indexed="81"/>
            <rFont val="Tahoma"/>
            <family val="2"/>
          </rPr>
          <t>Résultat issu des modélisations du secteur "Acier" du PTEF
Source : [3] The Shift Project (2022)</t>
        </r>
      </text>
    </comment>
    <comment ref="D8" authorId="0" shapeId="0" xr:uid="{013D7A35-ABFA-4315-ACD8-D338EB74E231}">
      <text>
        <r>
          <rPr>
            <sz val="9"/>
            <color indexed="81"/>
            <rFont val="Tahoma"/>
            <family val="2"/>
          </rPr>
          <t>Résultat issu des modélisations du secteur "Acier" du PTEF
Source : [3] The Shift Project (2022)</t>
        </r>
      </text>
    </comment>
    <comment ref="C10" authorId="0" shapeId="0" xr:uid="{0567435B-29DF-45BC-806E-4E9642915DF0}">
      <text>
        <r>
          <rPr>
            <sz val="9"/>
            <color indexed="81"/>
            <rFont val="Tahoma"/>
            <family val="2"/>
          </rPr>
          <t>Résultat issu des modélisations du secteur "Acier" du PTEF
Source : [3] The Shift Project (2022)</t>
        </r>
      </text>
    </comment>
    <comment ref="D10" authorId="0" shapeId="0" xr:uid="{DB887E92-BC5D-4FD7-B30A-7215541582C4}">
      <text>
        <r>
          <rPr>
            <sz val="9"/>
            <color indexed="81"/>
            <rFont val="Tahoma"/>
            <family val="2"/>
          </rPr>
          <t>Résultat issu des modélisations du secteur "Acier" du PTEF
Source : [3] The Shift Project (2022)</t>
        </r>
      </text>
    </comment>
    <comment ref="C11" authorId="0" shapeId="0" xr:uid="{1BD0FD7F-6086-42D1-8586-9FF8A43344B4}">
      <text>
        <r>
          <rPr>
            <sz val="9"/>
            <color indexed="81"/>
            <rFont val="Tahoma"/>
            <family val="2"/>
          </rPr>
          <t>Résultat issu des modélisations du secteur "Acier" du PTEF
Source : [3] The Shift Project (2022)</t>
        </r>
      </text>
    </comment>
    <comment ref="D11" authorId="0" shapeId="0" xr:uid="{83549E6E-4285-480C-8B51-FE39BEB21941}">
      <text>
        <r>
          <rPr>
            <sz val="9"/>
            <color indexed="81"/>
            <rFont val="Tahoma"/>
            <family val="2"/>
          </rPr>
          <t>Résultat issu des modélisations du secteur "Acier" du PTEF
Source : [3] The Shift Project (2022)</t>
        </r>
      </text>
    </comment>
    <comment ref="C12" authorId="0" shapeId="0" xr:uid="{8C6B6214-EFB6-4231-8622-CD12EEBA46AE}">
      <text>
        <r>
          <rPr>
            <sz val="9"/>
            <color indexed="81"/>
            <rFont val="Tahoma"/>
            <family val="2"/>
          </rPr>
          <t>Résultat issu des modélisations du secteur "Acier" du PTEF
Source : [3] The Shift Project (2022)</t>
        </r>
      </text>
    </comment>
    <comment ref="D12" authorId="0" shapeId="0" xr:uid="{30E95336-CCA3-485E-B03C-46CCDC2A174C}">
      <text>
        <r>
          <rPr>
            <sz val="9"/>
            <color indexed="81"/>
            <rFont val="Tahoma"/>
            <family val="2"/>
          </rPr>
          <t>Résultat issu des modélisations du secteur "Acier" du PTEF
Source : [3] The Shift Project (2022)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MAX TSP</author>
  </authors>
  <commentList>
    <comment ref="C4" authorId="0" shapeId="0" xr:uid="{E03FD56C-BFB0-4E1B-8BBD-649745FFD23F}">
      <text>
        <r>
          <rPr>
            <sz val="9"/>
            <color indexed="81"/>
            <rFont val="Tahoma"/>
            <family val="2"/>
          </rPr>
          <t>Soure : [5] INIES (2019), p. 7</t>
        </r>
      </text>
    </comment>
    <comment ref="I4" authorId="0" shapeId="0" xr:uid="{F6A00C8A-DA2B-4CCA-A6BA-259D847A1494}">
      <text>
        <r>
          <rPr>
            <sz val="9"/>
            <color indexed="81"/>
            <rFont val="Tahoma"/>
            <family val="2"/>
          </rPr>
          <t>Soure : p. 2</t>
        </r>
      </text>
    </comment>
    <comment ref="C5" authorId="0" shapeId="0" xr:uid="{30279DA0-F045-457E-AEF7-9D61B09C31AF}">
      <text>
        <r>
          <rPr>
            <sz val="9"/>
            <color indexed="81"/>
            <rFont val="Tahoma"/>
            <family val="2"/>
          </rPr>
          <t>Soure : [5] INIES (2019), p. 7</t>
        </r>
      </text>
    </comment>
    <comment ref="I5" authorId="0" shapeId="0" xr:uid="{12C7C390-64E3-41BB-A9B0-C74B61867097}">
      <text>
        <r>
          <rPr>
            <sz val="9"/>
            <color indexed="81"/>
            <rFont val="Tahoma"/>
            <family val="2"/>
          </rPr>
          <t>Soure : p. 2</t>
        </r>
      </text>
    </comment>
    <comment ref="C7" authorId="0" shapeId="0" xr:uid="{4A1898F2-7D4C-44E0-9818-4CBFBDEE15CA}">
      <text>
        <r>
          <rPr>
            <sz val="9"/>
            <color indexed="81"/>
            <rFont val="Tahoma"/>
            <family val="2"/>
          </rPr>
          <t>Soure : [5] INIES (2019), p. 7</t>
        </r>
      </text>
    </comment>
    <comment ref="C8" authorId="0" shapeId="0" xr:uid="{7B735063-F81B-4B0B-B8C3-837B1A831B73}">
      <text>
        <r>
          <rPr>
            <sz val="9"/>
            <color indexed="81"/>
            <rFont val="Tahoma"/>
            <family val="2"/>
          </rPr>
          <t>Soure : [5] INIES (2019), p. 7</t>
        </r>
      </text>
    </comment>
    <comment ref="I8" authorId="0" shapeId="0" xr:uid="{9C106D9A-9BFC-430E-97B1-2C65527DDAA0}">
      <text>
        <r>
          <rPr>
            <sz val="9"/>
            <color indexed="81"/>
            <rFont val="Tahoma"/>
            <family val="2"/>
          </rPr>
          <t>Soure : p. 9</t>
        </r>
      </text>
    </comment>
    <comment ref="C10" authorId="0" shapeId="0" xr:uid="{A087A54B-94DF-4205-AC47-2E504AF8C0BB}">
      <text>
        <r>
          <rPr>
            <sz val="9"/>
            <color indexed="81"/>
            <rFont val="Tahoma"/>
            <family val="2"/>
          </rPr>
          <t>Soure : [5] INIES (2019), p. 7</t>
        </r>
      </text>
    </comment>
    <comment ref="C11" authorId="0" shapeId="0" xr:uid="{DB84BA87-C096-4357-A54A-2002C13FFC62}">
      <text>
        <r>
          <rPr>
            <sz val="9"/>
            <color indexed="81"/>
            <rFont val="Tahoma"/>
            <family val="2"/>
          </rPr>
          <t>Soure : [5] INIES (2019), p. 8</t>
        </r>
      </text>
    </comment>
    <comment ref="C13" authorId="0" shapeId="0" xr:uid="{900444E1-7864-4D75-87E3-96A691EADDD5}">
      <text>
        <r>
          <rPr>
            <sz val="9"/>
            <color indexed="81"/>
            <rFont val="Tahoma"/>
            <family val="2"/>
          </rPr>
          <t>Soure : [5] INIES (2019), p. 11,15
Cette valeur est supérieure à la valeur effective pour de nombreux autres types d'ouvrage (dalle, par exemple) : la carbonatation est d'autant plus grande que la surface exposée est importante relativement au volume. Le taux de carbonatation par m3 sera donc par exemple inférieur pour une dalle (trois fois inférieur) que pour un poteau.</t>
        </r>
      </text>
    </comment>
    <comment ref="C14" authorId="0" shapeId="0" xr:uid="{6D032CD1-AB7B-418D-B918-C5D08329C79F}">
      <text>
        <r>
          <rPr>
            <sz val="9"/>
            <color indexed="81"/>
            <rFont val="Tahoma"/>
            <family val="2"/>
          </rPr>
          <t>Soure : [5] INIES (2019), p. 12, 15</t>
        </r>
      </text>
    </comment>
    <comment ref="C15" authorId="0" shapeId="0" xr:uid="{3B4790E4-4537-4504-B462-394C7C0B7668}">
      <text>
        <r>
          <rPr>
            <sz val="9"/>
            <color indexed="81"/>
            <rFont val="Tahoma"/>
            <family val="2"/>
          </rPr>
          <t>Soure : [5] INIES (2019), p. 15</t>
        </r>
      </text>
    </comment>
    <comment ref="C17" authorId="0" shapeId="0" xr:uid="{0CD93B70-4480-4622-9CEE-03024FAC2288}">
      <text>
        <r>
          <rPr>
            <sz val="9"/>
            <color indexed="81"/>
            <rFont val="Tahoma"/>
            <family val="2"/>
          </rPr>
          <t>Soure : [5] INIES (2019), p. 15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MAX TSP</author>
  </authors>
  <commentList>
    <comment ref="C5" authorId="0" shapeId="0" xr:uid="{42FDAE7B-8D7F-4DEC-917B-1FBE28648AB3}">
      <text>
        <r>
          <rPr>
            <sz val="9"/>
            <color indexed="81"/>
            <rFont val="Tahoma"/>
            <family val="2"/>
          </rPr>
          <t>Source : [1] SFIC (2021), p. 13</t>
        </r>
      </text>
    </comment>
    <comment ref="D5" authorId="0" shapeId="0" xr:uid="{ED2896D3-B852-46EC-BE56-EE7812466C25}">
      <text>
        <r>
          <rPr>
            <sz val="9"/>
            <color indexed="81"/>
            <rFont val="Tahoma"/>
            <family val="2"/>
          </rPr>
          <t>Hypothèse PTEF : amener les fours de cimenteries au meilleur standard actuel en terme d'efficacité énergétique.
Source : CEMBUREAU (2020)</t>
        </r>
      </text>
    </comment>
    <comment ref="G5" authorId="0" shapeId="0" xr:uid="{1AE1DFC9-33EC-45E7-9454-F27E556D76E7}">
      <text>
        <r>
          <rPr>
            <sz val="9"/>
            <color indexed="81"/>
            <rFont val="Tahoma"/>
            <family val="2"/>
          </rPr>
          <t>Source : [9] SFIC (2023) - CEM I, p. 5</t>
        </r>
      </text>
    </comment>
    <comment ref="H5" authorId="0" shapeId="0" xr:uid="{1DEF3C78-84B8-4F75-8F82-5D9E123E5069}">
      <text>
        <r>
          <rPr>
            <sz val="9"/>
            <color indexed="81"/>
            <rFont val="Tahoma"/>
            <family val="2"/>
          </rPr>
          <t>Source : [9] SFIC (2023) - CEM I, p. 5</t>
        </r>
      </text>
    </comment>
    <comment ref="I5" authorId="0" shapeId="0" xr:uid="{EC7FCD2F-61C0-434C-A575-0EB459C29B41}">
      <text>
        <r>
          <rPr>
            <sz val="9"/>
            <color indexed="81"/>
            <rFont val="Tahoma"/>
            <family val="2"/>
          </rPr>
          <t>Source : [9] SFIC (2023) - CEM I, p. 5</t>
        </r>
      </text>
    </comment>
    <comment ref="J5" authorId="0" shapeId="0" xr:uid="{FEDDF823-B701-4658-9A6A-161F1FA515F1}">
      <text>
        <r>
          <rPr>
            <sz val="9"/>
            <color indexed="81"/>
            <rFont val="Tahoma"/>
            <family val="2"/>
          </rPr>
          <t>Données sans combustibles secondaires
Source : [9] SFIC (2023) - CEM I, p. 10</t>
        </r>
      </text>
    </comment>
    <comment ref="K5" authorId="0" shapeId="0" xr:uid="{E4DC8155-29A4-453E-8BC8-586ACE18A126}">
      <text>
        <r>
          <rPr>
            <sz val="9"/>
            <color indexed="81"/>
            <rFont val="Tahoma"/>
            <family val="2"/>
          </rPr>
          <t>Données intégrant les combustibles secondaires
Source : [9] SFIC (2023) - CEM I, p. 10</t>
        </r>
      </text>
    </comment>
    <comment ref="F6" authorId="0" shapeId="0" xr:uid="{FD7F5CA1-B568-4B00-AE09-C725FEFF9A03}">
      <text>
        <r>
          <rPr>
            <sz val="9"/>
            <color indexed="81"/>
            <rFont val="Tahoma"/>
            <family val="2"/>
          </rPr>
          <t>Données pour le CEM II/A-S, A-M, A-V</t>
        </r>
      </text>
    </comment>
    <comment ref="G6" authorId="0" shapeId="0" xr:uid="{BCC127C4-E49D-41FC-BF3A-939982A6B0DF}">
      <text>
        <r>
          <rPr>
            <sz val="9"/>
            <color indexed="81"/>
            <rFont val="Tahoma"/>
            <family val="2"/>
          </rPr>
          <t>Source : [9] SFIC (2023) - CEM I, p. 5</t>
        </r>
      </text>
    </comment>
    <comment ref="H6" authorId="0" shapeId="0" xr:uid="{98CEF5B2-67E0-4B38-9EC6-C4F6353067C1}">
      <text>
        <r>
          <rPr>
            <sz val="9"/>
            <color indexed="81"/>
            <rFont val="Tahoma"/>
            <family val="2"/>
          </rPr>
          <t>Source : [9] SFIC (2023) - CEM I, p. 5</t>
        </r>
      </text>
    </comment>
    <comment ref="I6" authorId="0" shapeId="0" xr:uid="{1E2727E5-2D15-41BC-B4F7-0551EED031A3}">
      <text>
        <r>
          <rPr>
            <sz val="9"/>
            <color indexed="81"/>
            <rFont val="Tahoma"/>
            <family val="2"/>
          </rPr>
          <t>Source : [9] SFIC (2023) - CEM I, p. 5</t>
        </r>
      </text>
    </comment>
    <comment ref="J6" authorId="0" shapeId="0" xr:uid="{CA9A852E-AF23-4971-8C31-A69D511BCBB0}">
      <text>
        <r>
          <rPr>
            <sz val="9"/>
            <color indexed="81"/>
            <rFont val="Tahoma"/>
            <family val="2"/>
          </rPr>
          <t>Données sans combustibles secondaires
Source : [9] SFIC (2023) - CEM I, p. 10</t>
        </r>
      </text>
    </comment>
    <comment ref="K6" authorId="0" shapeId="0" xr:uid="{9774CE03-CDD6-43E4-830B-DA8778D4533F}">
      <text>
        <r>
          <rPr>
            <sz val="9"/>
            <color indexed="81"/>
            <rFont val="Tahoma"/>
            <family val="2"/>
          </rPr>
          <t>Données intégrant les combustibles secondaires
Source : [9] SFIC (2023) - CEM I, p. 10</t>
        </r>
      </text>
    </comment>
    <comment ref="C7" authorId="0" shapeId="0" xr:uid="{C74CEFC4-0CDB-4966-B8E9-6C377E752C28}">
      <text>
        <r>
          <rPr>
            <sz val="9"/>
            <color indexed="81"/>
            <rFont val="Tahoma"/>
            <family val="2"/>
          </rPr>
          <t>Source : [1] SFIC (2021), p. 3</t>
        </r>
      </text>
    </comment>
    <comment ref="F7" authorId="0" shapeId="0" xr:uid="{BBC7722B-3B4E-4B96-85C7-9BC492AB9E5A}">
      <text>
        <r>
          <rPr>
            <sz val="9"/>
            <color indexed="81"/>
            <rFont val="Tahoma"/>
            <family val="2"/>
          </rPr>
          <t>Données pour le CEM II/B-M, B-S</t>
        </r>
      </text>
    </comment>
    <comment ref="G7" authorId="0" shapeId="0" xr:uid="{7E525F79-BBF4-46A1-BB31-02111C3BC234}">
      <text>
        <r>
          <rPr>
            <sz val="9"/>
            <color indexed="81"/>
            <rFont val="Tahoma"/>
            <family val="2"/>
          </rPr>
          <t>Source : [9] SFIC (2023) - CEM I, p. 5</t>
        </r>
      </text>
    </comment>
    <comment ref="H7" authorId="0" shapeId="0" xr:uid="{F46AA629-5433-42FC-B855-77865DF00465}">
      <text>
        <r>
          <rPr>
            <sz val="9"/>
            <color indexed="81"/>
            <rFont val="Tahoma"/>
            <family val="2"/>
          </rPr>
          <t>Source : [9] SFIC (2023) - CEM I, p. 5</t>
        </r>
      </text>
    </comment>
    <comment ref="I7" authorId="0" shapeId="0" xr:uid="{90ECD25E-D116-4B17-815F-890AB16012E7}">
      <text>
        <r>
          <rPr>
            <sz val="9"/>
            <color indexed="81"/>
            <rFont val="Tahoma"/>
            <family val="2"/>
          </rPr>
          <t>Source : [9] SFIC (2023) - CEM I, p. 5</t>
        </r>
      </text>
    </comment>
    <comment ref="J7" authorId="0" shapeId="0" xr:uid="{B47C2868-A3D7-4D08-93C1-2B4ACBB1717F}">
      <text>
        <r>
          <rPr>
            <sz val="9"/>
            <color indexed="81"/>
            <rFont val="Tahoma"/>
            <family val="2"/>
          </rPr>
          <t>Données sans combustibles secondaires
Source : [9] SFIC (2023) - CEM I, p. 10</t>
        </r>
      </text>
    </comment>
    <comment ref="K7" authorId="0" shapeId="0" xr:uid="{6E89A3DE-4ED7-410C-86EB-493E224F4C5E}">
      <text>
        <r>
          <rPr>
            <sz val="9"/>
            <color indexed="81"/>
            <rFont val="Tahoma"/>
            <family val="2"/>
          </rPr>
          <t>Données intégrant les combustibles secondaires
Source : [9] SFIC (2023) - CEM I, p. 10</t>
        </r>
      </text>
    </comment>
    <comment ref="F8" authorId="0" shapeId="0" xr:uid="{73061711-C7DC-4924-AB22-81816208E0F1}">
      <text>
        <r>
          <rPr>
            <sz val="9"/>
            <color indexed="81"/>
            <rFont val="Tahoma"/>
            <family val="2"/>
          </rPr>
          <t>Données pour le CEM III/A (non PM et ES)</t>
        </r>
      </text>
    </comment>
    <comment ref="G8" authorId="0" shapeId="0" xr:uid="{789B1354-8313-4A83-84AB-890AEA3F7AEB}">
      <text>
        <r>
          <rPr>
            <sz val="9"/>
            <color indexed="81"/>
            <rFont val="Tahoma"/>
            <family val="2"/>
          </rPr>
          <t>Source : [9] SFIC (2023) - CEM I, p. 5</t>
        </r>
      </text>
    </comment>
    <comment ref="H8" authorId="0" shapeId="0" xr:uid="{15C316C1-9175-4C65-950D-3FC22ADB4DEF}">
      <text>
        <r>
          <rPr>
            <sz val="9"/>
            <color indexed="81"/>
            <rFont val="Tahoma"/>
            <family val="2"/>
          </rPr>
          <t>Source : [9] SFIC (2023) - CEM I, p. 5</t>
        </r>
      </text>
    </comment>
    <comment ref="I8" authorId="0" shapeId="0" xr:uid="{A27170E2-02D2-45A7-8D38-307F776F1623}">
      <text>
        <r>
          <rPr>
            <sz val="9"/>
            <color indexed="81"/>
            <rFont val="Tahoma"/>
            <family val="2"/>
          </rPr>
          <t>Source : [9] SFIC (2023) - CEM I, p. 5</t>
        </r>
      </text>
    </comment>
    <comment ref="J8" authorId="0" shapeId="0" xr:uid="{5674EE2E-9AB9-4E30-892E-4DB93E185861}">
      <text>
        <r>
          <rPr>
            <sz val="9"/>
            <color indexed="81"/>
            <rFont val="Tahoma"/>
            <family val="2"/>
          </rPr>
          <t>Données sans combustibles secondaires
Source : [9] SFIC (2023) - CEM I, p. 10</t>
        </r>
      </text>
    </comment>
    <comment ref="K8" authorId="0" shapeId="0" xr:uid="{DA16DC57-F924-436C-B9C7-F97681190408}">
      <text>
        <r>
          <rPr>
            <sz val="9"/>
            <color indexed="81"/>
            <rFont val="Tahoma"/>
            <family val="2"/>
          </rPr>
          <t>Données intégrant les combustibles secondaires
Source : [9] SFIC (2023) - CEM I, p. 10</t>
        </r>
      </text>
    </comment>
    <comment ref="C9" authorId="0" shapeId="0" xr:uid="{5B9C922C-C34C-40A0-95BA-B93FAF81A3B5}">
      <text>
        <r>
          <rPr>
            <sz val="9"/>
            <color indexed="81"/>
            <rFont val="Tahoma"/>
            <family val="2"/>
          </rPr>
          <t xml:space="preserve">Source : [8] ADEME (2023)
</t>
        </r>
      </text>
    </comment>
    <comment ref="D9" authorId="0" shapeId="0" xr:uid="{101CDBAE-E5D7-4459-BC0C-5892E1A1FB3D}">
      <text>
        <r>
          <rPr>
            <sz val="9"/>
            <color indexed="81"/>
            <rFont val="Tahoma"/>
            <family val="2"/>
          </rPr>
          <t>Les émissions résultant de la réaction de décarbonatation restent unitairement constantes.</t>
        </r>
      </text>
    </comment>
    <comment ref="G9" authorId="0" shapeId="0" xr:uid="{E7E6BA4D-3E15-4A49-941F-190C466A3C97}">
      <text>
        <r>
          <rPr>
            <sz val="9"/>
            <color indexed="81"/>
            <rFont val="Tahoma"/>
            <family val="2"/>
          </rPr>
          <t>Source : [9] SFIC (2023) - CEM I, p. 5</t>
        </r>
      </text>
    </comment>
    <comment ref="H9" authorId="0" shapeId="0" xr:uid="{9FDB1798-BB96-40A9-92D9-72F8CC3CCDA1}">
      <text>
        <r>
          <rPr>
            <sz val="9"/>
            <color indexed="81"/>
            <rFont val="Tahoma"/>
            <family val="2"/>
          </rPr>
          <t>Source : [9] SFIC (2023) - CEM I, p. 5</t>
        </r>
      </text>
    </comment>
    <comment ref="I9" authorId="0" shapeId="0" xr:uid="{6D107C4B-F384-4D68-9DB9-82923BB9E20D}">
      <text>
        <r>
          <rPr>
            <sz val="9"/>
            <color indexed="81"/>
            <rFont val="Tahoma"/>
            <family val="2"/>
          </rPr>
          <t>Source : [9] SFIC (2023) - CEM I, p. 5</t>
        </r>
      </text>
    </comment>
    <comment ref="J9" authorId="0" shapeId="0" xr:uid="{48E0308F-BC34-4FB2-B863-EAFCBBA9602D}">
      <text>
        <r>
          <rPr>
            <sz val="9"/>
            <color indexed="81"/>
            <rFont val="Tahoma"/>
            <family val="2"/>
          </rPr>
          <t>Données sans combustibles secondaires
Source : [9] SFIC (2023) - CEM I, p. 10</t>
        </r>
      </text>
    </comment>
    <comment ref="K9" authorId="0" shapeId="0" xr:uid="{4833B264-A543-4F38-BFF4-EBF16C479D69}">
      <text>
        <r>
          <rPr>
            <sz val="9"/>
            <color indexed="81"/>
            <rFont val="Tahoma"/>
            <family val="2"/>
          </rPr>
          <t>Données intégrant les combustibles secondaires
Source : [9] SFIC (2023) - CEM I, p. 10</t>
        </r>
      </text>
    </comment>
    <comment ref="C10" authorId="0" shapeId="0" xr:uid="{9C1D7D8B-5B37-45EF-B408-D6E9C24CFED5}">
      <text>
        <r>
          <rPr>
            <sz val="9"/>
            <color indexed="81"/>
            <rFont val="Tahoma"/>
            <family val="2"/>
          </rPr>
          <t>Source : [1] SFIC (2021), p. 3</t>
        </r>
      </text>
    </comment>
    <comment ref="G10" authorId="0" shapeId="0" xr:uid="{367EA092-F6AA-4A4F-BB5C-917AA65FCC56}">
      <text>
        <r>
          <rPr>
            <sz val="9"/>
            <color indexed="81"/>
            <rFont val="Tahoma"/>
            <family val="2"/>
          </rPr>
          <t>Source : [9] SFIC (2023) - CEM I, p. 5</t>
        </r>
      </text>
    </comment>
    <comment ref="H10" authorId="0" shapeId="0" xr:uid="{E84F9467-B0AC-433D-991E-C0977853D1E7}">
      <text>
        <r>
          <rPr>
            <sz val="9"/>
            <color indexed="81"/>
            <rFont val="Tahoma"/>
            <family val="2"/>
          </rPr>
          <t>Source : [9] SFIC (2023) - CEM I, p. 5</t>
        </r>
      </text>
    </comment>
    <comment ref="I10" authorId="0" shapeId="0" xr:uid="{F3654FF1-71F6-42C5-9BFE-81FAC6098E22}">
      <text>
        <r>
          <rPr>
            <sz val="9"/>
            <color indexed="81"/>
            <rFont val="Tahoma"/>
            <family val="2"/>
          </rPr>
          <t>Source : [9] SFIC (2023) - CEM I, p. 5</t>
        </r>
      </text>
    </comment>
    <comment ref="J10" authorId="0" shapeId="0" xr:uid="{AA20DA52-7A43-4563-B2DD-55E568BF7311}">
      <text>
        <r>
          <rPr>
            <sz val="9"/>
            <color indexed="81"/>
            <rFont val="Tahoma"/>
            <family val="2"/>
          </rPr>
          <t>Données sans combustibles secondaires
Source : [9] SFIC (2023) - CEM I, p. 10</t>
        </r>
      </text>
    </comment>
    <comment ref="K10" authorId="0" shapeId="0" xr:uid="{10A2C6EC-5338-4192-BF5D-C4D1D5647504}">
      <text>
        <r>
          <rPr>
            <sz val="9"/>
            <color indexed="81"/>
            <rFont val="Tahoma"/>
            <family val="2"/>
          </rPr>
          <t>Données intégrant les combustibles secondaires
Source : [9] SFIC (2023) - CEM I, p. 10</t>
        </r>
      </text>
    </comment>
    <comment ref="F11" authorId="0" shapeId="0" xr:uid="{E94DE0CE-D5B3-4CE9-80E9-A1144B4A8874}">
      <text>
        <r>
          <rPr>
            <sz val="9"/>
            <color indexed="81"/>
            <rFont val="Tahoma"/>
            <family val="2"/>
          </rPr>
          <t>Données pour le CEM V/A
Source : Infociment (2022)</t>
        </r>
      </text>
    </comment>
    <comment ref="G11" authorId="0" shapeId="0" xr:uid="{31C9422D-ECEB-42BE-AA75-D734C4518522}">
      <text>
        <r>
          <rPr>
            <sz val="9"/>
            <color indexed="81"/>
            <rFont val="Tahoma"/>
            <family val="2"/>
          </rPr>
          <t>Source : [9] SFIC (2023) - CEM I, p. 5</t>
        </r>
      </text>
    </comment>
    <comment ref="H11" authorId="0" shapeId="0" xr:uid="{8F5E8A30-9838-4850-8D0F-4713250CEEB6}">
      <text>
        <r>
          <rPr>
            <sz val="9"/>
            <color indexed="81"/>
            <rFont val="Tahoma"/>
            <family val="2"/>
          </rPr>
          <t>Source : [9] SFIC (2023) - CEM I, p. 5</t>
        </r>
      </text>
    </comment>
    <comment ref="I11" authorId="0" shapeId="0" xr:uid="{6456F853-E45E-45EB-B60F-B278A58EFDE0}">
      <text>
        <r>
          <rPr>
            <sz val="9"/>
            <color indexed="81"/>
            <rFont val="Tahoma"/>
            <family val="2"/>
          </rPr>
          <t>Source : [9] SFIC (2023) - CEM I, p. 5</t>
        </r>
      </text>
    </comment>
    <comment ref="J11" authorId="0" shapeId="0" xr:uid="{0B8A1320-AAD8-450C-A864-9402029BAB1C}">
      <text>
        <r>
          <rPr>
            <sz val="9"/>
            <color indexed="81"/>
            <rFont val="Tahoma"/>
            <family val="2"/>
          </rPr>
          <t>Données sans combustibles secondaires
Source : [9] SFIC (2023) - CEM I, p. 10</t>
        </r>
      </text>
    </comment>
    <comment ref="K11" authorId="0" shapeId="0" xr:uid="{CB48BACE-1305-418B-B3BA-C96515ACED0A}">
      <text>
        <r>
          <rPr>
            <sz val="9"/>
            <color indexed="81"/>
            <rFont val="Tahoma"/>
            <family val="2"/>
          </rPr>
          <t>Données intégrant les combustibles secondaires
Source : [9] SFIC (2023) - CEM I, p. 10</t>
        </r>
      </text>
    </comment>
    <comment ref="C12" authorId="0" shapeId="0" xr:uid="{C06149D0-5A26-484F-88B5-DF3FB64F064B}">
      <text>
        <r>
          <rPr>
            <sz val="9"/>
            <color indexed="81"/>
            <rFont val="Tahoma"/>
            <family val="2"/>
          </rPr>
          <t>Données 2021
Source : [11] SFIC (2022)</t>
        </r>
      </text>
    </comment>
    <comment ref="D12" authorId="0" shapeId="0" xr:uid="{467C2F6C-8DF3-4B13-BB0C-3ECBA3AD5DDE}">
      <text>
        <r>
          <rPr>
            <sz val="9"/>
            <color indexed="81"/>
            <rFont val="Tahoma"/>
            <family val="2"/>
          </rPr>
          <t>Hypothèse construite sur la base d'auditions d'experts.</t>
        </r>
      </text>
    </comment>
    <comment ref="F12" authorId="0" shapeId="0" xr:uid="{C9EE2D17-702B-44B9-BAEC-01D267F301D4}">
      <text>
        <r>
          <rPr>
            <sz val="9"/>
            <color indexed="81"/>
            <rFont val="Tahoma"/>
            <family val="2"/>
          </rPr>
          <t>Données pour le CEM III/A (PM et ES)
Source : Infociment (2022)</t>
        </r>
      </text>
    </comment>
    <comment ref="G12" authorId="0" shapeId="0" xr:uid="{666E42ED-DAB1-465C-9911-B03E00F85D67}">
      <text>
        <r>
          <rPr>
            <sz val="9"/>
            <color indexed="81"/>
            <rFont val="Tahoma"/>
            <family val="2"/>
          </rPr>
          <t>Source : [9] SFIC (2023) - CEM I, p. 5</t>
        </r>
      </text>
    </comment>
    <comment ref="H12" authorId="0" shapeId="0" xr:uid="{41C6529F-DD26-4EDD-9A90-FE420785BFAA}">
      <text>
        <r>
          <rPr>
            <sz val="9"/>
            <color indexed="81"/>
            <rFont val="Tahoma"/>
            <family val="2"/>
          </rPr>
          <t>Source : [9] SFIC (2023) - CEM I, p. 5</t>
        </r>
      </text>
    </comment>
    <comment ref="I12" authorId="0" shapeId="0" xr:uid="{F906112B-DCBF-41BD-AE25-831AD0602D85}">
      <text>
        <r>
          <rPr>
            <sz val="9"/>
            <color indexed="81"/>
            <rFont val="Tahoma"/>
            <family val="2"/>
          </rPr>
          <t>Source : [9] SFIC (2023) - CEM I, p. 5</t>
        </r>
      </text>
    </comment>
    <comment ref="J12" authorId="0" shapeId="0" xr:uid="{427AD78D-76AE-40A2-BBA4-5685296B953B}">
      <text>
        <r>
          <rPr>
            <sz val="9"/>
            <color indexed="81"/>
            <rFont val="Tahoma"/>
            <family val="2"/>
          </rPr>
          <t>Données sans combustibles secondaires
Source : [9] SFIC (2023) - CEM I, p. 10</t>
        </r>
      </text>
    </comment>
    <comment ref="K12" authorId="0" shapeId="0" xr:uid="{4E123EC2-1892-4EE6-8B6A-348B2AE016B3}">
      <text>
        <r>
          <rPr>
            <sz val="9"/>
            <color indexed="81"/>
            <rFont val="Tahoma"/>
            <family val="2"/>
          </rPr>
          <t>Données intégrant les combustibles secondaires
Source : [9] SFIC (2023) - CEM I, p. 10</t>
        </r>
      </text>
    </comment>
    <comment ref="C13" authorId="0" shapeId="0" xr:uid="{0BDB3CB8-7CD1-4B45-ADDA-9F61BC361694}">
      <text>
        <r>
          <rPr>
            <sz val="9"/>
            <color indexed="81"/>
            <rFont val="Tahoma"/>
            <family val="2"/>
          </rPr>
          <t>Données 2021
Source : [11] SFIC (2022)</t>
        </r>
      </text>
    </comment>
    <comment ref="D13" authorId="0" shapeId="0" xr:uid="{B5D93FF5-707A-4F13-B7DE-34F16643744F}">
      <text>
        <r>
          <rPr>
            <sz val="9"/>
            <color indexed="81"/>
            <rFont val="Tahoma"/>
            <family val="2"/>
          </rPr>
          <t>Hypothèse construite sur la base d'auditions d'experts.</t>
        </r>
      </text>
    </comment>
    <comment ref="C14" authorId="0" shapeId="0" xr:uid="{D4CC7BEC-15CF-4C52-8ABC-67B8EA9E0454}">
      <text>
        <r>
          <rPr>
            <sz val="9"/>
            <color indexed="81"/>
            <rFont val="Tahoma"/>
            <family val="2"/>
          </rPr>
          <t>Données 2021
Hypothèse : les CEM III sont les principaux déployés dans les CEM III à VI
Source : [11] SFIC (2022)</t>
        </r>
      </text>
    </comment>
    <comment ref="D14" authorId="0" shapeId="0" xr:uid="{FC8022AA-641C-4ADC-8286-0AD81B9CFEFA}">
      <text>
        <r>
          <rPr>
            <sz val="9"/>
            <color indexed="81"/>
            <rFont val="Tahoma"/>
            <family val="2"/>
          </rPr>
          <t>Hypothèse construite sur la base d'auditions d'experts.</t>
        </r>
      </text>
    </comment>
    <comment ref="C15" authorId="0" shapeId="0" xr:uid="{69474A86-420A-45D8-B99F-CA70073B8382}">
      <text>
        <r>
          <rPr>
            <sz val="9"/>
            <color indexed="81"/>
            <rFont val="Tahoma"/>
            <family val="2"/>
          </rPr>
          <t>Données 2021
Source : [11] SFIC (2022)</t>
        </r>
      </text>
    </comment>
    <comment ref="D15" authorId="0" shapeId="0" xr:uid="{2E33AF13-D4C1-4D19-A9BE-F6D2E13D1958}">
      <text>
        <r>
          <rPr>
            <sz val="9"/>
            <color indexed="81"/>
            <rFont val="Tahoma"/>
            <family val="2"/>
          </rPr>
          <t>Hypothèse construite sur la base d'auditions d'experts.</t>
        </r>
      </text>
    </comment>
    <comment ref="C16" authorId="0" shapeId="0" xr:uid="{BB7AB36E-6B86-4B85-AA9C-4B6B0B048D12}">
      <text>
        <r>
          <rPr>
            <sz val="9"/>
            <color indexed="81"/>
            <rFont val="Tahoma"/>
            <family val="2"/>
          </rPr>
          <t>Données 2021
Source : [11] SFIC (2022)</t>
        </r>
      </text>
    </comment>
    <comment ref="D16" authorId="0" shapeId="0" xr:uid="{C742AAA8-E14B-4828-9F7B-10EEF05C6FA4}">
      <text>
        <r>
          <rPr>
            <sz val="9"/>
            <color indexed="81"/>
            <rFont val="Tahoma"/>
            <family val="2"/>
          </rPr>
          <t>Hypothèse construite sur la base d'auditions d'experts.</t>
        </r>
      </text>
    </comment>
    <comment ref="D17" authorId="0" shapeId="0" xr:uid="{D5B6C2A5-5F84-4B89-B361-4AE11FAE8587}">
      <text>
        <r>
          <rPr>
            <sz val="9"/>
            <color indexed="81"/>
            <rFont val="Tahoma"/>
            <family val="2"/>
          </rPr>
          <t>Hypothèse construite sur la base d'auditions d'experts.</t>
        </r>
      </text>
    </comment>
    <comment ref="D19" authorId="0" shapeId="0" xr:uid="{16F50F52-397F-4174-9C2D-8AC17F9F02B0}">
      <text>
        <r>
          <rPr>
            <sz val="9"/>
            <color indexed="81"/>
            <rFont val="Tahoma"/>
            <family val="2"/>
          </rPr>
          <t>Hypothèse : taux de clinker constant dans ce type de ciment</t>
        </r>
      </text>
    </comment>
    <comment ref="C20" authorId="0" shapeId="0" xr:uid="{92C4DD0B-5378-4CA2-85E5-48B2B31DA0D0}">
      <text>
        <r>
          <rPr>
            <sz val="9"/>
            <color indexed="81"/>
            <rFont val="Tahoma"/>
            <family val="2"/>
          </rPr>
          <t>Données pour le CEM II/A
Hypothèse : déploiement majoritaire des CEM II/A</t>
        </r>
      </text>
    </comment>
    <comment ref="D20" authorId="0" shapeId="0" xr:uid="{D56BC59D-E97D-476A-B495-20C1A95FAD07}">
      <text>
        <r>
          <rPr>
            <sz val="9"/>
            <color indexed="81"/>
            <rFont val="Tahoma"/>
            <family val="2"/>
          </rPr>
          <t>Hypothèse : déploiement des CEM II/B</t>
        </r>
      </text>
    </comment>
    <comment ref="C21" authorId="0" shapeId="0" xr:uid="{A3C222A5-7A69-489B-A01B-B708F4F94881}">
      <text>
        <r>
          <rPr>
            <sz val="9"/>
            <color indexed="81"/>
            <rFont val="Tahoma"/>
            <family val="2"/>
          </rPr>
          <t>Données pour le CEM III/A
Hypothèse : déploiement majoritaire des CEM III/A</t>
        </r>
      </text>
    </comment>
    <comment ref="D21" authorId="0" shapeId="0" xr:uid="{E447E6C5-C4A6-4CC7-8D20-195DEFBCDDEB}">
      <text>
        <r>
          <rPr>
            <sz val="9"/>
            <color indexed="81"/>
            <rFont val="Tahoma"/>
            <family val="2"/>
          </rPr>
          <t>Hypothèse : déploiement des CEM III/B</t>
        </r>
      </text>
    </comment>
    <comment ref="D22" authorId="0" shapeId="0" xr:uid="{ACC8107B-02FC-491A-8F64-E85E75BCC6D0}">
      <text>
        <r>
          <rPr>
            <sz val="9"/>
            <color indexed="81"/>
            <rFont val="Tahoma"/>
            <family val="2"/>
          </rPr>
          <t>Hypothèse : taux de clinker constant dans ce type de ciment</t>
        </r>
      </text>
    </comment>
    <comment ref="D23" authorId="0" shapeId="0" xr:uid="{41236E0F-0E92-404A-A488-80F6BEE730CD}">
      <text>
        <r>
          <rPr>
            <sz val="9"/>
            <color indexed="81"/>
            <rFont val="Tahoma"/>
            <family val="2"/>
          </rPr>
          <t>Hypothèse : taux de clinker constant dans ce type de ciment</t>
        </r>
      </text>
    </comment>
    <comment ref="C24" authorId="0" shapeId="0" xr:uid="{F7E09D0E-CCE4-49D8-8575-8E4CD28B8FCE}">
      <text>
        <r>
          <rPr>
            <sz val="9"/>
            <color indexed="81"/>
            <rFont val="Tahoma"/>
            <family val="2"/>
          </rPr>
          <t>Données 2020.
Source : auditions d'experts.</t>
        </r>
      </text>
    </comment>
    <comment ref="D24" authorId="0" shapeId="0" xr:uid="{7C24D3BE-1339-4A7E-8C41-D2022CCB41C5}">
      <text>
        <r>
          <rPr>
            <sz val="9"/>
            <color indexed="81"/>
            <rFont val="Tahoma"/>
            <family val="2"/>
          </rPr>
          <t>Hypothèse : taux de clinker constant dans ce type de ciment</t>
        </r>
      </text>
    </comment>
    <comment ref="C25" authorId="0" shapeId="0" xr:uid="{44ADB748-7167-47D6-B6B9-05419EF560F9}">
      <text>
        <r>
          <rPr>
            <sz val="9"/>
            <color indexed="81"/>
            <rFont val="Tahoma"/>
            <family val="2"/>
          </rPr>
          <t>Cohérent avec [1] SFIC (2021), p. 13</t>
        </r>
      </text>
    </comment>
    <comment ref="C29" authorId="0" shapeId="0" xr:uid="{7AD2C9C2-FF29-4C9C-907D-872E710C7114}">
      <text>
        <r>
          <rPr>
            <sz val="9"/>
            <color indexed="81"/>
            <rFont val="Tahoma"/>
            <family val="2"/>
          </rPr>
          <t>Données pour le CEM II/A
Hypohtèse : déploiement majoritaire des CEM II/A</t>
        </r>
      </text>
    </comment>
    <comment ref="D29" authorId="0" shapeId="0" xr:uid="{97C06AF1-D139-4BEC-93C7-C21358D42F25}">
      <text>
        <r>
          <rPr>
            <sz val="9"/>
            <color indexed="81"/>
            <rFont val="Tahoma"/>
            <family val="2"/>
          </rPr>
          <t>Hypothèse : déploiement des CEM II/B</t>
        </r>
      </text>
    </comment>
    <comment ref="C30" authorId="0" shapeId="0" xr:uid="{BBB5FA91-E387-412A-8F90-9BD601D58F84}">
      <text>
        <r>
          <rPr>
            <sz val="9"/>
            <color indexed="81"/>
            <rFont val="Tahoma"/>
            <family val="2"/>
          </rPr>
          <t>Données pour le CEM III/A
Hypohtèse : déploiement majoritaire des CEM III/A</t>
        </r>
      </text>
    </comment>
    <comment ref="D30" authorId="0" shapeId="0" xr:uid="{3A486586-63DD-4250-B3E5-F89C4DDFB46A}">
      <text>
        <r>
          <rPr>
            <sz val="9"/>
            <color indexed="81"/>
            <rFont val="Tahoma"/>
            <family val="2"/>
          </rPr>
          <t>Hypothèse : déploiement des CEM III/B</t>
        </r>
      </text>
    </comment>
    <comment ref="C33" authorId="0" shapeId="0" xr:uid="{14FAE87F-BA22-4469-95E4-8BF1357D0AAB}">
      <text>
        <r>
          <rPr>
            <sz val="9"/>
            <color indexed="81"/>
            <rFont val="Tahoma"/>
            <family val="2"/>
          </rPr>
          <t>Hypothèse : contenu carbone pris égal au ciment moyen résultant.</t>
        </r>
      </text>
    </comment>
    <comment ref="D33" authorId="0" shapeId="0" xr:uid="{BBE1B82E-FD5A-4427-9822-D03E66F1A330}">
      <text>
        <r>
          <rPr>
            <sz val="9"/>
            <color indexed="81"/>
            <rFont val="Tahoma"/>
            <family val="2"/>
          </rPr>
          <t>Hypothèse : contenu carbone pris égal au ciment moyen résultant.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MAX TSP</author>
    <author>TSP_MAX</author>
  </authors>
  <commentList>
    <comment ref="B4" authorId="0" shapeId="0" xr:uid="{953D03EB-6E74-4256-9074-1A327144E1B8}">
      <text>
        <r>
          <rPr>
            <sz val="9"/>
            <color indexed="81"/>
            <rFont val="Tahoma"/>
            <family val="2"/>
          </rPr>
          <t>Source : The Shift Project (2021). Habiter en 2050</t>
        </r>
      </text>
    </comment>
    <comment ref="C5" authorId="0" shapeId="0" xr:uid="{EAC0FE64-BEED-4535-9E19-5A3202E44761}">
      <text>
        <r>
          <rPr>
            <sz val="9"/>
            <color indexed="81"/>
            <rFont val="Tahoma"/>
            <family val="2"/>
          </rPr>
          <t>Assimilé à l'état initial "2015" pour cette modélisation</t>
        </r>
      </text>
    </comment>
    <comment ref="C8" authorId="0" shapeId="0" xr:uid="{5C00E1A6-0134-458E-9354-418F9234B7DF}">
      <text>
        <r>
          <rPr>
            <sz val="9"/>
            <color indexed="81"/>
            <rFont val="Tahoma"/>
            <family val="2"/>
          </rPr>
          <t>Données 2021
Source : [4] The Shift Project (2021)</t>
        </r>
      </text>
    </comment>
    <comment ref="D8" authorId="0" shapeId="0" xr:uid="{07BE44B9-9DB8-4B00-AD89-CCBE52366691}">
      <text>
        <r>
          <rPr>
            <sz val="9"/>
            <color indexed="81"/>
            <rFont val="Tahoma"/>
            <family val="2"/>
          </rPr>
          <t>Source : [4] The Shift Project (2021)</t>
        </r>
      </text>
    </comment>
    <comment ref="F8" authorId="0" shapeId="0" xr:uid="{8A8D65BA-071B-4962-A2D8-DE5097A123B0}">
      <text>
        <r>
          <rPr>
            <sz val="9"/>
            <color indexed="81"/>
            <rFont val="Tahoma"/>
            <family val="2"/>
          </rPr>
          <t>Source : [4] The Shift Project (2021)</t>
        </r>
      </text>
    </comment>
    <comment ref="C9" authorId="0" shapeId="0" xr:uid="{0A65403D-E285-4397-BFB3-67DA2E52B708}">
      <text>
        <r>
          <rPr>
            <sz val="9"/>
            <color indexed="81"/>
            <rFont val="Tahoma"/>
            <family val="2"/>
          </rPr>
          <t>Données 2021
Source : [4] The Shift Project (2021)</t>
        </r>
      </text>
    </comment>
    <comment ref="D9" authorId="0" shapeId="0" xr:uid="{28A32D3D-4B3B-41D7-A351-3642099C5EF1}">
      <text>
        <r>
          <rPr>
            <sz val="9"/>
            <color indexed="81"/>
            <rFont val="Tahoma"/>
            <family val="2"/>
          </rPr>
          <t>Source : [4] The Shift Project (2021)</t>
        </r>
      </text>
    </comment>
    <comment ref="F9" authorId="0" shapeId="0" xr:uid="{228AB35D-130D-487F-9756-371DDB006D5C}">
      <text>
        <r>
          <rPr>
            <sz val="9"/>
            <color indexed="81"/>
            <rFont val="Tahoma"/>
            <family val="2"/>
          </rPr>
          <t>Source : [4] The Shift Project (2021)</t>
        </r>
      </text>
    </comment>
    <comment ref="C11" authorId="1" shapeId="0" xr:uid="{CAAEC656-A162-429F-9681-6A0C60DD341D}">
      <text>
        <r>
          <rPr>
            <sz val="9"/>
            <color indexed="81"/>
            <rFont val="Tahoma"/>
            <family val="2"/>
          </rPr>
          <t>Hypothèse, suite à auditions d'experts</t>
        </r>
      </text>
    </comment>
    <comment ref="C12" authorId="1" shapeId="0" xr:uid="{CE87E1FE-DE77-4C5D-B025-42B65B8EB032}">
      <text>
        <r>
          <rPr>
            <sz val="9"/>
            <color indexed="81"/>
            <rFont val="Tahoma"/>
            <family val="2"/>
          </rPr>
          <t>Hypothèse, suite à auditions d'experts</t>
        </r>
      </text>
    </comment>
    <comment ref="B15" authorId="0" shapeId="0" xr:uid="{8137577A-441D-4384-9A91-3EA1840AF948}">
      <text>
        <r>
          <rPr>
            <sz val="9"/>
            <color indexed="81"/>
            <rFont val="Tahoma"/>
            <family val="2"/>
          </rPr>
          <t>Source : The Shift Project (2021). Habiter en 2050</t>
        </r>
      </text>
    </comment>
    <comment ref="C16" authorId="0" shapeId="0" xr:uid="{CD1356A0-38BE-4323-9355-92B4A09E9765}">
      <text>
        <r>
          <rPr>
            <sz val="9"/>
            <color indexed="81"/>
            <rFont val="Tahoma"/>
            <family val="2"/>
          </rPr>
          <t>Assimilé à l'état initial "2015" pour cette modélisation</t>
        </r>
      </text>
    </comment>
    <comment ref="C19" authorId="0" shapeId="0" xr:uid="{F4EC8424-D5CC-4F3A-B9B7-B02ED2252228}">
      <text>
        <r>
          <rPr>
            <sz val="9"/>
            <color indexed="81"/>
            <rFont val="Tahoma"/>
            <family val="2"/>
          </rPr>
          <t>Données 2021
Source : [4] The Shift Project (2021)</t>
        </r>
      </text>
    </comment>
    <comment ref="D19" authorId="0" shapeId="0" xr:uid="{6B091A3A-0EAD-4CA8-8393-09CCF8AEED03}">
      <text>
        <r>
          <rPr>
            <sz val="9"/>
            <color indexed="81"/>
            <rFont val="Tahoma"/>
            <family val="2"/>
          </rPr>
          <t>Source : [4] The Shift Project (2021)</t>
        </r>
      </text>
    </comment>
    <comment ref="F19" authorId="0" shapeId="0" xr:uid="{99274AF7-58A3-4CF1-8576-2B0515AB06A5}">
      <text>
        <r>
          <rPr>
            <sz val="9"/>
            <color indexed="81"/>
            <rFont val="Tahoma"/>
            <family val="2"/>
          </rPr>
          <t>Source : [4] The Shift Project (2021)</t>
        </r>
      </text>
    </comment>
    <comment ref="C20" authorId="0" shapeId="0" xr:uid="{BC5D8921-0FDD-4124-AA60-8E6D21A25215}">
      <text>
        <r>
          <rPr>
            <sz val="9"/>
            <color indexed="81"/>
            <rFont val="Tahoma"/>
            <family val="2"/>
          </rPr>
          <t>Données 2021
Source : [4] The Shift Project (2021)</t>
        </r>
      </text>
    </comment>
    <comment ref="D20" authorId="0" shapeId="0" xr:uid="{8C60960B-3BD1-4C66-86E7-687DBAB241B5}">
      <text>
        <r>
          <rPr>
            <sz val="9"/>
            <color indexed="81"/>
            <rFont val="Tahoma"/>
            <family val="2"/>
          </rPr>
          <t>Source : [4] The Shift Project (2021)</t>
        </r>
      </text>
    </comment>
    <comment ref="F20" authorId="0" shapeId="0" xr:uid="{4CC7AFDE-9B25-4B1B-AD9E-D7DBCAC29885}">
      <text>
        <r>
          <rPr>
            <sz val="9"/>
            <color indexed="81"/>
            <rFont val="Tahoma"/>
            <family val="2"/>
          </rPr>
          <t>Source : [4] The Shift Project (2021)</t>
        </r>
      </text>
    </comment>
    <comment ref="B23" authorId="0" shapeId="0" xr:uid="{5820CBC0-CDD1-4078-9E38-ACA6E0F02AD6}">
      <text>
        <r>
          <rPr>
            <sz val="9"/>
            <color indexed="81"/>
            <rFont val="Tahoma"/>
            <family val="2"/>
          </rPr>
          <t>Source : The Shift Project (2021). Habiter en 2050</t>
        </r>
      </text>
    </comment>
    <comment ref="C26" authorId="0" shapeId="0" xr:uid="{A64F7C5C-24D3-48CC-B2C5-655940547079}">
      <text>
        <r>
          <rPr>
            <sz val="9"/>
            <color indexed="81"/>
            <rFont val="Tahoma"/>
            <family val="2"/>
          </rPr>
          <t>Source : [4] The Shift Project (2021)</t>
        </r>
      </text>
    </comment>
    <comment ref="D26" authorId="0" shapeId="0" xr:uid="{9E921B42-F2F6-4D6A-8F1E-7DEF028214CD}">
      <text>
        <r>
          <rPr>
            <sz val="9"/>
            <color indexed="81"/>
            <rFont val="Tahoma"/>
            <family val="2"/>
          </rPr>
          <t>Source : [4] The Shift Project (2021)</t>
        </r>
      </text>
    </comment>
    <comment ref="C27" authorId="0" shapeId="0" xr:uid="{60E30475-0D99-4E3E-81AE-5A6A14C27239}">
      <text>
        <r>
          <rPr>
            <sz val="9"/>
            <color indexed="81"/>
            <rFont val="Tahoma"/>
            <family val="2"/>
          </rPr>
          <t>Source : [4] The Shift Project (2021)</t>
        </r>
      </text>
    </comment>
    <comment ref="D27" authorId="0" shapeId="0" xr:uid="{DE50D03A-F25B-430A-982F-1AFB8D5D9237}">
      <text>
        <r>
          <rPr>
            <sz val="9"/>
            <color indexed="81"/>
            <rFont val="Tahoma"/>
            <family val="2"/>
          </rPr>
          <t>Source : [4] The Shift Project (2021)</t>
        </r>
      </text>
    </comment>
    <comment ref="C28" authorId="0" shapeId="0" xr:uid="{B6227B47-81EF-44E2-B88C-ABFF2E49B51C}">
      <text>
        <r>
          <rPr>
            <sz val="9"/>
            <color indexed="81"/>
            <rFont val="Tahoma"/>
            <family val="2"/>
          </rPr>
          <t>Source : [4] The Shift Project (2021)</t>
        </r>
      </text>
    </comment>
    <comment ref="D28" authorId="0" shapeId="0" xr:uid="{5A0F03BD-51D3-49E4-BEA6-A603A63FEC9E}">
      <text>
        <r>
          <rPr>
            <sz val="9"/>
            <color indexed="81"/>
            <rFont val="Tahoma"/>
            <family val="2"/>
          </rPr>
          <t>Source : [4] The Shift Project (2021)</t>
        </r>
      </text>
    </comment>
    <comment ref="C30" authorId="1" shapeId="0" xr:uid="{DF2707CE-47F5-4502-AD3B-2F399A01E9D3}">
      <text>
        <r>
          <rPr>
            <sz val="9"/>
            <color indexed="81"/>
            <rFont val="Tahoma"/>
            <family val="2"/>
          </rPr>
          <t>Source : [12] Cerema (2015)</t>
        </r>
      </text>
    </comment>
    <comment ref="B33" authorId="0" shapeId="0" xr:uid="{F9853460-0DD7-46A8-8C32-D94AF26230AA}">
      <text>
        <r>
          <rPr>
            <sz val="9"/>
            <color indexed="81"/>
            <rFont val="Tahoma"/>
            <family val="2"/>
          </rPr>
          <t>Source : The Shift Project (2021). Habiter en 2050</t>
        </r>
      </text>
    </comment>
    <comment ref="C36" authorId="0" shapeId="0" xr:uid="{64E931D5-EA5B-4978-A922-487E0CE9B1F2}">
      <text>
        <r>
          <rPr>
            <sz val="9"/>
            <color indexed="81"/>
            <rFont val="Tahoma"/>
            <family val="2"/>
          </rPr>
          <t>Source : [4] The Shift Project (2021)</t>
        </r>
      </text>
    </comment>
    <comment ref="D36" authorId="0" shapeId="0" xr:uid="{F13A44F2-0359-4445-BF8D-9E76A9B87454}">
      <text>
        <r>
          <rPr>
            <sz val="9"/>
            <color indexed="81"/>
            <rFont val="Tahoma"/>
            <family val="2"/>
          </rPr>
          <t>Source : [4] The Shift Project (2021)</t>
        </r>
      </text>
    </comment>
    <comment ref="C37" authorId="1" shapeId="0" xr:uid="{F82E8DCC-C39B-4FC3-9BA6-42C0A1861089}">
      <text>
        <r>
          <rPr>
            <sz val="9"/>
            <color indexed="81"/>
            <rFont val="Tahoma"/>
            <family val="2"/>
          </rPr>
          <t>Source : [12] Cerema (2015)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MAX TSP</author>
  </authors>
  <commentList>
    <comment ref="B3" authorId="0" shapeId="0" xr:uid="{8651ADB8-3C69-4C12-8FEE-2F68E4D6EC09}">
      <text>
        <r>
          <rPr>
            <sz val="9"/>
            <color indexed="81"/>
            <rFont val="Tahoma"/>
            <family val="2"/>
          </rPr>
          <t>Les effets dus à l'optimisation des quantités de béton par m² ne sont ici pas pris en compte, afin de ne faire apparaître que l'effet relatif des évolutions de parts de marché.</t>
        </r>
      </text>
    </comment>
    <comment ref="C7" authorId="0" shapeId="0" xr:uid="{45FDF7E9-A359-45D9-93DD-A8F6A57587AE}">
      <text>
        <r>
          <rPr>
            <sz val="9"/>
            <color indexed="81"/>
            <rFont val="Tahoma"/>
            <family val="2"/>
          </rPr>
          <t>Source : auditions d'expert</t>
        </r>
      </text>
    </comment>
    <comment ref="E7" authorId="0" shapeId="0" xr:uid="{A43CAB14-4498-4951-99EC-0C7B1CFA0923}">
      <text>
        <r>
          <rPr>
            <sz val="9"/>
            <color indexed="81"/>
            <rFont val="Tahoma"/>
            <family val="2"/>
          </rPr>
          <t>Source : auditions d'expert</t>
        </r>
      </text>
    </comment>
    <comment ref="G7" authorId="0" shapeId="0" xr:uid="{40D34587-A3B6-4EFA-89BD-17FBD619A27A}">
      <text>
        <r>
          <rPr>
            <sz val="9"/>
            <color indexed="81"/>
            <rFont val="Tahoma"/>
            <family val="2"/>
          </rPr>
          <t>Hypothèse de transformation PTEF, sur base d'auditions d'experts</t>
        </r>
      </text>
    </comment>
    <comment ref="I7" authorId="0" shapeId="0" xr:uid="{6A20204B-0B8C-4C63-B47F-E9F5587492F0}">
      <text>
        <r>
          <rPr>
            <sz val="9"/>
            <color indexed="81"/>
            <rFont val="Tahoma"/>
            <family val="2"/>
          </rPr>
          <t>Les hypothèse à 2050 sur l'évolution des parts de marché du béton dans la construction sont formulées sur la structure totale et non sur chaque lot.</t>
        </r>
      </text>
    </comment>
    <comment ref="C8" authorId="0" shapeId="0" xr:uid="{3541EFAB-3CA3-475E-9923-D56F183743C5}">
      <text>
        <r>
          <rPr>
            <sz val="9"/>
            <color indexed="81"/>
            <rFont val="Tahoma"/>
            <family val="2"/>
          </rPr>
          <t>Source : auditions d'expert</t>
        </r>
      </text>
    </comment>
    <comment ref="E8" authorId="0" shapeId="0" xr:uid="{E0A941C7-5D55-4E12-85F1-7BED3692AF1F}">
      <text>
        <r>
          <rPr>
            <sz val="9"/>
            <color indexed="81"/>
            <rFont val="Tahoma"/>
            <family val="2"/>
          </rPr>
          <t>Source : auditions d'expert</t>
        </r>
      </text>
    </comment>
    <comment ref="G8" authorId="0" shapeId="0" xr:uid="{4540BA41-FF8E-45C8-9635-8E7E2B554F87}">
      <text>
        <r>
          <rPr>
            <sz val="9"/>
            <color indexed="81"/>
            <rFont val="Tahoma"/>
            <family val="2"/>
          </rPr>
          <t>Hypothèse de transformation PTEF, sur base d'auditions d'experts</t>
        </r>
      </text>
    </comment>
    <comment ref="C9" authorId="0" shapeId="0" xr:uid="{182507C9-ED33-429D-8AE4-62D9D47E912E}">
      <text>
        <r>
          <rPr>
            <sz val="9"/>
            <color indexed="81"/>
            <rFont val="Tahoma"/>
            <family val="2"/>
          </rPr>
          <t>Source : auditions d'expert</t>
        </r>
      </text>
    </comment>
    <comment ref="E9" authorId="0" shapeId="0" xr:uid="{101B44BF-BFEE-4459-92F5-C00DD5155884}">
      <text>
        <r>
          <rPr>
            <sz val="9"/>
            <color indexed="81"/>
            <rFont val="Tahoma"/>
            <family val="2"/>
          </rPr>
          <t>Source : auditions d'expert</t>
        </r>
      </text>
    </comment>
    <comment ref="G9" authorId="0" shapeId="0" xr:uid="{DF3A8B11-AEF8-4330-B100-D49ABCD78C64}">
      <text>
        <r>
          <rPr>
            <sz val="9"/>
            <color indexed="81"/>
            <rFont val="Tahoma"/>
            <family val="2"/>
          </rPr>
          <t>Hypothèse de transformation PTEF, sur base d'auditions d'experts</t>
        </r>
      </text>
    </comment>
    <comment ref="C12" authorId="0" shapeId="0" xr:uid="{F5A5252B-E9A8-4259-B7A7-F96DDD1C9862}">
      <text>
        <r>
          <rPr>
            <sz val="9"/>
            <color indexed="81"/>
            <rFont val="Tahoma"/>
            <family val="2"/>
          </rPr>
          <t>Source : auditions d'expert</t>
        </r>
      </text>
    </comment>
    <comment ref="E12" authorId="0" shapeId="0" xr:uid="{F8FD130F-9168-4CA4-90D0-C6E163CD248F}">
      <text>
        <r>
          <rPr>
            <sz val="9"/>
            <color indexed="81"/>
            <rFont val="Tahoma"/>
            <family val="2"/>
          </rPr>
          <t>Source : auditions d'expert</t>
        </r>
      </text>
    </comment>
    <comment ref="G12" authorId="0" shapeId="0" xr:uid="{1F5A7EEA-A11A-458C-B55C-077456CE0BF3}">
      <text>
        <r>
          <rPr>
            <sz val="9"/>
            <color indexed="81"/>
            <rFont val="Tahoma"/>
            <family val="2"/>
          </rPr>
          <t>Hypothèse de transformation PTEF, sur base d'auditions d'experts</t>
        </r>
      </text>
    </comment>
    <comment ref="I12" authorId="0" shapeId="0" xr:uid="{42F269C5-2FC9-4DEE-AAB1-FE359D5B3F1D}">
      <text>
        <r>
          <rPr>
            <sz val="9"/>
            <color indexed="81"/>
            <rFont val="Tahoma"/>
            <family val="2"/>
          </rPr>
          <t>Les hypothèse à 2050 sur l'évolution des parts de marché du béton dans la construction sont formulées sur la structure totale et non sur chaque lot.</t>
        </r>
      </text>
    </comment>
    <comment ref="C13" authorId="0" shapeId="0" xr:uid="{210118FD-C3E2-4A08-B81E-300027CA2B98}">
      <text>
        <r>
          <rPr>
            <sz val="9"/>
            <color indexed="81"/>
            <rFont val="Tahoma"/>
            <family val="2"/>
          </rPr>
          <t>Source : auditions d'expert</t>
        </r>
      </text>
    </comment>
    <comment ref="E13" authorId="0" shapeId="0" xr:uid="{A303431B-FA80-476C-A1C6-A3DF0B6F0DA0}">
      <text>
        <r>
          <rPr>
            <sz val="9"/>
            <color indexed="81"/>
            <rFont val="Tahoma"/>
            <family val="2"/>
          </rPr>
          <t>Source : auditions d'expert</t>
        </r>
      </text>
    </comment>
    <comment ref="G13" authorId="0" shapeId="0" xr:uid="{4876B12D-A737-4481-BAA0-5614E88F06DF}">
      <text>
        <r>
          <rPr>
            <sz val="9"/>
            <color indexed="81"/>
            <rFont val="Tahoma"/>
            <family val="2"/>
          </rPr>
          <t>Hypothèse de transformation PTEF, sur base d'auditions d'experts</t>
        </r>
      </text>
    </comment>
    <comment ref="C14" authorId="0" shapeId="0" xr:uid="{E1FD2775-130D-43F7-966E-D846EB5D7AD9}">
      <text>
        <r>
          <rPr>
            <sz val="9"/>
            <color indexed="81"/>
            <rFont val="Tahoma"/>
            <family val="2"/>
          </rPr>
          <t>Source : auditions d'expert</t>
        </r>
      </text>
    </comment>
    <comment ref="E14" authorId="0" shapeId="0" xr:uid="{A9552DFA-A4B4-4A45-9BFF-6098E580F132}">
      <text>
        <r>
          <rPr>
            <sz val="9"/>
            <color indexed="81"/>
            <rFont val="Tahoma"/>
            <family val="2"/>
          </rPr>
          <t>Source : auditions d'expert</t>
        </r>
      </text>
    </comment>
    <comment ref="G14" authorId="0" shapeId="0" xr:uid="{04A785E2-98C8-4315-A827-B81BDE0CBFB6}">
      <text>
        <r>
          <rPr>
            <sz val="9"/>
            <color indexed="81"/>
            <rFont val="Tahoma"/>
            <family val="2"/>
          </rPr>
          <t>Hypothèse de transformation PTEF, sur base d'auditions d'experts</t>
        </r>
      </text>
    </comment>
    <comment ref="B17" authorId="0" shapeId="0" xr:uid="{927B95CC-2F07-4596-8806-4B37C78B0D82}">
      <text>
        <r>
          <rPr>
            <sz val="9"/>
            <color indexed="81"/>
            <rFont val="Tahoma"/>
            <family val="2"/>
          </rPr>
          <t>Les effets dus à l'optimisation des quantités de béton par m² ne sont ici pas pris en compte, afin de ne faire apparaître que l'effet relatif des évolutions de parts de marché.</t>
        </r>
      </text>
    </comment>
    <comment ref="G21" authorId="0" shapeId="0" xr:uid="{0F7B7372-E7CD-4B01-8FF5-5BE9723A85EC}">
      <text>
        <r>
          <rPr>
            <sz val="9"/>
            <color indexed="81"/>
            <rFont val="Tahoma"/>
            <family val="2"/>
          </rPr>
          <t>Hypothèses : l'augmentation des parts de marché des biosourcés entre 2030 et 2050 ne concerne pas le lot constructif "Murs", dont la part de béton est considérée comme restant stable sur cette période.</t>
        </r>
      </text>
    </comment>
    <comment ref="C22" authorId="0" shapeId="0" xr:uid="{2158A6BC-44A9-439C-8D15-A08401A7D2E3}">
      <text>
        <r>
          <rPr>
            <sz val="9"/>
            <color indexed="81"/>
            <rFont val="Tahoma"/>
            <family val="2"/>
          </rPr>
          <t xml:space="preserve">Hypothèse : on considère le poids du lot constructif "Murs" dans la consommation totale de la maison individuelle en béton comme étant représentatif du poids en tout matériaux de ce lot. </t>
        </r>
      </text>
    </comment>
    <comment ref="E22" authorId="0" shapeId="0" xr:uid="{59B19ABF-0FEE-41A0-814D-AB9184F610D7}">
      <text>
        <r>
          <rPr>
            <sz val="9"/>
            <color indexed="81"/>
            <rFont val="Tahoma"/>
            <family val="2"/>
          </rPr>
          <t xml:space="preserve">Hypothèse : on considère le poids du lot constructif "Murs" dans la consommation totale de la maison individuelle en béton comme étant représentatif du poids en tout matériaux de ce lot. </t>
        </r>
      </text>
    </comment>
    <comment ref="G22" authorId="0" shapeId="0" xr:uid="{1EE887C3-CA53-4C8D-8116-77082E80FC9A}">
      <text>
        <r>
          <rPr>
            <sz val="9"/>
            <color indexed="81"/>
            <rFont val="Tahoma"/>
            <family val="2"/>
          </rPr>
          <t>Hypothèse PTEF : stabilisation des parts de marché des autres matériaux de construction (géosourcés etc.) dans le lot constructif "Murs" à partir de 2030.</t>
        </r>
      </text>
    </comment>
    <comment ref="C24" authorId="0" shapeId="0" xr:uid="{C2F9AE16-2AEE-42E4-9514-09C241DA7253}">
      <text>
        <r>
          <rPr>
            <sz val="9"/>
            <color indexed="81"/>
            <rFont val="Tahoma"/>
            <family val="2"/>
          </rPr>
          <t>Source : auditions d'expert</t>
        </r>
      </text>
    </comment>
    <comment ref="E24" authorId="0" shapeId="0" xr:uid="{0537DCF2-B61B-4273-BC25-C3A7EB012C7C}">
      <text>
        <r>
          <rPr>
            <sz val="9"/>
            <color indexed="81"/>
            <rFont val="Tahoma"/>
            <family val="2"/>
          </rPr>
          <t>Hypothèse de transformation PTEF, sur base d'auditions d'experts</t>
        </r>
      </text>
    </comment>
    <comment ref="G24" authorId="0" shapeId="0" xr:uid="{EB04C7CD-4C42-4A0F-B96A-3A153C2ADEC6}">
      <text>
        <r>
          <rPr>
            <sz val="9"/>
            <color indexed="81"/>
            <rFont val="Tahoma"/>
            <family val="2"/>
          </rPr>
          <t>Hypothèse PTEF : augmentation de 10 % des parts de marché des biosourcés entre 2030 et 2050</t>
        </r>
      </text>
    </comment>
    <comment ref="G27" authorId="0" shapeId="0" xr:uid="{ADCCFCA6-8FA1-4615-AB3C-0F8077C361F3}">
      <text>
        <r>
          <rPr>
            <sz val="9"/>
            <color indexed="81"/>
            <rFont val="Tahoma"/>
            <family val="2"/>
          </rPr>
          <t>Hypothèses : l'augmentation des parts de marché des biosourcés entre 2030 et 2050 ne concerne pas le lot constructif "Murs", dont la part de béton est considérée comme restant stable sur cette période.</t>
        </r>
      </text>
    </comment>
    <comment ref="C28" authorId="0" shapeId="0" xr:uid="{08085E38-86BE-4B49-9C25-A39449501DA8}">
      <text>
        <r>
          <rPr>
            <sz val="9"/>
            <color indexed="81"/>
            <rFont val="Tahoma"/>
            <family val="2"/>
          </rPr>
          <t>Source : auditions d'expert
(l'hypothèse utilisée pour la Maison individuelle n'est pas valable ou réplicable sur le logement collectif)</t>
        </r>
      </text>
    </comment>
    <comment ref="E28" authorId="0" shapeId="0" xr:uid="{CD503885-D57C-4854-AF38-545E366B79A1}">
      <text>
        <r>
          <rPr>
            <sz val="9"/>
            <color indexed="81"/>
            <rFont val="Tahoma"/>
            <family val="2"/>
          </rPr>
          <t>Hypothèse PTEF : stabilité des parts de marché du béton dans le lot constructif "Murs".</t>
        </r>
      </text>
    </comment>
    <comment ref="G28" authorId="0" shapeId="0" xr:uid="{A5770A5F-8F15-4CC7-92D7-10582F571B9E}">
      <text>
        <r>
          <rPr>
            <sz val="9"/>
            <color indexed="81"/>
            <rFont val="Tahoma"/>
            <family val="2"/>
          </rPr>
          <t>Hypothèse PTEF : stabilité des parts de marché du béton dans le lot constructif "Murs".</t>
        </r>
      </text>
    </comment>
    <comment ref="C30" authorId="0" shapeId="0" xr:uid="{A2D48C7B-B423-448B-A6C8-3DD5016F2B57}">
      <text>
        <r>
          <rPr>
            <sz val="9"/>
            <color indexed="81"/>
            <rFont val="Tahoma"/>
            <family val="2"/>
          </rPr>
          <t>Source : auditions d'expert</t>
        </r>
      </text>
    </comment>
    <comment ref="E30" authorId="0" shapeId="0" xr:uid="{E41AD3F5-6666-4410-93C6-A3A6932CB266}">
      <text>
        <r>
          <rPr>
            <sz val="9"/>
            <color indexed="81"/>
            <rFont val="Tahoma"/>
            <family val="2"/>
          </rPr>
          <t>Hypothèse de transformation PTEF, sur base d'auditions d'experts</t>
        </r>
      </text>
    </comment>
    <comment ref="G30" authorId="0" shapeId="0" xr:uid="{238B5E20-7083-4D48-AAC2-2F36D7ADCCED}">
      <text>
        <r>
          <rPr>
            <sz val="9"/>
            <color indexed="81"/>
            <rFont val="Tahoma"/>
            <family val="2"/>
          </rPr>
          <t>Hypothèse PTEF : augmentation de 10 % des parts de marché des biosourcés entre 2030 et 2050</t>
        </r>
      </text>
    </comment>
  </commentList>
</comments>
</file>

<file path=xl/sharedStrings.xml><?xml version="1.0" encoding="utf-8"?>
<sst xmlns="http://schemas.openxmlformats.org/spreadsheetml/2006/main" count="335" uniqueCount="257">
  <si>
    <t>: par calcul</t>
  </si>
  <si>
    <t>Description filière "Ciment"</t>
  </si>
  <si>
    <t>GES filière "Ciment"</t>
  </si>
  <si>
    <t>Production (en Mt/an)</t>
  </si>
  <si>
    <r>
      <rPr>
        <b/>
        <sz val="8"/>
        <color rgb="FF00005A"/>
        <rFont val="Arial"/>
      </rPr>
      <t>Emissions territoriales (en MtCO</t>
    </r>
    <r>
      <rPr>
        <b/>
        <vertAlign val="subscript"/>
        <sz val="8"/>
        <color rgb="FF00005A"/>
        <rFont val="Arial"/>
      </rPr>
      <t>2</t>
    </r>
    <r>
      <rPr>
        <b/>
        <sz val="8"/>
        <color rgb="FF00005A"/>
        <rFont val="Arial"/>
      </rPr>
      <t>e/an)</t>
    </r>
  </si>
  <si>
    <t>Composition ciment et béton</t>
  </si>
  <si>
    <r>
      <t>Intensité carbone unitaire de production (en tCO</t>
    </r>
    <r>
      <rPr>
        <b/>
        <vertAlign val="subscript"/>
        <sz val="8"/>
        <color theme="1"/>
        <rFont val="Arial"/>
        <family val="2"/>
      </rPr>
      <t>2</t>
    </r>
    <r>
      <rPr>
        <b/>
        <sz val="8"/>
        <color theme="1"/>
        <rFont val="Arial"/>
        <family val="2"/>
      </rPr>
      <t>e/t)</t>
    </r>
  </si>
  <si>
    <r>
      <t>Contenu en ciment du béton (en t</t>
    </r>
    <r>
      <rPr>
        <vertAlign val="subscript"/>
        <sz val="8"/>
        <color theme="1"/>
        <rFont val="Arial"/>
        <family val="2"/>
      </rPr>
      <t>ciment</t>
    </r>
    <r>
      <rPr>
        <sz val="8"/>
        <color theme="1"/>
        <rFont val="Arial"/>
        <family val="2"/>
      </rPr>
      <t>/m</t>
    </r>
    <r>
      <rPr>
        <vertAlign val="superscript"/>
        <sz val="8"/>
        <color theme="1"/>
        <rFont val="Arial"/>
        <family val="2"/>
      </rPr>
      <t>3</t>
    </r>
    <r>
      <rPr>
        <vertAlign val="subscript"/>
        <sz val="8"/>
        <color theme="1"/>
        <rFont val="Arial"/>
        <family val="2"/>
      </rPr>
      <t>béton</t>
    </r>
    <r>
      <rPr>
        <sz val="8"/>
        <color theme="1"/>
        <rFont val="Arial"/>
        <family val="2"/>
      </rPr>
      <t>)</t>
    </r>
  </si>
  <si>
    <t>Production de ciment</t>
  </si>
  <si>
    <t>Contenu en clinker du ciment (en % de masse)</t>
  </si>
  <si>
    <t>Leviers portant sur les GES d'origine énergétique pour la production du ciment</t>
  </si>
  <si>
    <t>Part des GES énergétiques dans les GES de la prod. du ciment (en %)</t>
  </si>
  <si>
    <t>Amélioration de l'efficacité énergétique par rapport à 2018 (en %)</t>
  </si>
  <si>
    <t>Part de combustibles alternatifs (en %)</t>
  </si>
  <si>
    <t>Volume combustibles total (en Mt)</t>
  </si>
  <si>
    <t>Volume combustibles alternatifs (en Mt)</t>
  </si>
  <si>
    <t>Part CSR dans volume total combustibles (en %)</t>
  </si>
  <si>
    <t>Volume combustibles biomasse (en Mt)</t>
  </si>
  <si>
    <t>Part biomasse dans combustibles alternatifs (en %)</t>
  </si>
  <si>
    <r>
      <t>Evolution des émisions GES, par levier (en MtCO</t>
    </r>
    <r>
      <rPr>
        <b/>
        <vertAlign val="subscript"/>
        <sz val="8"/>
        <color theme="1"/>
        <rFont val="Arial"/>
        <family val="2"/>
      </rPr>
      <t>2</t>
    </r>
    <r>
      <rPr>
        <b/>
        <sz val="8"/>
        <color theme="1"/>
        <rFont val="Arial"/>
        <family val="2"/>
      </rPr>
      <t>e/an, par rapport à l'état intial)</t>
    </r>
  </si>
  <si>
    <t>Amélioration de l'efficacité énergétique</t>
  </si>
  <si>
    <t>Changement de mix énergétique</t>
  </si>
  <si>
    <t>dont augmentation de la part de combustibles déchets et CSR</t>
  </si>
  <si>
    <t>dont augmentation de la part de biomasse dans les combustibles</t>
  </si>
  <si>
    <t>Réduction de la teneur en clinker</t>
  </si>
  <si>
    <t>CCS</t>
  </si>
  <si>
    <t>Sobriété optimisation béton</t>
  </si>
  <si>
    <t>Substitution par autres matériaux</t>
  </si>
  <si>
    <t>Sobriété dans la construction neuve</t>
  </si>
  <si>
    <t>Description filière "Béton"</t>
  </si>
  <si>
    <t>GES filière "Béton"</t>
  </si>
  <si>
    <r>
      <rPr>
        <b/>
        <sz val="8"/>
        <color rgb="FF00005A"/>
        <rFont val="Arial"/>
      </rPr>
      <t>Production (en Mm</t>
    </r>
    <r>
      <rPr>
        <b/>
        <vertAlign val="superscript"/>
        <sz val="8"/>
        <color rgb="FF00005A"/>
        <rFont val="Arial"/>
      </rPr>
      <t>3</t>
    </r>
    <r>
      <rPr>
        <b/>
        <sz val="8"/>
        <color rgb="FF00005A"/>
        <rFont val="Arial"/>
      </rPr>
      <t>/an)</t>
    </r>
  </si>
  <si>
    <r>
      <t>Emissions territoriales (en MtCO</t>
    </r>
    <r>
      <rPr>
        <b/>
        <vertAlign val="subscript"/>
        <sz val="8"/>
        <color theme="1"/>
        <rFont val="Arial"/>
        <family val="2"/>
      </rPr>
      <t>2</t>
    </r>
    <r>
      <rPr>
        <b/>
        <sz val="8"/>
        <color theme="1"/>
        <rFont val="Arial"/>
        <family val="2"/>
      </rPr>
      <t>e/an)</t>
    </r>
  </si>
  <si>
    <t>Contenu ciment du béton</t>
  </si>
  <si>
    <r>
      <t>Intensité carbone unitaire de production des constituants du béton (en tCO</t>
    </r>
    <r>
      <rPr>
        <b/>
        <vertAlign val="subscript"/>
        <sz val="8"/>
        <color theme="1"/>
        <rFont val="Arial"/>
        <family val="2"/>
      </rPr>
      <t>2</t>
    </r>
    <r>
      <rPr>
        <b/>
        <sz val="8"/>
        <color theme="1"/>
        <rFont val="Arial"/>
        <family val="2"/>
      </rPr>
      <t>e/t)</t>
    </r>
  </si>
  <si>
    <r>
      <t>Contenu moyen (en t</t>
    </r>
    <r>
      <rPr>
        <vertAlign val="subscript"/>
        <sz val="8"/>
        <color theme="1"/>
        <rFont val="Arial"/>
        <family val="2"/>
      </rPr>
      <t>ciment</t>
    </r>
    <r>
      <rPr>
        <sz val="8"/>
        <color theme="1"/>
        <rFont val="Arial"/>
        <family val="2"/>
      </rPr>
      <t>/m</t>
    </r>
    <r>
      <rPr>
        <vertAlign val="superscript"/>
        <sz val="8"/>
        <color theme="1"/>
        <rFont val="Arial"/>
        <family val="2"/>
      </rPr>
      <t>3</t>
    </r>
    <r>
      <rPr>
        <vertAlign val="subscript"/>
        <sz val="8"/>
        <color theme="1"/>
        <rFont val="Arial"/>
        <family val="2"/>
      </rPr>
      <t>béton</t>
    </r>
    <r>
      <rPr>
        <sz val="8"/>
        <color theme="1"/>
        <rFont val="Arial"/>
        <family val="2"/>
      </rPr>
      <t>)</t>
    </r>
  </si>
  <si>
    <t>Répartition par type d'ouvrage (en %)</t>
  </si>
  <si>
    <t>Production d'acier</t>
  </si>
  <si>
    <t>Maison individuelle (MI)</t>
  </si>
  <si>
    <t>Production autres constituants béton</t>
  </si>
  <si>
    <t>Logement collectif (LC)</t>
  </si>
  <si>
    <t>Composition du béton</t>
  </si>
  <si>
    <t>Total logement neuf</t>
  </si>
  <si>
    <t>Part du ciment dans le béton (en %)</t>
  </si>
  <si>
    <t>Tertiaire</t>
  </si>
  <si>
    <t>Part de l'acier dans le béton (en %)</t>
  </si>
  <si>
    <t>Bâtiment industriel et agricole et autres</t>
  </si>
  <si>
    <t>Part des autres constituants du béton (en %)</t>
  </si>
  <si>
    <t>Total construction neuve</t>
  </si>
  <si>
    <r>
      <t>Intensité carbone unitaire de production du béton (en tCO</t>
    </r>
    <r>
      <rPr>
        <b/>
        <vertAlign val="subscript"/>
        <sz val="8"/>
        <color theme="1"/>
        <rFont val="Arial"/>
        <family val="2"/>
      </rPr>
      <t>2</t>
    </r>
    <r>
      <rPr>
        <b/>
        <sz val="8"/>
        <color theme="1"/>
        <rFont val="Arial"/>
        <family val="2"/>
      </rPr>
      <t>e/m</t>
    </r>
    <r>
      <rPr>
        <b/>
        <vertAlign val="superscript"/>
        <sz val="8"/>
        <color theme="1"/>
        <rFont val="Arial"/>
        <family val="2"/>
      </rPr>
      <t>3</t>
    </r>
    <r>
      <rPr>
        <b/>
        <sz val="8"/>
        <color theme="1"/>
        <rFont val="Arial"/>
        <family val="2"/>
      </rPr>
      <t>)</t>
    </r>
  </si>
  <si>
    <t>Rénovation dans le bâtiment</t>
  </si>
  <si>
    <t>Production du béton</t>
  </si>
  <si>
    <t>TPGC</t>
  </si>
  <si>
    <t>Carbonatation et recyclage du béton</t>
  </si>
  <si>
    <t>dont routes</t>
  </si>
  <si>
    <t>dont Génie Civil</t>
  </si>
  <si>
    <t>dont Entretien des travaux publics</t>
  </si>
  <si>
    <t>Amélioration acier et granulats</t>
  </si>
  <si>
    <t>Evolutions des activités par rapport à 2015 (en %)</t>
  </si>
  <si>
    <t>Réduction de la teneur en clinker du ciment</t>
  </si>
  <si>
    <t>Sobriété par optimisation béton</t>
  </si>
  <si>
    <t>Bâtiment industriel et agricole</t>
  </si>
  <si>
    <t>Total</t>
  </si>
  <si>
    <r>
      <t>Optimisation - Evolution de la demande unitaire en m</t>
    </r>
    <r>
      <rPr>
        <b/>
        <vertAlign val="superscript"/>
        <sz val="8"/>
        <color theme="1"/>
        <rFont val="Arial"/>
        <family val="2"/>
      </rPr>
      <t>3</t>
    </r>
    <r>
      <rPr>
        <b/>
        <sz val="8"/>
        <color theme="1"/>
        <rFont val="Arial"/>
        <family val="2"/>
      </rPr>
      <t xml:space="preserve"> de béton par m</t>
    </r>
    <r>
      <rPr>
        <b/>
        <vertAlign val="superscript"/>
        <sz val="8"/>
        <color theme="1"/>
        <rFont val="Arial"/>
        <family val="2"/>
      </rPr>
      <t>2</t>
    </r>
    <r>
      <rPr>
        <b/>
        <sz val="8"/>
        <color theme="1"/>
        <rFont val="Arial"/>
        <family val="2"/>
      </rPr>
      <t xml:space="preserve"> construit par rapport à 2015 (en %)</t>
    </r>
  </si>
  <si>
    <t>Evolution de la demande en béton par substitution par matériaux bio- et géosourcés par rapport à 2015 (en %)</t>
  </si>
  <si>
    <t>en %, par rapport à 2015</t>
  </si>
  <si>
    <t>Production d'acier dans le PTEF</t>
  </si>
  <si>
    <r>
      <t>Intensité carbone moyenne (en tCO</t>
    </r>
    <r>
      <rPr>
        <b/>
        <vertAlign val="subscript"/>
        <sz val="8"/>
        <color theme="1"/>
        <rFont val="Arial"/>
        <family val="2"/>
      </rPr>
      <t>2</t>
    </r>
    <r>
      <rPr>
        <b/>
        <sz val="8"/>
        <color theme="1"/>
        <rFont val="Arial"/>
        <family val="2"/>
      </rPr>
      <t>e/t)</t>
    </r>
  </si>
  <si>
    <r>
      <t>Intensité carbone par voie de production (en tCO</t>
    </r>
    <r>
      <rPr>
        <b/>
        <vertAlign val="subscript"/>
        <sz val="8"/>
        <color theme="1"/>
        <rFont val="Arial"/>
        <family val="2"/>
      </rPr>
      <t>2</t>
    </r>
    <r>
      <rPr>
        <b/>
        <sz val="8"/>
        <color theme="1"/>
        <rFont val="Arial"/>
        <family val="2"/>
      </rPr>
      <t>e/t)</t>
    </r>
  </si>
  <si>
    <t>Hauts-fourneaux (BOF)</t>
  </si>
  <si>
    <t>Filière électrique</t>
  </si>
  <si>
    <t>Réduction directe par hydrogène (DRI)</t>
  </si>
  <si>
    <t>Répartition des volumes produits en France, par voie de production (en %)</t>
  </si>
  <si>
    <t>Filière électrique (EAF)</t>
  </si>
  <si>
    <t>Données de la FDES "Poteau en béton armé" (INIES, 2019)</t>
  </si>
  <si>
    <t>Traduction en valeurs GES pour un béton moyen</t>
  </si>
  <si>
    <t xml:space="preserve">Données FDES </t>
  </si>
  <si>
    <t>(INIES, 2021)</t>
  </si>
  <si>
    <t>(INIES, 2019a)</t>
  </si>
  <si>
    <t>(INIES, 2019b)</t>
  </si>
  <si>
    <t>(INIES, 2019c)</t>
  </si>
  <si>
    <t>(INIES, 2018a)</t>
  </si>
  <si>
    <t>(INIES, 2018b)</t>
  </si>
  <si>
    <t>(INIES, 2018c)</t>
  </si>
  <si>
    <t>(INIES, 2018d)</t>
  </si>
  <si>
    <t>(INIES, 2018e)</t>
  </si>
  <si>
    <t>Unité fonctionnelle</t>
  </si>
  <si>
    <r>
      <t>Total étape de production (en kgCO</t>
    </r>
    <r>
      <rPr>
        <b/>
        <vertAlign val="subscript"/>
        <sz val="8"/>
        <color theme="1"/>
        <rFont val="Arial"/>
        <family val="2"/>
      </rPr>
      <t>2</t>
    </r>
    <r>
      <rPr>
        <b/>
        <sz val="8"/>
        <color theme="1"/>
        <rFont val="Arial"/>
        <family val="2"/>
      </rPr>
      <t>e/m</t>
    </r>
    <r>
      <rPr>
        <b/>
        <vertAlign val="superscript"/>
        <sz val="8"/>
        <color theme="1"/>
        <rFont val="Arial"/>
        <family val="2"/>
      </rPr>
      <t>3</t>
    </r>
    <r>
      <rPr>
        <b/>
        <sz val="8"/>
        <color theme="1"/>
        <rFont val="Arial"/>
        <family val="2"/>
      </rPr>
      <t>)</t>
    </r>
  </si>
  <si>
    <t>Section du poteau (en m²)</t>
  </si>
  <si>
    <r>
      <t>Total carbonatation en phase d'usage (en kgCO</t>
    </r>
    <r>
      <rPr>
        <vertAlign val="subscript"/>
        <sz val="8"/>
        <color theme="1"/>
        <rFont val="Arial"/>
        <family val="2"/>
      </rPr>
      <t>2</t>
    </r>
    <r>
      <rPr>
        <sz val="8"/>
        <color theme="1"/>
        <rFont val="Arial"/>
        <family val="2"/>
      </rPr>
      <t>e/m</t>
    </r>
    <r>
      <rPr>
        <vertAlign val="superscript"/>
        <sz val="8"/>
        <color theme="1"/>
        <rFont val="Arial"/>
        <family val="2"/>
      </rPr>
      <t>3</t>
    </r>
    <r>
      <rPr>
        <sz val="8"/>
        <color theme="1"/>
        <rFont val="Arial"/>
        <family val="2"/>
      </rPr>
      <t>)</t>
    </r>
  </si>
  <si>
    <t>Surface de la dalle (en m²)</t>
  </si>
  <si>
    <t>Longueur du poteau (en m)</t>
  </si>
  <si>
    <r>
      <t>Total phase de fin de vie (en kgCO</t>
    </r>
    <r>
      <rPr>
        <vertAlign val="subscript"/>
        <sz val="8"/>
        <color theme="1"/>
        <rFont val="Arial"/>
        <family val="2"/>
      </rPr>
      <t>2</t>
    </r>
    <r>
      <rPr>
        <sz val="8"/>
        <color theme="1"/>
        <rFont val="Arial"/>
        <family val="2"/>
      </rPr>
      <t>e/m</t>
    </r>
    <r>
      <rPr>
        <vertAlign val="superscript"/>
        <sz val="8"/>
        <color theme="1"/>
        <rFont val="Arial"/>
        <family val="2"/>
      </rPr>
      <t>3</t>
    </r>
    <r>
      <rPr>
        <sz val="8"/>
        <color theme="1"/>
        <rFont val="Arial"/>
        <family val="2"/>
      </rPr>
      <t>)</t>
    </r>
  </si>
  <si>
    <t>Epaisseur de la dalle (en m)</t>
  </si>
  <si>
    <r>
      <t>Volume du poteau (en m</t>
    </r>
    <r>
      <rPr>
        <vertAlign val="superscript"/>
        <sz val="8"/>
        <color theme="1"/>
        <rFont val="Arial"/>
        <family val="2"/>
      </rPr>
      <t>3</t>
    </r>
    <r>
      <rPr>
        <sz val="8"/>
        <color theme="1"/>
        <rFont val="Arial"/>
        <family val="2"/>
      </rPr>
      <t>)</t>
    </r>
  </si>
  <si>
    <t>Masse de béton dans le poteau (en kg)</t>
  </si>
  <si>
    <t>Bilan GES en approche ACV</t>
  </si>
  <si>
    <t>Masse d'acier dans le poteau (en kg)</t>
  </si>
  <si>
    <r>
      <t>Total étape de production (en kgCO</t>
    </r>
    <r>
      <rPr>
        <vertAlign val="subscript"/>
        <sz val="8"/>
        <color theme="1"/>
        <rFont val="Arial"/>
        <family val="2"/>
      </rPr>
      <t>2</t>
    </r>
    <r>
      <rPr>
        <sz val="8"/>
        <color theme="1"/>
        <rFont val="Arial"/>
        <family val="2"/>
      </rPr>
      <t>e)</t>
    </r>
  </si>
  <si>
    <r>
      <t>Masse volumique du poteau (en t/m</t>
    </r>
    <r>
      <rPr>
        <vertAlign val="superscript"/>
        <sz val="8"/>
        <color theme="1"/>
        <rFont val="Arial"/>
        <family val="2"/>
      </rPr>
      <t>3</t>
    </r>
    <r>
      <rPr>
        <sz val="8"/>
        <color theme="1"/>
        <rFont val="Arial"/>
        <family val="2"/>
      </rPr>
      <t>)</t>
    </r>
  </si>
  <si>
    <r>
      <rPr>
        <i/>
        <sz val="8"/>
        <color theme="1"/>
        <rFont val="Arial"/>
        <family val="2"/>
      </rPr>
      <t>en kgCO</t>
    </r>
    <r>
      <rPr>
        <i/>
        <vertAlign val="subscript"/>
        <sz val="8"/>
        <color theme="1"/>
        <rFont val="Arial"/>
        <family val="2"/>
      </rPr>
      <t>2</t>
    </r>
    <r>
      <rPr>
        <i/>
        <sz val="8"/>
        <color theme="1"/>
        <rFont val="Arial"/>
        <family val="2"/>
      </rPr>
      <t>e/m</t>
    </r>
    <r>
      <rPr>
        <i/>
        <vertAlign val="superscript"/>
        <sz val="8"/>
        <color theme="1"/>
        <rFont val="Arial"/>
        <family val="2"/>
      </rPr>
      <t>3</t>
    </r>
  </si>
  <si>
    <r>
      <t>Taux d'acier (en kg/m</t>
    </r>
    <r>
      <rPr>
        <vertAlign val="superscript"/>
        <sz val="8"/>
        <color theme="1"/>
        <rFont val="Arial"/>
        <family val="2"/>
      </rPr>
      <t>3</t>
    </r>
    <r>
      <rPr>
        <sz val="8"/>
        <color theme="1"/>
        <rFont val="Arial"/>
        <family val="2"/>
      </rPr>
      <t>)</t>
    </r>
  </si>
  <si>
    <t>Durée de vie du poteau (en années)</t>
  </si>
  <si>
    <r>
      <t>Carbonatation du béton en phase d'usage (en kgCO</t>
    </r>
    <r>
      <rPr>
        <vertAlign val="subscript"/>
        <sz val="8"/>
        <color theme="1"/>
        <rFont val="Arial"/>
        <family val="2"/>
      </rPr>
      <t>2</t>
    </r>
    <r>
      <rPr>
        <sz val="8"/>
        <color theme="1"/>
        <rFont val="Arial"/>
        <family val="2"/>
      </rPr>
      <t>e)</t>
    </r>
  </si>
  <si>
    <r>
      <t>Carbonatation du béton en phase d'élimination (en kgCO</t>
    </r>
    <r>
      <rPr>
        <vertAlign val="subscript"/>
        <sz val="8"/>
        <color theme="1"/>
        <rFont val="Arial"/>
        <family val="2"/>
      </rPr>
      <t>2</t>
    </r>
    <r>
      <rPr>
        <sz val="8"/>
        <color theme="1"/>
        <rFont val="Arial"/>
        <family val="2"/>
      </rPr>
      <t>e)</t>
    </r>
  </si>
  <si>
    <r>
      <t>Phase réutilisation, récupération, recyclage (en kgCO</t>
    </r>
    <r>
      <rPr>
        <vertAlign val="subscript"/>
        <sz val="8"/>
        <color theme="1"/>
        <rFont val="Arial"/>
        <family val="2"/>
      </rPr>
      <t>2</t>
    </r>
    <r>
      <rPr>
        <sz val="8"/>
        <color theme="1"/>
        <rFont val="Arial"/>
        <family val="2"/>
      </rPr>
      <t>e)</t>
    </r>
  </si>
  <si>
    <t>Production du clinker</t>
  </si>
  <si>
    <t>Composition et GES des ciments français</t>
  </si>
  <si>
    <t>Type de ciment</t>
  </si>
  <si>
    <r>
      <t xml:space="preserve">Composition </t>
    </r>
    <r>
      <rPr>
        <sz val="8"/>
        <color theme="9" tint="-0.499984740745262"/>
        <rFont val="Arial"/>
        <family val="2"/>
      </rPr>
      <t>(en %)</t>
    </r>
  </si>
  <si>
    <r>
      <t xml:space="preserve">GES de prod. </t>
    </r>
    <r>
      <rPr>
        <sz val="8"/>
        <color theme="9" tint="-0.499984740745262"/>
        <rFont val="Arial"/>
        <family val="2"/>
      </rPr>
      <t>(en tCO</t>
    </r>
    <r>
      <rPr>
        <vertAlign val="subscript"/>
        <sz val="8"/>
        <color theme="9" tint="-0.499984740745262"/>
        <rFont val="Arial"/>
        <family val="2"/>
      </rPr>
      <t>2</t>
    </r>
    <r>
      <rPr>
        <sz val="8"/>
        <color theme="9" tint="-0.499984740745262"/>
        <rFont val="Arial"/>
        <family val="2"/>
      </rPr>
      <t>e/t</t>
    </r>
    <r>
      <rPr>
        <vertAlign val="subscript"/>
        <sz val="8"/>
        <color theme="9" tint="-0.499984740745262"/>
        <rFont val="Arial"/>
        <family val="2"/>
      </rPr>
      <t>ciment</t>
    </r>
    <r>
      <rPr>
        <sz val="8"/>
        <color theme="9" tint="-0.499984740745262"/>
        <rFont val="Arial"/>
        <family val="2"/>
      </rPr>
      <t>)</t>
    </r>
  </si>
  <si>
    <t>Emissions d'origine énergétique pour la production du clinker</t>
  </si>
  <si>
    <t>Clinker</t>
  </si>
  <si>
    <t>Laitier</t>
  </si>
  <si>
    <t>Constituants secondaires</t>
  </si>
  <si>
    <t>Sans combus.secondaires</t>
  </si>
  <si>
    <t>Avec combus. secondaires</t>
  </si>
  <si>
    <r>
      <t>Conso. énergie primaire (en MJ/t</t>
    </r>
    <r>
      <rPr>
        <vertAlign val="subscript"/>
        <sz val="8"/>
        <color theme="1"/>
        <rFont val="Arial"/>
        <family val="2"/>
      </rPr>
      <t>clinker</t>
    </r>
    <r>
      <rPr>
        <sz val="8"/>
        <color theme="1"/>
        <rFont val="Arial"/>
        <family val="2"/>
      </rPr>
      <t>)</t>
    </r>
  </si>
  <si>
    <t>CEM I</t>
  </si>
  <si>
    <t>Evolution</t>
  </si>
  <si>
    <t>CEM II/A</t>
  </si>
  <si>
    <t>Part des GES éner. dans la prod. du clinker (en %)</t>
  </si>
  <si>
    <t>CEM II/B</t>
  </si>
  <si>
    <t>Emissions de procédés pour la production du clinker</t>
  </si>
  <si>
    <t>CEM III/A</t>
  </si>
  <si>
    <r>
      <t>GES de décarbonatation (en tCO</t>
    </r>
    <r>
      <rPr>
        <vertAlign val="subscript"/>
        <sz val="8"/>
        <color theme="1"/>
        <rFont val="Arial"/>
        <family val="2"/>
      </rPr>
      <t>2</t>
    </r>
    <r>
      <rPr>
        <sz val="8"/>
        <color theme="1"/>
        <rFont val="Arial"/>
        <family val="2"/>
      </rPr>
      <t>e/t</t>
    </r>
    <r>
      <rPr>
        <vertAlign val="subscript"/>
        <sz val="8"/>
        <color theme="1"/>
        <rFont val="Arial"/>
        <family val="2"/>
      </rPr>
      <t>clinker</t>
    </r>
    <r>
      <rPr>
        <sz val="8"/>
        <color theme="1"/>
        <rFont val="Arial"/>
        <family val="2"/>
      </rPr>
      <t>)</t>
    </r>
  </si>
  <si>
    <t>CEM III/B</t>
  </si>
  <si>
    <t>Part des GES procédés dans prod. du clinker (en %)</t>
  </si>
  <si>
    <t xml:space="preserve">CEM III/C </t>
  </si>
  <si>
    <t>Répartition du marché, par type de ciment (en %)</t>
  </si>
  <si>
    <t>CEM II/C</t>
  </si>
  <si>
    <t>CEM VI</t>
  </si>
  <si>
    <t>CEM II</t>
  </si>
  <si>
    <t>CEM III</t>
  </si>
  <si>
    <t xml:space="preserve">CEM-II/C </t>
  </si>
  <si>
    <t>autres</t>
  </si>
  <si>
    <t>Contenu du ciment en clinker (en %)</t>
  </si>
  <si>
    <t>CEM IV</t>
  </si>
  <si>
    <t>Ratio ciment/clinker moyen (sans unité)</t>
  </si>
  <si>
    <t>Contenu ciment moyen en clinker (en %)</t>
  </si>
  <si>
    <r>
      <t>Contenu carbone du ciment (en tCO</t>
    </r>
    <r>
      <rPr>
        <b/>
        <vertAlign val="subscript"/>
        <sz val="8"/>
        <color theme="1"/>
        <rFont val="Arial"/>
        <family val="2"/>
      </rPr>
      <t>2</t>
    </r>
    <r>
      <rPr>
        <b/>
        <sz val="8"/>
        <color theme="1"/>
        <rFont val="Arial"/>
        <family val="2"/>
      </rPr>
      <t>e/t)</t>
    </r>
  </si>
  <si>
    <r>
      <t>Ciment moyen (en tCO</t>
    </r>
    <r>
      <rPr>
        <b/>
        <vertAlign val="subscript"/>
        <sz val="8"/>
        <color theme="1"/>
        <rFont val="Arial"/>
        <family val="2"/>
      </rPr>
      <t>2</t>
    </r>
    <r>
      <rPr>
        <b/>
        <sz val="8"/>
        <color theme="1"/>
        <rFont val="Arial"/>
        <family val="2"/>
      </rPr>
      <t>e/t)</t>
    </r>
  </si>
  <si>
    <t>Scénario "Médian" du PTEF Logement</t>
  </si>
  <si>
    <r>
      <t xml:space="preserve">Vol. de construction </t>
    </r>
    <r>
      <rPr>
        <sz val="8"/>
        <color theme="9" tint="-0.499984740745262"/>
        <rFont val="Arial"/>
        <family val="2"/>
      </rPr>
      <t>(en log./an)</t>
    </r>
  </si>
  <si>
    <t>2021-2030</t>
  </si>
  <si>
    <t>2021-2050</t>
  </si>
  <si>
    <t>Total logement neuf (en log./an)</t>
  </si>
  <si>
    <t>Maison individuelle (MI) (en log./an)</t>
  </si>
  <si>
    <t>Logement collectif (LC) (en log./an)</t>
  </si>
  <si>
    <r>
      <t>Surface moyenne (en m</t>
    </r>
    <r>
      <rPr>
        <b/>
        <vertAlign val="superscript"/>
        <sz val="8"/>
        <color theme="1"/>
        <rFont val="Arial"/>
        <family val="2"/>
      </rPr>
      <t>2</t>
    </r>
    <r>
      <rPr>
        <b/>
        <sz val="8"/>
        <color theme="1"/>
        <rFont val="Arial"/>
        <family val="2"/>
      </rPr>
      <t>)</t>
    </r>
  </si>
  <si>
    <t>Scénario de rénovation du PTEF Logement</t>
  </si>
  <si>
    <r>
      <t xml:space="preserve">Rythme rénovation </t>
    </r>
    <r>
      <rPr>
        <sz val="8"/>
        <color theme="9" tint="-0.499984740745262"/>
        <rFont val="Arial"/>
        <family val="2"/>
      </rPr>
      <t>(en gestes/an)</t>
    </r>
  </si>
  <si>
    <t>Total logement (en gestes/an)</t>
  </si>
  <si>
    <t>Maison individuelle (en gestes/an)</t>
  </si>
  <si>
    <t>Logement collectif (en geste/an)</t>
  </si>
  <si>
    <r>
      <t xml:space="preserve">Consommation de béton pour le logement - Construction neuve </t>
    </r>
    <r>
      <rPr>
        <sz val="8"/>
        <color rgb="FFFFFFFF"/>
        <rFont val="Arial"/>
        <family val="2"/>
      </rPr>
      <t>(données 2015)</t>
    </r>
  </si>
  <si>
    <t>MI</t>
  </si>
  <si>
    <t>LC</t>
  </si>
  <si>
    <t>Consommation de ciment (kg/m² SHAB)</t>
  </si>
  <si>
    <t>Consommation de sable (kg/m² SHAB)</t>
  </si>
  <si>
    <t>Consommation de granulats (kg/m² SHAB)</t>
  </si>
  <si>
    <t>Consommation de béton (kg/m² SHAB)</t>
  </si>
  <si>
    <r>
      <t>Masse volumique du béton (kg/m</t>
    </r>
    <r>
      <rPr>
        <vertAlign val="superscript"/>
        <sz val="8"/>
        <color theme="1"/>
        <rFont val="Arial"/>
        <family val="2"/>
      </rPr>
      <t>3</t>
    </r>
    <r>
      <rPr>
        <sz val="8"/>
        <color theme="1"/>
        <rFont val="Arial"/>
        <family val="2"/>
      </rPr>
      <t>)</t>
    </r>
  </si>
  <si>
    <r>
      <t>Consommation de béton (m</t>
    </r>
    <r>
      <rPr>
        <vertAlign val="superscript"/>
        <sz val="8"/>
        <color theme="1"/>
        <rFont val="Arial"/>
        <family val="2"/>
      </rPr>
      <t>3</t>
    </r>
    <r>
      <rPr>
        <sz val="8"/>
        <color theme="1"/>
        <rFont val="Arial"/>
        <family val="2"/>
      </rPr>
      <t>/m² SHAB)</t>
    </r>
  </si>
  <si>
    <r>
      <t xml:space="preserve">Consommation de béton pour le logement - Rénovation </t>
    </r>
    <r>
      <rPr>
        <sz val="8"/>
        <color rgb="FFFFFFFF"/>
        <rFont val="Arial"/>
        <family val="2"/>
      </rPr>
      <t>(données 2015)</t>
    </r>
  </si>
  <si>
    <t>Consommation de béton (kg/m² SHON RT)</t>
  </si>
  <si>
    <r>
      <t>Consommation de béton (m</t>
    </r>
    <r>
      <rPr>
        <vertAlign val="superscript"/>
        <sz val="8"/>
        <color theme="1"/>
        <rFont val="Arial"/>
        <family val="2"/>
      </rPr>
      <t>3</t>
    </r>
    <r>
      <rPr>
        <sz val="8"/>
        <color theme="1"/>
        <rFont val="Arial"/>
        <family val="2"/>
      </rPr>
      <t>/m² SHON RT)</t>
    </r>
  </si>
  <si>
    <t>Evolution des usages du béton dans les lots constructifs (pdm : "parts de marché")</t>
  </si>
  <si>
    <r>
      <t xml:space="preserve">Part du lot dans la conso. béton de l'ouvrage </t>
    </r>
    <r>
      <rPr>
        <sz val="8"/>
        <color theme="9" tint="-0.499984740745262"/>
        <rFont val="Arial"/>
        <family val="2"/>
      </rPr>
      <t>(en %)</t>
    </r>
  </si>
  <si>
    <r>
      <t xml:space="preserve">Consommation béton pour l'ouvrage
</t>
    </r>
    <r>
      <rPr>
        <sz val="8"/>
        <color theme="9" tint="-0.499984740745262"/>
        <rFont val="Arial"/>
        <family val="2"/>
      </rPr>
      <t>(en m</t>
    </r>
    <r>
      <rPr>
        <vertAlign val="superscript"/>
        <sz val="8"/>
        <color theme="9" tint="-0.499984740745262"/>
        <rFont val="Arial"/>
        <family val="2"/>
      </rPr>
      <t>3</t>
    </r>
    <r>
      <rPr>
        <sz val="8"/>
        <color theme="9" tint="-0.499984740745262"/>
        <rFont val="Arial"/>
        <family val="2"/>
      </rPr>
      <t>/log)</t>
    </r>
  </si>
  <si>
    <r>
      <t xml:space="preserve">Pdm du béton dans le lot constructif
</t>
    </r>
    <r>
      <rPr>
        <sz val="8"/>
        <color theme="9" tint="-0.499984740745262"/>
        <rFont val="Arial"/>
        <family val="2"/>
      </rPr>
      <t>(en %)</t>
    </r>
  </si>
  <si>
    <r>
      <t xml:space="preserve">Evolution 18-30 pdm du béton face à bio- et géosourcés </t>
    </r>
    <r>
      <rPr>
        <sz val="8"/>
        <color theme="9" tint="-0.499984740745262"/>
        <rFont val="Arial"/>
        <family val="2"/>
      </rPr>
      <t>(en %)</t>
    </r>
  </si>
  <si>
    <r>
      <t xml:space="preserve">Evolution 18-50 pdm du béton face à bio- et géosourcés </t>
    </r>
    <r>
      <rPr>
        <sz val="8"/>
        <color theme="9" tint="-0.499984740745262"/>
        <rFont val="Arial"/>
        <family val="2"/>
      </rPr>
      <t>(en %)</t>
    </r>
  </si>
  <si>
    <t>Maison individuelle (surface moyenne : 100 m²)</t>
  </si>
  <si>
    <t>Béton dans le lot "Fondations et sous-sols"</t>
  </si>
  <si>
    <t>Béton dans le lot "Sols"</t>
  </si>
  <si>
    <t>Béton dans le lot "Murs"</t>
  </si>
  <si>
    <t>Total béton sur toute la structure</t>
  </si>
  <si>
    <t>Logement collectif (surface moyenne : 70 m²)</t>
  </si>
  <si>
    <t>Evolution des parts de marché des matériaux de construction sur l'ouvrage complet</t>
  </si>
  <si>
    <r>
      <t xml:space="preserve">Part de marché
</t>
    </r>
    <r>
      <rPr>
        <sz val="8"/>
        <color theme="9" tint="-0.499984740745262"/>
        <rFont val="Arial"/>
        <family val="2"/>
      </rPr>
      <t>(en %)</t>
    </r>
  </si>
  <si>
    <r>
      <t xml:space="preserve">Evolution 2018-2030
</t>
    </r>
    <r>
      <rPr>
        <sz val="8"/>
        <color theme="9" tint="-0.499984740745262"/>
        <rFont val="Arial"/>
        <family val="2"/>
      </rPr>
      <t>(en %)</t>
    </r>
  </si>
  <si>
    <r>
      <t xml:space="preserve">Evolution 2018-2050
</t>
    </r>
    <r>
      <rPr>
        <sz val="8"/>
        <color theme="9" tint="-0.499984740745262"/>
        <rFont val="Arial"/>
        <family val="2"/>
      </rPr>
      <t>(en %)</t>
    </r>
  </si>
  <si>
    <t>Béton</t>
  </si>
  <si>
    <t>Bloc béton</t>
  </si>
  <si>
    <t>Total béton</t>
  </si>
  <si>
    <t>Bois/biosourcés</t>
  </si>
  <si>
    <t>Autres</t>
  </si>
  <si>
    <t>Sources</t>
  </si>
  <si>
    <t>n°</t>
  </si>
  <si>
    <t>Nom</t>
  </si>
  <si>
    <t>Lien</t>
  </si>
  <si>
    <t>SFIC, CNI (2021). Décarbonation de l’industrie - Feuille de Route de la Filière Ciment. Conseil National de l’Industrie.</t>
  </si>
  <si>
    <t>https://www.conseil-national-industrie.gouv.fr/files_cni/files/csf/construction/decarbonation_feuille_de_route_ciment.pdf</t>
  </si>
  <si>
    <t>ADEME (2023). Base empreinte - "Métaux ferreux issus de matières premières vierges" in documentation de "Acier ou fer blanc/neuf". Consulté en 06/2023.</t>
  </si>
  <si>
    <t>https://base-empreinte.ademe.fr/documentation/base-carbone?docLink=Acier</t>
  </si>
  <si>
    <t>The Shift Project (2022). Décarboner l'industrie sans la saborder - Dans le cadre du Plan de transformation de l'économie française</t>
  </si>
  <si>
    <t>https://theshiftproject.org/publications/decarboner-industrie-sans-la-saborder/</t>
  </si>
  <si>
    <t>The Shift Project (2021). Habiter dans une société bas carbone  - Dans le cadre du Plan de transformation de l'économie française</t>
  </si>
  <si>
    <t>https://theshiftproject.org/publications/habiter-societe-bas-carbone/</t>
  </si>
  <si>
    <t>INIES (2019). Fiche de déclaration environnementale et sanitaire - Poteau en béton armé. CERIB. Base INIES - FDES. 467.E. ID INIES : 12524.</t>
  </si>
  <si>
    <t>https://www.cerib.com/nos-expertises/evaluations-environnementales/</t>
  </si>
  <si>
    <t>INIES (2021). Fiche de déclaration environnementale et sanitaire - Dalle en béton plein armé [ép. 20 cm]. Ministère de l'environnement. Base INIES - FDES. ID INIES : 28426. n° version 1.3. ID Mlab : 3109.</t>
  </si>
  <si>
    <t>https://www.base-inies.fr/iniesv4/dist/consultation.html</t>
  </si>
  <si>
    <t>CEMBUREAU (2020). Cemeting the European Green Deal - Reaching climate neutrality along the cement and concrete value chain by 2050.</t>
  </si>
  <si>
    <t>https://cembureau.eu/media/kuxd32gi/cembureau-2050-roadmap_final-version_web.pdf</t>
  </si>
  <si>
    <t>ADEME (2023b). Base empreinte - Documentation "Process industriels". Consulté en 06/2023.</t>
  </si>
  <si>
    <t>https://base-empreinte.ademe.fr/documentation/base-carbone?docLink=Process_industriels</t>
  </si>
  <si>
    <t>SFIC (2023). Inventaire de cycle de vie - Ciment courant français. Vérifié INIES.</t>
  </si>
  <si>
    <t>https://www.infociments.fr/ciments/ciments-declaration-environnementale-inventaire-analyse-du-cycle-de-vie</t>
  </si>
  <si>
    <t>Infociment (2022). Les ciments "bas carbone" : de nouveaux mélanges ternaires. Mars 2022. Consulté en 06/2023.</t>
  </si>
  <si>
    <t>https://www.infociments.fr/ciments/les-ciments-bas-carbone</t>
  </si>
  <si>
    <t>SFIC (2022). L'essentiel Infociment 2022. Syndicat français de l'industrie cimentière.</t>
  </si>
  <si>
    <t>https://www.infociments.fr/sites/default/files/articles/pdf/brochure-infociments_21-22-0123.pdf</t>
  </si>
  <si>
    <t>Cerema (2015). Conception des réparations structurales et des renforcements des ouvrages d’art - Annexe A-4 : Evolution des caractéristiques du matériau béton</t>
  </si>
  <si>
    <t>https://piles.cerema.fr/IMG/pdf/annexe_a4-_evolution_des_caracteristiques_du_materiau_beton_cle09d6bb-1.pdf</t>
  </si>
  <si>
    <t>CNI (2023). Feuille de route de décarbonation de la filière Ciment. Conseil national de l'industrie. Mai 2023.</t>
  </si>
  <si>
    <t>https://www.entreprises.gouv.fr/files/files/enjeux/d%C3%A9carbonation/feuille-de-route-ciment.pdf</t>
  </si>
  <si>
    <r>
      <t>ADEME (2020). Le Captage et Stockage géologique du CO</t>
    </r>
    <r>
      <rPr>
        <vertAlign val="subscript"/>
        <sz val="8"/>
        <color theme="1"/>
        <rFont val="Arial"/>
        <family val="2"/>
      </rPr>
      <t>2</t>
    </r>
    <r>
      <rPr>
        <sz val="8"/>
        <color theme="1"/>
        <rFont val="Arial"/>
        <family val="2"/>
      </rPr>
      <t xml:space="preserve"> (CSC) en France - Avis technique</t>
    </r>
  </si>
  <si>
    <t>https://presse.ademe.fr/wp-content/uploads/2020/07/captage-stockage-geologique-co2_csc_avis-technique_2020.pdf</t>
  </si>
  <si>
    <t>ADEME (2021). Plan de transition sectoriel de l'industrie cimentière en France - Ciment, Rapport de synthèse</t>
  </si>
  <si>
    <t>https://librairie.ademe.fr/energies/5041-plan-de-transition-sectoriel-de-l-industrie-cimentiere-en-france-9791029718212.html</t>
  </si>
  <si>
    <t>Ifpeb, Carbone 4 (2021). Brief Filière - Béton, les mesages-clés. Le Hub des prescripteurs bas carbone</t>
  </si>
  <si>
    <t>https://www.ifpeb.fr/wp-content/uploads/2020/12/IFPEB-Carbone4_Messages-cles_Brief-Filiere-Beton_20201208.pdf</t>
  </si>
  <si>
    <t>Sources base INIES [Onglet "Données ACV Béton"]</t>
  </si>
  <si>
    <t>2019a</t>
  </si>
  <si>
    <t xml:space="preserve">Dallage en béton armé sur terre plein épaisseur 0,15 m en zone sismique (v.1.1) </t>
  </si>
  <si>
    <t>https://www.base-inies.fr/iniesV4/dist/consultation.html?id=11020</t>
  </si>
  <si>
    <t>2019b</t>
  </si>
  <si>
    <t xml:space="preserve">Casquette en béton armé d'épaisseur 0,16 m en zone cotière C30/37 XS2 CEM II/A (v.1.1) </t>
  </si>
  <si>
    <t>https://www.base-inies.fr/iniesV4/dist/consultation.html?id=12580</t>
  </si>
  <si>
    <t>2019c</t>
  </si>
  <si>
    <t xml:space="preserve">Dallage en béton armé sur vide sanitaire d'épaisseur 0,25 m (v.1.1) </t>
  </si>
  <si>
    <t>https://www.base-inies.fr/iniesV4/dist/consultation.html?id=11110</t>
  </si>
  <si>
    <t>2018a</t>
  </si>
  <si>
    <t xml:space="preserve">Dallage en béton armé sur terre plein d'épaisseur 0,13 m (v.1.2) </t>
  </si>
  <si>
    <t>https://www.base-inies.fr/iniesV4/dist/consultation.html?id=20813</t>
  </si>
  <si>
    <t>2018b</t>
  </si>
  <si>
    <t xml:space="preserve">Dallage sur terre plein en béton d'épaisseur 0.12 m, C25/30 XC1 CEM II/A- (v.1.6) </t>
  </si>
  <si>
    <t>https://www.base-inies.fr/iniesV4/dist/consultation.html?id=12460</t>
  </si>
  <si>
    <t>2018c</t>
  </si>
  <si>
    <t xml:space="preserve">Dalle pleine en béton d'épaisseur 0.20 m, C25/30 XC1 CEM II/A- (v.1.4) </t>
  </si>
  <si>
    <t>https://www.base-inies.fr/iniesV4/dist/consultation.html?id=12454</t>
  </si>
  <si>
    <t>2018d</t>
  </si>
  <si>
    <t xml:space="preserve">Dallage en béton armé d'épaisseur 0,20 m EN ZONE SISMIQUE (v.1.1) </t>
  </si>
  <si>
    <t>https://www.base-inies.fr/iniesV4/dist/consultation.html?id=11033</t>
  </si>
  <si>
    <t>2018e</t>
  </si>
  <si>
    <t xml:space="preserve">Dallage sur terre plein en béton d'épaisseur 0.15 m, C25/30 XC1 CEM II/A (v.1.4) </t>
  </si>
  <si>
    <t>https://www.base-inies.fr/iniesV4/dist/consultation.html?id=12452</t>
  </si>
  <si>
    <t>Code couleur</t>
  </si>
  <si>
    <t>Référence</t>
  </si>
  <si>
    <t xml:space="preserve"> Cellules dont le résultat est obtenu par calcul à partir d'autres cellules du tableur</t>
  </si>
  <si>
    <t>Les sources sont indiquées en commentaire pour chaque cellule contenant une donnée n'étant ni un calcul ni une hypothèse. L'indication en commentaire renvoie vers les références complètes listées dans l'onglet "Sources".</t>
  </si>
  <si>
    <t>Les cellules blanches contiennent des données soit issues d'une source, soit issues d'une hypothèse faite dans le cadre du PTEF de The Shift Project</t>
  </si>
  <si>
    <t>Le présent document tient compte des hypothèses prises dans la version finale du PTEF, dont les différents rapports ont été publiés entre 2021 et 2022. Des corrections mineures ont pu être apportées pour s'appuyer sur la littérature la plus consolidée possible pour éclairer les hypothèses, point de départ et projections sur lesquelles s'appuient les travaux. Cela explique des écarts pouvant exister entre les résultats présentés dans ce tableur et la publication du rapport "Décarboner l'industrie sans la saborder" de janvier 2022. Ces écarts restent mineurs, et ne remettent pas en cause les conclusions et recommandations du rapport.</t>
  </si>
  <si>
    <t>Evolution clinker par rapport à 2018 (en %)</t>
  </si>
  <si>
    <t>Avertissement : écarts mineurs à la publication "Décarboner l'industrie sans la saborder"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</si>
</sst>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00"/>
    <numFmt numFmtId="167" formatCode="0.0000000000000"/>
  </numFmts>
  <fonts count="35" x14ac:knownFonts="1">
    <font>
      <sz val="11"/>
      <color theme="1"/>
      <name val="Calibri"/>
      <family val="2"/>
      <scheme val="minor"/>
    </font>
    <font>
      <b/>
      <sz val="8"/>
      <color rgb="FFFFFFFF"/>
      <name val="Arial"/>
      <family val="2"/>
    </font>
    <font>
      <sz val="8"/>
      <color rgb="FF00005A"/>
      <name val="Arial"/>
      <family val="2"/>
    </font>
    <font>
      <b/>
      <sz val="8"/>
      <color rgb="FF00005A"/>
      <name val="Arial"/>
      <family val="2"/>
    </font>
    <font>
      <b/>
      <sz val="8"/>
      <color theme="1"/>
      <name val="Arial"/>
      <family val="2"/>
    </font>
    <font>
      <sz val="8"/>
      <color theme="1"/>
      <name val="Arial"/>
      <family val="2"/>
    </font>
    <font>
      <sz val="11"/>
      <color theme="1"/>
      <name val="Calibri"/>
      <family val="2"/>
      <scheme val="minor"/>
    </font>
    <font>
      <b/>
      <sz val="8"/>
      <color theme="9" tint="-0.499984740745262"/>
      <name val="Arial"/>
      <family val="2"/>
    </font>
    <font>
      <b/>
      <vertAlign val="subscript"/>
      <sz val="8"/>
      <color theme="1"/>
      <name val="Arial"/>
      <family val="2"/>
    </font>
    <font>
      <u/>
      <sz val="11"/>
      <color theme="10"/>
      <name val="Calibri"/>
      <family val="2"/>
      <scheme val="minor"/>
    </font>
    <font>
      <sz val="8"/>
      <color theme="9"/>
      <name val="Arial"/>
      <family val="2"/>
    </font>
    <font>
      <sz val="9"/>
      <color indexed="81"/>
      <name val="Tahoma"/>
      <family val="2"/>
    </font>
    <font>
      <vertAlign val="subscript"/>
      <sz val="8"/>
      <color theme="1"/>
      <name val="Arial"/>
      <family val="2"/>
    </font>
    <font>
      <vertAlign val="superscript"/>
      <sz val="8"/>
      <color theme="1"/>
      <name val="Arial"/>
      <family val="2"/>
    </font>
    <font>
      <b/>
      <vertAlign val="superscript"/>
      <sz val="8"/>
      <color theme="1"/>
      <name val="Arial"/>
      <family val="2"/>
    </font>
    <font>
      <b/>
      <sz val="8"/>
      <color theme="9" tint="-0.249977111117893"/>
      <name val="Arial"/>
      <family val="2"/>
    </font>
    <font>
      <sz val="8"/>
      <color theme="9" tint="-0.499984740745262"/>
      <name val="Arial"/>
      <family val="2"/>
    </font>
    <font>
      <i/>
      <sz val="6"/>
      <color theme="1"/>
      <name val="Arial"/>
      <family val="2"/>
    </font>
    <font>
      <sz val="6"/>
      <color rgb="FF00005A"/>
      <name val="Arial"/>
      <family val="2"/>
    </font>
    <font>
      <i/>
      <sz val="6"/>
      <color rgb="FF00005A"/>
      <name val="Arial"/>
      <family val="2"/>
    </font>
    <font>
      <vertAlign val="subscript"/>
      <sz val="8"/>
      <color theme="9" tint="-0.499984740745262"/>
      <name val="Arial"/>
      <family val="2"/>
    </font>
    <font>
      <vertAlign val="superscript"/>
      <sz val="8"/>
      <color theme="9" tint="-0.499984740745262"/>
      <name val="Arial"/>
      <family val="2"/>
    </font>
    <font>
      <b/>
      <sz val="8"/>
      <color theme="9"/>
      <name val="Arial"/>
      <family val="2"/>
    </font>
    <font>
      <i/>
      <sz val="8"/>
      <color theme="1"/>
      <name val="Arial"/>
      <family val="2"/>
    </font>
    <font>
      <i/>
      <vertAlign val="subscript"/>
      <sz val="8"/>
      <color theme="1"/>
      <name val="Arial"/>
      <family val="2"/>
    </font>
    <font>
      <i/>
      <vertAlign val="superscript"/>
      <sz val="8"/>
      <color theme="1"/>
      <name val="Arial"/>
      <family val="2"/>
    </font>
    <font>
      <i/>
      <sz val="8"/>
      <color rgb="FF00005A"/>
      <name val="Arial"/>
      <family val="2"/>
    </font>
    <font>
      <u/>
      <sz val="9"/>
      <color theme="9"/>
      <name val="Calibri"/>
      <family val="2"/>
      <scheme val="minor"/>
    </font>
    <font>
      <sz val="8"/>
      <color rgb="FFFFFFFF"/>
      <name val="Arial"/>
      <family val="2"/>
    </font>
    <font>
      <b/>
      <sz val="8"/>
      <color rgb="FF00005A"/>
      <name val="Arial"/>
    </font>
    <font>
      <b/>
      <vertAlign val="subscript"/>
      <sz val="8"/>
      <color rgb="FF00005A"/>
      <name val="Arial"/>
    </font>
    <font>
      <b/>
      <vertAlign val="superscript"/>
      <sz val="8"/>
      <color rgb="FF00005A"/>
      <name val="Arial"/>
    </font>
    <font>
      <sz val="11"/>
      <color rgb="FFFFFFFF"/>
      <name val="Arial"/>
      <family val="2"/>
    </font>
    <font>
      <sz val="10"/>
      <color rgb="FF000000"/>
      <name val="Arial"/>
      <family val="2"/>
    </font>
    <font>
      <sz val="10"/>
      <color rgb="FFFFFFFF"/>
      <name val="Arial"/>
      <family val="2"/>
    </font>
  </fonts>
  <fills count="8">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1"/>
        <bgColor indexed="64"/>
      </patternFill>
    </fill>
    <fill>
      <patternFill patternType="solid">
        <fgColor theme="1" tint="0.89999084444715716"/>
        <bgColor indexed="64"/>
      </patternFill>
    </fill>
    <fill>
      <patternFill patternType="solid">
        <fgColor rgb="FFEEF8E4"/>
        <bgColor indexed="64"/>
      </patternFill>
    </fill>
    <fill>
      <patternFill patternType="solid">
        <fgColor rgb="FF00005A"/>
        <bgColor rgb="FF000000"/>
      </patternFill>
    </fill>
  </fills>
  <borders count="139">
    <border>
      <left/>
      <right/>
      <top/>
      <bottom/>
      <diagonal/>
    </border>
    <border>
      <left/>
      <right/>
      <top/>
      <bottom style="dotted">
        <color rgb="FF00005A"/>
      </bottom>
      <diagonal/>
    </border>
    <border>
      <left/>
      <right/>
      <top style="dotted">
        <color rgb="FF00005A"/>
      </top>
      <bottom style="dotted">
        <color rgb="FF00005A"/>
      </bottom>
      <diagonal/>
    </border>
    <border diagonalUp="1">
      <left style="dotted">
        <color rgb="FF00005A"/>
      </left>
      <right style="dotted">
        <color rgb="FF00005A"/>
      </right>
      <top style="dotted">
        <color rgb="FF00005A"/>
      </top>
      <bottom style="dotted">
        <color rgb="FF00005A"/>
      </bottom>
      <diagonal style="dotted">
        <color rgb="FF00005A"/>
      </diagonal>
    </border>
    <border diagonalUp="1">
      <left style="dotted">
        <color rgb="FF00005A"/>
      </left>
      <right style="dotted">
        <color rgb="FF00005A"/>
      </right>
      <top/>
      <bottom style="dotted">
        <color rgb="FF00005A"/>
      </bottom>
      <diagonal style="dotted">
        <color rgb="FF00005A"/>
      </diagonal>
    </border>
    <border>
      <left style="dotted">
        <color rgb="FF00005A"/>
      </left>
      <right/>
      <top style="dotted">
        <color rgb="FF00005A"/>
      </top>
      <bottom style="dotted">
        <color rgb="FF00005A"/>
      </bottom>
      <diagonal/>
    </border>
    <border>
      <left style="dotted">
        <color rgb="FF00005A"/>
      </left>
      <right/>
      <top/>
      <bottom style="dotted">
        <color rgb="FF00005A"/>
      </bottom>
      <diagonal/>
    </border>
    <border>
      <left style="thin">
        <color indexed="64"/>
      </left>
      <right/>
      <top/>
      <bottom/>
      <diagonal/>
    </border>
    <border>
      <left/>
      <right style="thin">
        <color indexed="64"/>
      </right>
      <top/>
      <bottom/>
      <diagonal/>
    </border>
    <border>
      <left style="thin">
        <color indexed="64"/>
      </left>
      <right style="dotted">
        <color rgb="FF00005A"/>
      </right>
      <top/>
      <bottom style="dotted">
        <color rgb="FF00005A"/>
      </bottom>
      <diagonal/>
    </border>
    <border>
      <left style="dotted">
        <color rgb="FF00005A"/>
      </left>
      <right style="thin">
        <color indexed="64"/>
      </right>
      <top style="dotted">
        <color rgb="FF00005A"/>
      </top>
      <bottom style="dotted">
        <color rgb="FF00005A"/>
      </bottom>
      <diagonal/>
    </border>
    <border>
      <left style="thin">
        <color indexed="64"/>
      </left>
      <right/>
      <top style="dotted">
        <color rgb="FF00005A"/>
      </top>
      <bottom style="dotted">
        <color rgb="FF00005A"/>
      </bottom>
      <diagonal/>
    </border>
    <border>
      <left/>
      <right style="thin">
        <color indexed="64"/>
      </right>
      <top style="dotted">
        <color rgb="FF00005A"/>
      </top>
      <bottom style="dotted">
        <color rgb="FF00005A"/>
      </bottom>
      <diagonal/>
    </border>
    <border>
      <left style="dotted">
        <color rgb="FF00005A"/>
      </left>
      <right style="thin">
        <color indexed="64"/>
      </right>
      <top/>
      <bottom style="dotted">
        <color rgb="FF00005A"/>
      </bottom>
      <diagonal/>
    </border>
    <border>
      <left style="thin">
        <color indexed="64"/>
      </left>
      <right style="dotted">
        <color rgb="FF00005A"/>
      </right>
      <top/>
      <bottom style="thin">
        <color indexed="64"/>
      </bottom>
      <diagonal/>
    </border>
    <border>
      <left style="dotted">
        <color rgb="FF00005A"/>
      </left>
      <right style="thin">
        <color indexed="64"/>
      </right>
      <top/>
      <bottom style="thin">
        <color indexed="64"/>
      </bottom>
      <diagonal/>
    </border>
    <border>
      <left style="thin">
        <color indexed="64"/>
      </left>
      <right style="dotted">
        <color rgb="FF00005A"/>
      </right>
      <top style="dotted">
        <color rgb="FF00005A"/>
      </top>
      <bottom style="dotted">
        <color rgb="FF00005A"/>
      </bottom>
      <diagonal/>
    </border>
    <border>
      <left style="thin">
        <color indexed="64"/>
      </left>
      <right/>
      <top/>
      <bottom style="dotted">
        <color rgb="FF00005A"/>
      </bottom>
      <diagonal/>
    </border>
    <border diagonalUp="1">
      <left style="dotted">
        <color rgb="FF00005A"/>
      </left>
      <right style="thin">
        <color indexed="64"/>
      </right>
      <top style="dotted">
        <color rgb="FF00005A"/>
      </top>
      <bottom style="dotted">
        <color rgb="FF00005A"/>
      </bottom>
      <diagonal style="dotted">
        <color rgb="FF00005A"/>
      </diagonal>
    </border>
    <border diagonalUp="1">
      <left style="dotted">
        <color rgb="FF00005A"/>
      </left>
      <right style="dotted">
        <color rgb="FF00005A"/>
      </right>
      <top style="dotted">
        <color rgb="FF00005A"/>
      </top>
      <bottom style="thin">
        <color indexed="64"/>
      </bottom>
      <diagonal style="dotted">
        <color rgb="FF00005A"/>
      </diagonal>
    </border>
    <border>
      <left style="dotted">
        <color rgb="FF00005A"/>
      </left>
      <right style="thin">
        <color indexed="64"/>
      </right>
      <top style="dotted">
        <color rgb="FF00005A"/>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rgb="FF00005A"/>
      </left>
      <right style="dotted">
        <color rgb="FF00005A"/>
      </right>
      <top style="dotted">
        <color rgb="FF00005A"/>
      </top>
      <bottom style="dotted">
        <color rgb="FF00005A"/>
      </bottom>
      <diagonal/>
    </border>
    <border>
      <left style="dotted">
        <color rgb="FF00005A"/>
      </left>
      <right style="dotted">
        <color rgb="FF00005A"/>
      </right>
      <top style="dotted">
        <color rgb="FF00005A"/>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rgb="FF00005A"/>
      </top>
      <bottom style="thin">
        <color indexed="64"/>
      </bottom>
      <diagonal/>
    </border>
    <border>
      <left style="dotted">
        <color rgb="FF00005A"/>
      </left>
      <right/>
      <top style="dotted">
        <color rgb="FF00005A"/>
      </top>
      <bottom style="thin">
        <color indexed="64"/>
      </bottom>
      <diagonal/>
    </border>
    <border>
      <left style="thin">
        <color indexed="64"/>
      </left>
      <right style="dotted">
        <color rgb="FF00005A"/>
      </right>
      <top style="dotted">
        <color indexed="64"/>
      </top>
      <bottom style="dotted">
        <color rgb="FF00005A"/>
      </bottom>
      <diagonal/>
    </border>
    <border>
      <left style="dotted">
        <color indexed="64"/>
      </left>
      <right style="thin">
        <color indexed="64"/>
      </right>
      <top style="dotted">
        <color rgb="FF00005A"/>
      </top>
      <bottom style="dotted">
        <color rgb="FF00005A"/>
      </bottom>
      <diagonal/>
    </border>
    <border>
      <left style="dotted">
        <color rgb="FF00005A"/>
      </left>
      <right style="dotted">
        <color rgb="FF00005A"/>
      </right>
      <top style="dotted">
        <color rgb="FF00005A"/>
      </top>
      <bottom/>
      <diagonal/>
    </border>
    <border>
      <left style="dotted">
        <color rgb="FF00005A"/>
      </left>
      <right style="thin">
        <color indexed="64"/>
      </right>
      <top style="dotted">
        <color rgb="FF00005A"/>
      </top>
      <bottom/>
      <diagonal/>
    </border>
    <border>
      <left style="dotted">
        <color indexed="64"/>
      </left>
      <right style="thin">
        <color indexed="64"/>
      </right>
      <top/>
      <bottom style="dotted">
        <color rgb="FF00005A"/>
      </bottom>
      <diagonal/>
    </border>
    <border>
      <left/>
      <right style="dotted">
        <color indexed="64"/>
      </right>
      <top style="dotted">
        <color rgb="FF00005A"/>
      </top>
      <bottom style="dotted">
        <color rgb="FF00005A"/>
      </bottom>
      <diagonal/>
    </border>
    <border diagonalUp="1">
      <left style="dotted">
        <color indexed="64"/>
      </left>
      <right style="thin">
        <color indexed="64"/>
      </right>
      <top style="dotted">
        <color rgb="FF00005A"/>
      </top>
      <bottom/>
      <diagonal style="dotted">
        <color rgb="FF00005A"/>
      </diagonal>
    </border>
    <border diagonalUp="1">
      <left style="dotted">
        <color indexed="64"/>
      </left>
      <right style="thin">
        <color indexed="64"/>
      </right>
      <top style="dotted">
        <color rgb="FF00005A"/>
      </top>
      <bottom style="thin">
        <color indexed="64"/>
      </bottom>
      <diagonal style="dotted">
        <color rgb="FF00005A"/>
      </diagonal>
    </border>
    <border>
      <left style="thin">
        <color indexed="64"/>
      </left>
      <right/>
      <top/>
      <bottom style="thin">
        <color indexed="64"/>
      </bottom>
      <diagonal/>
    </border>
    <border>
      <left style="thin">
        <color indexed="64"/>
      </left>
      <right style="dotted">
        <color indexed="64"/>
      </right>
      <top/>
      <bottom style="dotted">
        <color rgb="FF00005A"/>
      </bottom>
      <diagonal/>
    </border>
    <border>
      <left style="thin">
        <color indexed="64"/>
      </left>
      <right style="dotted">
        <color indexed="64"/>
      </right>
      <top style="dotted">
        <color rgb="FF00005A"/>
      </top>
      <bottom style="dotted">
        <color rgb="FF00005A"/>
      </bottom>
      <diagonal/>
    </border>
    <border>
      <left style="thin">
        <color indexed="64"/>
      </left>
      <right style="dotted">
        <color indexed="64"/>
      </right>
      <top style="dotted">
        <color rgb="FF00005A"/>
      </top>
      <bottom/>
      <diagonal/>
    </border>
    <border>
      <left style="thin">
        <color indexed="64"/>
      </left>
      <right style="dotted">
        <color indexed="64"/>
      </right>
      <top style="dotted">
        <color rgb="FF00005A"/>
      </top>
      <bottom style="thin">
        <color indexed="64"/>
      </bottom>
      <diagonal/>
    </border>
    <border>
      <left/>
      <right style="dotted">
        <color indexed="64"/>
      </right>
      <top/>
      <bottom style="dotted">
        <color rgb="FF00005A"/>
      </bottom>
      <diagonal/>
    </border>
    <border>
      <left/>
      <right style="dotted">
        <color indexed="64"/>
      </right>
      <top style="dotted">
        <color rgb="FF00005A"/>
      </top>
      <bottom/>
      <diagonal/>
    </border>
    <border>
      <left/>
      <right style="dotted">
        <color indexed="64"/>
      </right>
      <top style="dotted">
        <color rgb="FF00005A"/>
      </top>
      <bottom style="thin">
        <color indexed="64"/>
      </bottom>
      <diagonal/>
    </border>
    <border>
      <left style="dotted">
        <color indexed="64"/>
      </left>
      <right style="thin">
        <color indexed="64"/>
      </right>
      <top style="dotted">
        <color rgb="FF00005A"/>
      </top>
      <bottom/>
      <diagonal/>
    </border>
    <border>
      <left style="thin">
        <color indexed="64"/>
      </left>
      <right style="thin">
        <color indexed="64"/>
      </right>
      <top/>
      <bottom style="dotted">
        <color indexed="64"/>
      </bottom>
      <diagonal/>
    </border>
    <border>
      <left style="thin">
        <color indexed="64"/>
      </left>
      <right style="thin">
        <color indexed="64"/>
      </right>
      <top style="dotted">
        <color rgb="FF00005A"/>
      </top>
      <bottom style="dotted">
        <color rgb="FF00005A"/>
      </bottom>
      <diagonal/>
    </border>
    <border>
      <left style="thin">
        <color indexed="64"/>
      </left>
      <right style="thin">
        <color indexed="64"/>
      </right>
      <top style="dotted">
        <color rgb="FF00005A"/>
      </top>
      <bottom/>
      <diagonal/>
    </border>
    <border>
      <left style="thin">
        <color indexed="64"/>
      </left>
      <right style="thin">
        <color indexed="64"/>
      </right>
      <top/>
      <bottom style="dotted">
        <color rgb="FF00005A"/>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rgb="FF00005A"/>
      </bottom>
      <diagonal/>
    </border>
    <border>
      <left/>
      <right/>
      <top style="thin">
        <color indexed="64"/>
      </top>
      <bottom style="dotted">
        <color rgb="FF00005A"/>
      </bottom>
      <diagonal/>
    </border>
    <border>
      <left/>
      <right style="thin">
        <color indexed="64"/>
      </right>
      <top style="thin">
        <color indexed="64"/>
      </top>
      <bottom style="dotted">
        <color rgb="FF00005A"/>
      </bottom>
      <diagonal/>
    </border>
    <border>
      <left style="dotted">
        <color rgb="FF00005A"/>
      </left>
      <right style="dotted">
        <color rgb="FF00005A"/>
      </right>
      <top/>
      <bottom/>
      <diagonal/>
    </border>
    <border>
      <left style="dotted">
        <color rgb="FF00005A"/>
      </left>
      <right style="dotted">
        <color rgb="FF00005A"/>
      </right>
      <top/>
      <bottom style="thin">
        <color indexed="64"/>
      </bottom>
      <diagonal/>
    </border>
    <border>
      <left style="dotted">
        <color rgb="FF00005A"/>
      </left>
      <right style="thin">
        <color indexed="64"/>
      </right>
      <top/>
      <bottom/>
      <diagonal/>
    </border>
    <border>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rgb="FF00005A"/>
      </top>
      <bottom style="thin">
        <color indexed="64"/>
      </bottom>
      <diagonal/>
    </border>
    <border>
      <left style="thin">
        <color indexed="64"/>
      </left>
      <right style="dotted">
        <color rgb="FF00005A"/>
      </right>
      <top style="dotted">
        <color rgb="FF00005A"/>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rgb="FF00005A"/>
      </bottom>
      <diagonal/>
    </border>
    <border>
      <left style="thin">
        <color indexed="64"/>
      </left>
      <right/>
      <top style="dotted">
        <color indexed="64"/>
      </top>
      <bottom style="dotted">
        <color rgb="FF00005A"/>
      </bottom>
      <diagonal/>
    </border>
    <border>
      <left style="dotted">
        <color rgb="FF00005A"/>
      </left>
      <right style="thin">
        <color indexed="64"/>
      </right>
      <top style="dotted">
        <color indexed="64"/>
      </top>
      <bottom style="dotted">
        <color rgb="FF00005A"/>
      </bottom>
      <diagonal/>
    </border>
    <border>
      <left/>
      <right style="thin">
        <color indexed="64"/>
      </right>
      <top style="dotted">
        <color indexed="64"/>
      </top>
      <bottom style="dotted">
        <color rgb="FF00005A"/>
      </bottom>
      <diagonal/>
    </border>
    <border>
      <left style="thin">
        <color indexed="64"/>
      </left>
      <right style="dotted">
        <color rgb="FF00005A"/>
      </right>
      <top style="dotted">
        <color rgb="FF00005A"/>
      </top>
      <bottom style="dotted">
        <color indexed="64"/>
      </bottom>
      <diagonal/>
    </border>
    <border>
      <left style="dotted">
        <color rgb="FF00005A"/>
      </left>
      <right style="thin">
        <color indexed="64"/>
      </right>
      <top style="dotted">
        <color rgb="FF00005A"/>
      </top>
      <bottom style="dotted">
        <color indexed="64"/>
      </bottom>
      <diagonal/>
    </border>
    <border>
      <left style="dotted">
        <color indexed="64"/>
      </left>
      <right style="dotted">
        <color indexed="64"/>
      </right>
      <top style="dotted">
        <color rgb="FF00005A"/>
      </top>
      <bottom style="dotted">
        <color rgb="FF00005A"/>
      </bottom>
      <diagonal/>
    </border>
    <border diagonalUp="1">
      <left/>
      <right/>
      <top style="dotted">
        <color rgb="FF00005A"/>
      </top>
      <bottom style="dotted">
        <color rgb="FF00005A"/>
      </bottom>
      <diagonal style="dotted">
        <color rgb="FF00005A"/>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style="dotted">
        <color rgb="FF00005A"/>
      </right>
      <top/>
      <bottom/>
      <diagonal/>
    </border>
    <border>
      <left style="dotted">
        <color rgb="FF00005A"/>
      </left>
      <right/>
      <top style="dotted">
        <color rgb="FF00005A"/>
      </top>
      <bottom/>
      <diagonal/>
    </border>
    <border>
      <left/>
      <right/>
      <top style="dotted">
        <color indexed="64"/>
      </top>
      <bottom style="dotted">
        <color rgb="FF00005A"/>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style="dotted">
        <color indexed="64"/>
      </top>
      <bottom style="thin">
        <color indexed="64"/>
      </bottom>
      <diagonal/>
    </border>
    <border>
      <left/>
      <right style="thin">
        <color indexed="64"/>
      </right>
      <top/>
      <bottom style="dotted">
        <color rgb="FF00005A"/>
      </bottom>
      <diagonal/>
    </border>
    <border diagonalUp="1">
      <left style="dotted">
        <color rgb="FF00005A"/>
      </left>
      <right style="thin">
        <color indexed="64"/>
      </right>
      <top style="dotted">
        <color rgb="FF00005A"/>
      </top>
      <bottom style="thin">
        <color indexed="64"/>
      </bottom>
      <diagonal style="dotted">
        <color rgb="FF00005A"/>
      </diagonal>
    </border>
    <border diagonalUp="1">
      <left style="dotted">
        <color rgb="FF00005A"/>
      </left>
      <right style="dotted">
        <color rgb="FF00005A"/>
      </right>
      <top style="dotted">
        <color rgb="FF00005A"/>
      </top>
      <bottom/>
      <diagonal style="dotted">
        <color rgb="FF00005A"/>
      </diagonal>
    </border>
    <border>
      <left style="thin">
        <color indexed="64"/>
      </left>
      <right style="dotted">
        <color rgb="FF00005A"/>
      </right>
      <top style="dotted">
        <color indexed="64"/>
      </top>
      <bottom style="thin">
        <color indexed="64"/>
      </bottom>
      <diagonal/>
    </border>
    <border diagonalUp="1">
      <left style="dotted">
        <color rgb="FF00005A"/>
      </left>
      <right style="dotted">
        <color rgb="FF00005A"/>
      </right>
      <top style="dotted">
        <color indexed="64"/>
      </top>
      <bottom style="thin">
        <color indexed="64"/>
      </bottom>
      <diagonal style="dotted">
        <color rgb="FF00005A"/>
      </diagonal>
    </border>
    <border>
      <left style="dotted">
        <color rgb="FF00005A"/>
      </left>
      <right/>
      <top style="dotted">
        <color indexed="64"/>
      </top>
      <bottom style="thin">
        <color indexed="64"/>
      </bottom>
      <diagonal/>
    </border>
    <border>
      <left style="dotted">
        <color rgb="FF00005A"/>
      </left>
      <right style="thin">
        <color indexed="64"/>
      </right>
      <top style="dotted">
        <color indexed="64"/>
      </top>
      <bottom style="thin">
        <color indexed="64"/>
      </bottom>
      <diagonal/>
    </border>
    <border>
      <left style="dotted">
        <color indexed="64"/>
      </left>
      <right style="dotted">
        <color indexed="64"/>
      </right>
      <top/>
      <bottom style="dotted">
        <color rgb="FF00005A"/>
      </bottom>
      <diagonal/>
    </border>
    <border>
      <left style="thin">
        <color indexed="64"/>
      </left>
      <right style="dotted">
        <color indexed="64"/>
      </right>
      <top/>
      <bottom style="thin">
        <color indexed="64"/>
      </bottom>
      <diagonal/>
    </border>
    <border>
      <left style="dotted">
        <color indexed="64"/>
      </left>
      <right style="thin">
        <color indexed="64"/>
      </right>
      <top style="dotted">
        <color rgb="FF00005A"/>
      </top>
      <bottom style="thin">
        <color indexed="64"/>
      </bottom>
      <diagonal/>
    </border>
    <border>
      <left style="dotted">
        <color indexed="64"/>
      </left>
      <right/>
      <top style="dotted">
        <color rgb="FF00005A"/>
      </top>
      <bottom style="dotted">
        <color rgb="FF00005A"/>
      </bottom>
      <diagonal/>
    </border>
    <border>
      <left style="dotted">
        <color indexed="64"/>
      </left>
      <right/>
      <top style="dotted">
        <color rgb="FF00005A"/>
      </top>
      <bottom style="thin">
        <color indexed="64"/>
      </bottom>
      <diagonal/>
    </border>
    <border>
      <left style="dotted">
        <color indexed="64"/>
      </left>
      <right/>
      <top/>
      <bottom style="dotted">
        <color rgb="FF00005A"/>
      </bottom>
      <diagonal/>
    </border>
    <border>
      <left style="thin">
        <color indexed="64"/>
      </left>
      <right/>
      <top style="dotted">
        <color rgb="FF00005A"/>
      </top>
      <bottom style="thin">
        <color indexed="64"/>
      </bottom>
      <diagonal/>
    </border>
    <border>
      <left style="thin">
        <color indexed="64"/>
      </left>
      <right/>
      <top style="thin">
        <color indexed="64"/>
      </top>
      <bottom/>
      <diagonal/>
    </border>
    <border>
      <left style="dotted">
        <color indexed="64"/>
      </left>
      <right style="thin">
        <color indexed="64"/>
      </right>
      <top style="dotted">
        <color indexed="64"/>
      </top>
      <bottom style="dotted">
        <color rgb="FF00005A"/>
      </bottom>
      <diagonal/>
    </border>
    <border>
      <left style="thin">
        <color indexed="64"/>
      </left>
      <right style="dotted">
        <color indexed="64"/>
      </right>
      <top style="dotted">
        <color indexed="64"/>
      </top>
      <bottom style="dotted">
        <color rgb="FF00005A"/>
      </bottom>
      <diagonal/>
    </border>
    <border diagonalUp="1">
      <left style="thin">
        <color indexed="64"/>
      </left>
      <right/>
      <top style="dotted">
        <color rgb="FF00005A"/>
      </top>
      <bottom/>
      <diagonal style="dotted">
        <color indexed="64"/>
      </diagonal>
    </border>
    <border diagonalUp="1">
      <left/>
      <right style="thin">
        <color indexed="64"/>
      </right>
      <top style="dotted">
        <color rgb="FF00005A"/>
      </top>
      <bottom/>
      <diagonal style="dotted">
        <color indexed="64"/>
      </diagonal>
    </border>
    <border diagonalUp="1">
      <left style="thin">
        <color indexed="64"/>
      </left>
      <right/>
      <top/>
      <bottom/>
      <diagonal style="dotted">
        <color indexed="64"/>
      </diagonal>
    </border>
    <border diagonalUp="1">
      <left/>
      <right style="thin">
        <color indexed="64"/>
      </right>
      <top/>
      <bottom/>
      <diagonal style="dotted">
        <color indexed="64"/>
      </diagonal>
    </border>
    <border diagonalUp="1">
      <left style="thin">
        <color indexed="64"/>
      </left>
      <right/>
      <top/>
      <bottom style="dotted">
        <color rgb="FF00005A"/>
      </bottom>
      <diagonal style="dotted">
        <color indexed="64"/>
      </diagonal>
    </border>
    <border diagonalUp="1">
      <left/>
      <right style="thin">
        <color indexed="64"/>
      </right>
      <top/>
      <bottom style="dotted">
        <color rgb="FF00005A"/>
      </bottom>
      <diagonal style="dotted">
        <color indexed="64"/>
      </diagonal>
    </border>
    <border diagonalUp="1">
      <left style="thin">
        <color indexed="64"/>
      </left>
      <right/>
      <top/>
      <bottom style="thin">
        <color indexed="64"/>
      </bottom>
      <diagonal style="dotted">
        <color indexed="64"/>
      </diagonal>
    </border>
    <border diagonalUp="1">
      <left/>
      <right style="thin">
        <color indexed="64"/>
      </right>
      <top/>
      <bottom style="thin">
        <color indexed="64"/>
      </bottom>
      <diagonal style="dotted">
        <color indexed="64"/>
      </diagonal>
    </border>
    <border>
      <left style="dotted">
        <color rgb="FF00005A"/>
      </left>
      <right style="dotted">
        <color rgb="FF00005A"/>
      </right>
      <top/>
      <bottom style="dotted">
        <color rgb="FF00005A"/>
      </bottom>
      <diagonal/>
    </border>
    <border diagonalUp="1">
      <left/>
      <right/>
      <top style="dotted">
        <color rgb="FF00005A"/>
      </top>
      <bottom/>
      <diagonal style="dotted">
        <color indexed="64"/>
      </diagonal>
    </border>
    <border diagonalUp="1">
      <left/>
      <right/>
      <top/>
      <bottom/>
      <diagonal style="dotted">
        <color indexed="64"/>
      </diagonal>
    </border>
    <border diagonalUp="1">
      <left/>
      <right/>
      <top/>
      <bottom style="thin">
        <color indexed="64"/>
      </bottom>
      <diagonal style="dotted">
        <color indexed="64"/>
      </diagonal>
    </border>
    <border diagonalUp="1">
      <left/>
      <right/>
      <top/>
      <bottom style="dotted">
        <color rgb="FF00005A"/>
      </bottom>
      <diagonal style="dotted">
        <color indexed="64"/>
      </diagonal>
    </border>
    <border>
      <left style="dotted">
        <color indexed="64"/>
      </left>
      <right/>
      <top/>
      <bottom style="dotted">
        <color indexed="64"/>
      </bottom>
      <diagonal/>
    </border>
    <border>
      <left style="dotted">
        <color indexed="64"/>
      </left>
      <right style="dotted">
        <color indexed="64"/>
      </right>
      <top style="dotted">
        <color indexed="64"/>
      </top>
      <bottom style="dotted">
        <color rgb="FF00005A"/>
      </bottom>
      <diagonal/>
    </border>
    <border>
      <left style="thin">
        <color indexed="64"/>
      </left>
      <right style="dotted">
        <color indexed="64"/>
      </right>
      <top style="dotted">
        <color rgb="FF00005A"/>
      </top>
      <bottom style="dotted">
        <color indexed="64"/>
      </bottom>
      <diagonal/>
    </border>
    <border diagonalUp="1">
      <left style="dotted">
        <color indexed="64"/>
      </left>
      <right style="dotted">
        <color indexed="64"/>
      </right>
      <top style="dotted">
        <color rgb="FF00005A"/>
      </top>
      <bottom style="dotted">
        <color rgb="FF00005A"/>
      </bottom>
      <diagonal style="dotted">
        <color indexed="64"/>
      </diagonal>
    </border>
    <border diagonalUp="1">
      <left style="dotted">
        <color indexed="64"/>
      </left>
      <right style="dotted">
        <color indexed="64"/>
      </right>
      <top style="dotted">
        <color rgb="FF00005A"/>
      </top>
      <bottom style="thin">
        <color indexed="64"/>
      </bottom>
      <diagonal style="dotted">
        <color indexed="64"/>
      </diagonal>
    </border>
    <border>
      <left style="thin">
        <color indexed="64"/>
      </left>
      <right style="dotted">
        <color rgb="FF00005A"/>
      </right>
      <top style="dotted">
        <color indexed="64"/>
      </top>
      <bottom style="dotted">
        <color indexed="64"/>
      </bottom>
      <diagonal/>
    </border>
    <border>
      <left style="dotted">
        <color rgb="FF00005A"/>
      </left>
      <right style="thin">
        <color indexed="64"/>
      </right>
      <top style="dotted">
        <color indexed="64"/>
      </top>
      <bottom style="dotted">
        <color indexed="64"/>
      </bottom>
      <diagonal/>
    </border>
    <border>
      <left/>
      <right/>
      <top/>
      <bottom style="thin">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6" fillId="0" borderId="0" applyFont="0" applyFill="0" applyBorder="0" applyAlignment="0" applyProtection="0"/>
    <xf numFmtId="0" fontId="9" fillId="0" borderId="0" applyNumberFormat="0" applyFill="0" applyBorder="0" applyAlignment="0" applyProtection="0"/>
    <xf numFmtId="43" fontId="6" fillId="0" borderId="0" applyFont="0" applyFill="0" applyBorder="0" applyAlignment="0" applyProtection="0"/>
    <xf numFmtId="0" fontId="6" fillId="0" borderId="0"/>
  </cellStyleXfs>
  <cellXfs count="364">
    <xf numFmtId="0" fontId="0" fillId="0" borderId="0" xfId="0"/>
    <xf numFmtId="0" fontId="4" fillId="3" borderId="2" xfId="0" applyFont="1" applyFill="1" applyBorder="1" applyAlignment="1">
      <alignment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64" fontId="2" fillId="0" borderId="5" xfId="1" applyNumberFormat="1"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164" fontId="0" fillId="0" borderId="0" xfId="0" applyNumberFormat="1"/>
    <xf numFmtId="0" fontId="7" fillId="3" borderId="0" xfId="0" applyFont="1" applyFill="1" applyAlignment="1">
      <alignment horizontal="center" vertical="center" wrapText="1"/>
    </xf>
    <xf numFmtId="0" fontId="5" fillId="0" borderId="0" xfId="0" applyFont="1" applyAlignment="1">
      <alignment vertical="center" wrapText="1"/>
    </xf>
    <xf numFmtId="0" fontId="5" fillId="6" borderId="0" xfId="0" applyFont="1" applyFill="1" applyAlignment="1">
      <alignment vertical="center" wrapText="1"/>
    </xf>
    <xf numFmtId="0" fontId="5" fillId="0" borderId="0" xfId="0" applyFont="1" applyAlignment="1">
      <alignment vertical="center"/>
    </xf>
    <xf numFmtId="0" fontId="1"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left" vertical="center" wrapText="1" indent="1"/>
    </xf>
    <xf numFmtId="1" fontId="2" fillId="6" borderId="10" xfId="0" applyNumberFormat="1" applyFont="1" applyFill="1" applyBorder="1" applyAlignment="1">
      <alignment horizontal="center" vertical="center" wrapTex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5" fillId="0" borderId="9" xfId="0" applyFont="1" applyBorder="1" applyAlignment="1">
      <alignment horizontal="left" vertical="center" wrapText="1" indent="1"/>
    </xf>
    <xf numFmtId="0" fontId="5" fillId="0" borderId="14" xfId="0" applyFont="1" applyBorder="1" applyAlignment="1">
      <alignment horizontal="left" vertical="center" wrapText="1" indent="1"/>
    </xf>
    <xf numFmtId="0" fontId="4" fillId="0" borderId="16" xfId="0" applyFont="1" applyBorder="1" applyAlignment="1">
      <alignment horizontal="left" vertical="center" wrapText="1" indent="1"/>
    </xf>
    <xf numFmtId="2" fontId="4" fillId="3" borderId="12" xfId="0" applyNumberFormat="1" applyFont="1" applyFill="1" applyBorder="1" applyAlignment="1">
      <alignment vertical="center" wrapText="1"/>
    </xf>
    <xf numFmtId="2" fontId="2" fillId="0" borderId="10" xfId="1" applyNumberFormat="1" applyFont="1" applyFill="1" applyBorder="1" applyAlignment="1">
      <alignment horizontal="center" vertical="center" wrapText="1"/>
    </xf>
    <xf numFmtId="164" fontId="2" fillId="0" borderId="10" xfId="1" applyNumberFormat="1" applyFont="1" applyFill="1" applyBorder="1" applyAlignment="1">
      <alignment horizontal="center" vertical="center" wrapText="1"/>
    </xf>
    <xf numFmtId="0" fontId="5" fillId="0" borderId="17" xfId="0" applyFont="1" applyBorder="1" applyAlignment="1">
      <alignment horizontal="left" vertical="center" wrapText="1" indent="1"/>
    </xf>
    <xf numFmtId="1" fontId="2" fillId="0" borderId="19" xfId="0" applyNumberFormat="1" applyFont="1" applyBorder="1" applyAlignment="1">
      <alignment horizontal="center" vertical="center" wrapText="1"/>
    </xf>
    <xf numFmtId="9" fontId="2" fillId="0" borderId="20" xfId="1" applyFont="1" applyFill="1" applyBorder="1" applyAlignment="1">
      <alignment horizontal="center" vertical="center" wrapText="1"/>
    </xf>
    <xf numFmtId="0" fontId="1"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5" fillId="0" borderId="17" xfId="0" applyFont="1" applyBorder="1" applyAlignment="1">
      <alignment horizontal="right" vertical="center" wrapText="1" indent="1"/>
    </xf>
    <xf numFmtId="9" fontId="3" fillId="0" borderId="10" xfId="1" applyFont="1" applyFill="1" applyBorder="1" applyAlignment="1">
      <alignment horizontal="center" vertical="center" wrapText="1"/>
    </xf>
    <xf numFmtId="9" fontId="3" fillId="6" borderId="5" xfId="1" applyFont="1" applyFill="1" applyBorder="1" applyAlignment="1">
      <alignment horizontal="center" vertical="center" wrapText="1"/>
    </xf>
    <xf numFmtId="9" fontId="3" fillId="6" borderId="10" xfId="1" applyFont="1" applyFill="1" applyBorder="1" applyAlignment="1">
      <alignment horizontal="center" vertical="center" wrapText="1"/>
    </xf>
    <xf numFmtId="9" fontId="4" fillId="6" borderId="5" xfId="1" applyFont="1" applyFill="1" applyBorder="1" applyAlignment="1">
      <alignment horizontal="center" vertical="center" wrapText="1"/>
    </xf>
    <xf numFmtId="9" fontId="4" fillId="6" borderId="10" xfId="1" applyFont="1" applyFill="1" applyBorder="1" applyAlignment="1">
      <alignment horizontal="center" vertical="center" wrapText="1"/>
    </xf>
    <xf numFmtId="9" fontId="3" fillId="6" borderId="13" xfId="1" applyFont="1" applyFill="1" applyBorder="1" applyAlignment="1">
      <alignment horizontal="center" vertical="center" wrapText="1"/>
    </xf>
    <xf numFmtId="9" fontId="3" fillId="0" borderId="28" xfId="1" applyFont="1" applyFill="1" applyBorder="1" applyAlignment="1">
      <alignment horizontal="center" vertical="center" wrapText="1"/>
    </xf>
    <xf numFmtId="9" fontId="3" fillId="6" borderId="6" xfId="1" applyFont="1" applyFill="1" applyBorder="1" applyAlignment="1">
      <alignment horizontal="center" vertical="center" wrapText="1"/>
    </xf>
    <xf numFmtId="1" fontId="2" fillId="6" borderId="5" xfId="0" applyNumberFormat="1" applyFont="1" applyFill="1" applyBorder="1" applyAlignment="1">
      <alignment horizontal="center" vertical="center" wrapText="1"/>
    </xf>
    <xf numFmtId="0" fontId="4" fillId="0" borderId="17" xfId="0" applyFont="1" applyBorder="1" applyAlignment="1">
      <alignment horizontal="left" vertical="center" wrapText="1" indent="1"/>
    </xf>
    <xf numFmtId="1" fontId="3" fillId="0" borderId="3" xfId="0" applyNumberFormat="1" applyFont="1" applyBorder="1" applyAlignment="1">
      <alignment horizontal="center" vertical="center" wrapText="1"/>
    </xf>
    <xf numFmtId="1" fontId="3" fillId="0" borderId="19" xfId="0" applyNumberFormat="1" applyFont="1" applyBorder="1" applyAlignment="1">
      <alignment horizontal="center" vertical="center" wrapText="1"/>
    </xf>
    <xf numFmtId="9" fontId="2" fillId="6" borderId="6" xfId="1" applyFont="1" applyFill="1" applyBorder="1" applyAlignment="1">
      <alignment horizontal="center" vertical="center" wrapText="1"/>
    </xf>
    <xf numFmtId="9" fontId="2" fillId="6" borderId="13" xfId="1" applyFont="1" applyFill="1" applyBorder="1" applyAlignment="1">
      <alignment horizontal="center" vertical="center" wrapText="1"/>
    </xf>
    <xf numFmtId="0" fontId="7" fillId="3" borderId="25" xfId="0" applyFont="1" applyFill="1" applyBorder="1" applyAlignment="1">
      <alignment horizontal="center" vertical="center" wrapText="1"/>
    </xf>
    <xf numFmtId="9" fontId="3" fillId="6" borderId="39" xfId="1" applyFont="1" applyFill="1" applyBorder="1" applyAlignment="1">
      <alignment horizontal="center" vertical="center" wrapText="1"/>
    </xf>
    <xf numFmtId="9" fontId="2" fillId="6" borderId="39" xfId="1" applyFont="1" applyFill="1" applyBorder="1" applyAlignment="1">
      <alignment horizontal="center" vertical="center" wrapText="1"/>
    </xf>
    <xf numFmtId="0" fontId="4" fillId="3" borderId="40" xfId="0" applyFont="1" applyFill="1" applyBorder="1" applyAlignment="1">
      <alignment vertical="center" wrapText="1"/>
    </xf>
    <xf numFmtId="0" fontId="4" fillId="3" borderId="36" xfId="0" applyFont="1" applyFill="1" applyBorder="1" applyAlignment="1">
      <alignment vertical="center" wrapText="1"/>
    </xf>
    <xf numFmtId="1" fontId="2" fillId="0" borderId="41" xfId="0" applyNumberFormat="1" applyFont="1" applyBorder="1" applyAlignment="1">
      <alignment horizontal="center" vertical="center" wrapText="1"/>
    </xf>
    <xf numFmtId="1" fontId="2" fillId="0" borderId="42" xfId="0" applyNumberFormat="1" applyFont="1" applyBorder="1" applyAlignment="1">
      <alignment horizontal="center" vertical="center" wrapText="1"/>
    </xf>
    <xf numFmtId="165" fontId="3" fillId="6" borderId="44" xfId="3" applyNumberFormat="1" applyFont="1" applyFill="1" applyBorder="1" applyAlignment="1">
      <alignment horizontal="center" vertical="center" wrapText="1"/>
    </xf>
    <xf numFmtId="165" fontId="2" fillId="0" borderId="45" xfId="3" applyNumberFormat="1" applyFont="1" applyFill="1" applyBorder="1" applyAlignment="1">
      <alignment horizontal="center" vertical="center" wrapText="1"/>
    </xf>
    <xf numFmtId="165" fontId="2" fillId="0" borderId="46" xfId="3" applyNumberFormat="1" applyFont="1" applyFill="1" applyBorder="1" applyAlignment="1">
      <alignment horizontal="center" vertical="center" wrapText="1"/>
    </xf>
    <xf numFmtId="0" fontId="4" fillId="3" borderId="45" xfId="0" applyFont="1" applyFill="1" applyBorder="1" applyAlignment="1">
      <alignment vertical="center" wrapText="1"/>
    </xf>
    <xf numFmtId="165" fontId="3" fillId="6" borderId="48" xfId="3" applyNumberFormat="1" applyFont="1" applyFill="1" applyBorder="1" applyAlignment="1">
      <alignment horizontal="center" vertical="center" wrapText="1"/>
    </xf>
    <xf numFmtId="165" fontId="2" fillId="0" borderId="40" xfId="3" applyNumberFormat="1" applyFont="1" applyFill="1" applyBorder="1" applyAlignment="1">
      <alignment horizontal="center" vertical="center" wrapText="1"/>
    </xf>
    <xf numFmtId="165" fontId="2" fillId="0" borderId="49" xfId="3" applyNumberFormat="1" applyFont="1" applyFill="1" applyBorder="1" applyAlignment="1">
      <alignment horizontal="center" vertical="center" wrapText="1"/>
    </xf>
    <xf numFmtId="9" fontId="2" fillId="6" borderId="36" xfId="1" applyFont="1" applyFill="1" applyBorder="1" applyAlignment="1">
      <alignment horizontal="center" vertical="center" wrapText="1"/>
    </xf>
    <xf numFmtId="9" fontId="2" fillId="6" borderId="51" xfId="1" applyFont="1" applyFill="1" applyBorder="1" applyAlignment="1">
      <alignment horizontal="center" vertical="center" wrapText="1"/>
    </xf>
    <xf numFmtId="0" fontId="5" fillId="0" borderId="43" xfId="0" applyFont="1" applyBorder="1" applyAlignment="1">
      <alignment horizontal="left" vertical="center" wrapText="1" indent="1"/>
    </xf>
    <xf numFmtId="0" fontId="7" fillId="3" borderId="52" xfId="0" applyFont="1" applyFill="1" applyBorder="1" applyAlignment="1">
      <alignment horizontal="center" vertical="center" wrapText="1"/>
    </xf>
    <xf numFmtId="165" fontId="2" fillId="0" borderId="53" xfId="3" applyNumberFormat="1" applyFont="1" applyFill="1" applyBorder="1" applyAlignment="1">
      <alignment horizontal="center" vertical="center" wrapText="1"/>
    </xf>
    <xf numFmtId="165" fontId="2" fillId="0" borderId="54" xfId="3" applyNumberFormat="1" applyFont="1" applyFill="1" applyBorder="1" applyAlignment="1">
      <alignment horizontal="center" vertical="center" wrapText="1"/>
    </xf>
    <xf numFmtId="0" fontId="4" fillId="3" borderId="53" xfId="0" applyFont="1" applyFill="1" applyBorder="1" applyAlignment="1">
      <alignment vertical="center" wrapText="1"/>
    </xf>
    <xf numFmtId="1" fontId="2" fillId="0" borderId="54" xfId="0" applyNumberFormat="1" applyFont="1" applyBorder="1" applyAlignment="1">
      <alignment horizontal="center" vertical="center" wrapText="1"/>
    </xf>
    <xf numFmtId="1" fontId="2" fillId="0" borderId="33" xfId="0" applyNumberFormat="1" applyFont="1" applyBorder="1" applyAlignment="1">
      <alignment horizontal="center" vertical="center" wrapText="1"/>
    </xf>
    <xf numFmtId="165" fontId="3" fillId="6" borderId="55" xfId="3" applyNumberFormat="1" applyFont="1" applyFill="1" applyBorder="1" applyAlignment="1">
      <alignment horizontal="center" vertical="center" wrapText="1"/>
    </xf>
    <xf numFmtId="0" fontId="1" fillId="3" borderId="56"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9" fontId="2" fillId="6" borderId="28" xfId="1" applyFont="1" applyFill="1" applyBorder="1" applyAlignment="1">
      <alignment horizontal="center" vertical="center" wrapText="1"/>
    </xf>
    <xf numFmtId="9" fontId="2" fillId="6" borderId="10" xfId="1" applyFont="1" applyFill="1" applyBorder="1" applyAlignment="1">
      <alignment horizontal="center" vertical="center" wrapText="1"/>
    </xf>
    <xf numFmtId="9" fontId="3" fillId="6" borderId="28" xfId="1" applyFont="1" applyFill="1" applyBorder="1" applyAlignment="1">
      <alignment horizontal="center" vertical="center" wrapText="1"/>
    </xf>
    <xf numFmtId="9" fontId="2" fillId="0" borderId="3" xfId="1" applyFont="1" applyFill="1" applyBorder="1" applyAlignment="1">
      <alignment horizontal="center" vertical="center" wrapText="1"/>
    </xf>
    <xf numFmtId="9" fontId="2" fillId="0" borderId="18" xfId="1" applyFont="1" applyFill="1" applyBorder="1" applyAlignment="1">
      <alignment horizontal="center" vertical="center" wrapText="1"/>
    </xf>
    <xf numFmtId="164" fontId="2" fillId="6" borderId="5" xfId="1" applyNumberFormat="1" applyFont="1" applyFill="1" applyBorder="1" applyAlignment="1">
      <alignment horizontal="center" vertical="center" wrapText="1"/>
    </xf>
    <xf numFmtId="0" fontId="1" fillId="2" borderId="57" xfId="0" applyFont="1" applyFill="1" applyBorder="1" applyAlignment="1">
      <alignment vertical="center" wrapText="1"/>
    </xf>
    <xf numFmtId="0" fontId="1" fillId="2" borderId="58" xfId="0" applyFont="1" applyFill="1" applyBorder="1" applyAlignment="1">
      <alignment vertical="center" wrapText="1"/>
    </xf>
    <xf numFmtId="0" fontId="1" fillId="2" borderId="59" xfId="0" applyFont="1" applyFill="1" applyBorder="1" applyAlignment="1">
      <alignment vertical="center" wrapText="1"/>
    </xf>
    <xf numFmtId="0" fontId="7" fillId="3" borderId="66" xfId="0" applyFont="1" applyFill="1" applyBorder="1" applyAlignment="1">
      <alignment horizontal="center" vertical="center" wrapText="1"/>
    </xf>
    <xf numFmtId="9" fontId="3" fillId="6" borderId="15" xfId="1" applyFont="1" applyFill="1" applyBorder="1" applyAlignment="1">
      <alignment horizontal="center" vertical="center" wrapText="1"/>
    </xf>
    <xf numFmtId="165" fontId="2" fillId="0" borderId="12" xfId="3" applyNumberFormat="1" applyFont="1" applyFill="1" applyBorder="1" applyAlignment="1">
      <alignment horizontal="center" vertical="center" wrapText="1"/>
    </xf>
    <xf numFmtId="165" fontId="2" fillId="0" borderId="70" xfId="3"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165" fontId="2" fillId="0" borderId="11" xfId="3" applyNumberFormat="1" applyFont="1" applyFill="1" applyBorder="1" applyAlignment="1">
      <alignment horizontal="center" vertical="center" wrapText="1"/>
    </xf>
    <xf numFmtId="165" fontId="2" fillId="0" borderId="71" xfId="3" applyNumberFormat="1"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72" xfId="0" applyFont="1" applyFill="1" applyBorder="1" applyAlignment="1">
      <alignment horizontal="center" vertical="center" wrapText="1"/>
    </xf>
    <xf numFmtId="165" fontId="2" fillId="0" borderId="33" xfId="3" applyNumberFormat="1" applyFont="1" applyFill="1" applyBorder="1" applyAlignment="1">
      <alignment horizontal="center" vertical="center" wrapText="1"/>
    </xf>
    <xf numFmtId="0" fontId="4" fillId="0" borderId="74" xfId="0" applyFont="1" applyBorder="1" applyAlignment="1">
      <alignment horizontal="left" vertical="center" wrapText="1" indent="1"/>
    </xf>
    <xf numFmtId="165" fontId="3" fillId="6" borderId="73" xfId="3" applyNumberFormat="1" applyFont="1" applyFill="1" applyBorder="1" applyAlignment="1">
      <alignment horizontal="center" vertical="center" wrapText="1"/>
    </xf>
    <xf numFmtId="165" fontId="3" fillId="6" borderId="74" xfId="3" applyNumberFormat="1" applyFont="1" applyFill="1" applyBorder="1" applyAlignment="1">
      <alignment horizontal="center" vertical="center" wrapText="1"/>
    </xf>
    <xf numFmtId="9" fontId="3" fillId="6" borderId="75" xfId="1" applyFont="1" applyFill="1" applyBorder="1" applyAlignment="1">
      <alignment horizontal="center" vertical="center" wrapText="1"/>
    </xf>
    <xf numFmtId="165" fontId="3" fillId="6" borderId="76" xfId="3" applyNumberFormat="1" applyFont="1" applyFill="1" applyBorder="1" applyAlignment="1">
      <alignment horizontal="center" vertical="center" wrapText="1"/>
    </xf>
    <xf numFmtId="1" fontId="2" fillId="6" borderId="6" xfId="0" applyNumberFormat="1" applyFont="1" applyFill="1" applyBorder="1" applyAlignment="1">
      <alignment horizontal="center" vertical="center" wrapText="1"/>
    </xf>
    <xf numFmtId="1" fontId="2" fillId="6" borderId="13" xfId="0" applyNumberFormat="1" applyFont="1" applyFill="1" applyBorder="1" applyAlignment="1">
      <alignment horizontal="center" vertical="center" wrapText="1"/>
    </xf>
    <xf numFmtId="166" fontId="2" fillId="6" borderId="5" xfId="1" applyNumberFormat="1" applyFont="1" applyFill="1" applyBorder="1" applyAlignment="1">
      <alignment horizontal="center" vertical="center" wrapText="1"/>
    </xf>
    <xf numFmtId="166" fontId="2" fillId="6" borderId="36" xfId="1" applyNumberFormat="1" applyFont="1" applyFill="1" applyBorder="1" applyAlignment="1">
      <alignment horizontal="center" vertical="center" wrapText="1"/>
    </xf>
    <xf numFmtId="1" fontId="2" fillId="0" borderId="10" xfId="1" applyNumberFormat="1" applyFont="1" applyFill="1" applyBorder="1" applyAlignment="1">
      <alignment horizontal="center" vertical="center" wrapText="1"/>
    </xf>
    <xf numFmtId="164" fontId="2" fillId="6" borderId="10" xfId="1" applyNumberFormat="1" applyFont="1" applyFill="1" applyBorder="1" applyAlignment="1">
      <alignment horizontal="center" vertical="center" wrapText="1"/>
    </xf>
    <xf numFmtId="0" fontId="4" fillId="3" borderId="11" xfId="0" applyFont="1" applyFill="1" applyBorder="1" applyAlignment="1">
      <alignment horizontal="left" vertical="center" wrapText="1"/>
    </xf>
    <xf numFmtId="9" fontId="2" fillId="0" borderId="5" xfId="1" applyFont="1" applyFill="1" applyBorder="1" applyAlignment="1">
      <alignment horizontal="center" vertical="center" wrapText="1"/>
    </xf>
    <xf numFmtId="9" fontId="2" fillId="0" borderId="10" xfId="1" applyFont="1" applyFill="1" applyBorder="1" applyAlignment="1">
      <alignment horizontal="center" vertical="center" wrapText="1"/>
    </xf>
    <xf numFmtId="2" fontId="2" fillId="6" borderId="5" xfId="1" applyNumberFormat="1" applyFont="1" applyFill="1" applyBorder="1" applyAlignment="1">
      <alignment horizontal="center" vertical="center" wrapText="1"/>
    </xf>
    <xf numFmtId="2" fontId="2" fillId="6" borderId="10" xfId="1" applyNumberFormat="1" applyFont="1" applyFill="1" applyBorder="1" applyAlignment="1">
      <alignment horizontal="center" vertical="center" wrapText="1"/>
    </xf>
    <xf numFmtId="9" fontId="2" fillId="0" borderId="34" xfId="1" applyFont="1" applyFill="1" applyBorder="1" applyAlignment="1">
      <alignment horizontal="center" vertical="center" wrapText="1"/>
    </xf>
    <xf numFmtId="164" fontId="2" fillId="6" borderId="5" xfId="0" applyNumberFormat="1" applyFont="1" applyFill="1" applyBorder="1" applyAlignment="1">
      <alignment horizontal="center" vertical="center" wrapText="1"/>
    </xf>
    <xf numFmtId="164" fontId="2" fillId="6" borderId="10" xfId="0" applyNumberFormat="1" applyFont="1" applyFill="1" applyBorder="1" applyAlignment="1">
      <alignment horizontal="center" vertical="center" wrapText="1"/>
    </xf>
    <xf numFmtId="1" fontId="2" fillId="6" borderId="10" xfId="1" applyNumberFormat="1" applyFont="1" applyFill="1" applyBorder="1" applyAlignment="1">
      <alignment horizontal="center" vertical="center" wrapText="1"/>
    </xf>
    <xf numFmtId="1" fontId="0" fillId="0" borderId="0" xfId="0" applyNumberFormat="1"/>
    <xf numFmtId="2" fontId="0" fillId="0" borderId="0" xfId="0" applyNumberFormat="1"/>
    <xf numFmtId="0" fontId="5" fillId="0" borderId="77" xfId="0" applyFont="1" applyBorder="1" applyAlignment="1">
      <alignment horizontal="left" vertical="center" wrapText="1" indent="1"/>
    </xf>
    <xf numFmtId="1" fontId="2" fillId="0" borderId="78" xfId="1" applyNumberFormat="1" applyFont="1" applyFill="1" applyBorder="1" applyAlignment="1">
      <alignment horizontal="center" vertical="center" wrapText="1"/>
    </xf>
    <xf numFmtId="0" fontId="4" fillId="0" borderId="77" xfId="0" applyFont="1" applyBorder="1" applyAlignment="1">
      <alignment horizontal="left" vertical="center" wrapText="1" indent="1"/>
    </xf>
    <xf numFmtId="0" fontId="0" fillId="0" borderId="7" xfId="0" applyBorder="1"/>
    <xf numFmtId="9" fontId="2" fillId="6" borderId="5" xfId="1" applyFont="1" applyFill="1" applyBorder="1" applyAlignment="1">
      <alignment horizontal="center" vertical="center" wrapText="1"/>
    </xf>
    <xf numFmtId="1" fontId="2" fillId="6" borderId="20" xfId="1" applyNumberFormat="1" applyFont="1" applyFill="1" applyBorder="1" applyAlignment="1">
      <alignment horizontal="center" vertical="center" wrapText="1"/>
    </xf>
    <xf numFmtId="2" fontId="3" fillId="6" borderId="5" xfId="1" applyNumberFormat="1" applyFont="1" applyFill="1" applyBorder="1" applyAlignment="1">
      <alignment horizontal="center" vertical="center" wrapText="1"/>
    </xf>
    <xf numFmtId="2" fontId="3" fillId="6" borderId="10" xfId="1" applyNumberFormat="1" applyFont="1" applyFill="1" applyBorder="1" applyAlignment="1">
      <alignment horizontal="center" vertical="center" wrapText="1"/>
    </xf>
    <xf numFmtId="0" fontId="5" fillId="0" borderId="11" xfId="0" applyFont="1" applyBorder="1" applyAlignment="1">
      <alignment horizontal="left" vertical="center" wrapText="1" indent="1"/>
    </xf>
    <xf numFmtId="0" fontId="5" fillId="0" borderId="44" xfId="0" applyFont="1" applyBorder="1" applyAlignment="1">
      <alignment horizontal="left" vertical="center" wrapText="1" indent="1"/>
    </xf>
    <xf numFmtId="166" fontId="2" fillId="0" borderId="79" xfId="1" applyNumberFormat="1" applyFont="1" applyFill="1" applyBorder="1" applyAlignment="1">
      <alignment horizontal="center" vertical="center" wrapText="1"/>
    </xf>
    <xf numFmtId="9" fontId="2" fillId="0" borderId="28" xfId="1" applyFont="1" applyFill="1" applyBorder="1" applyAlignment="1">
      <alignment horizontal="center" vertical="center" wrapText="1"/>
    </xf>
    <xf numFmtId="1" fontId="2" fillId="0" borderId="28" xfId="1" applyNumberFormat="1" applyFont="1" applyFill="1" applyBorder="1" applyAlignment="1">
      <alignment horizontal="center" vertical="center" wrapText="1"/>
    </xf>
    <xf numFmtId="9" fontId="2" fillId="0" borderId="80" xfId="1" applyFont="1" applyFill="1" applyBorder="1" applyAlignment="1">
      <alignment horizontal="center" vertical="center" wrapText="1"/>
    </xf>
    <xf numFmtId="9" fontId="2" fillId="6" borderId="12" xfId="1" applyFont="1" applyFill="1" applyBorder="1" applyAlignment="1">
      <alignment horizontal="center" vertical="center" wrapText="1"/>
    </xf>
    <xf numFmtId="0" fontId="17" fillId="0" borderId="9" xfId="0" applyFont="1" applyBorder="1" applyAlignment="1">
      <alignment horizontal="right" vertical="center" wrapText="1" indent="1"/>
    </xf>
    <xf numFmtId="164" fontId="18" fillId="0" borderId="3" xfId="1" applyNumberFormat="1" applyFont="1" applyFill="1" applyBorder="1" applyAlignment="1">
      <alignment horizontal="center" vertical="center" wrapText="1"/>
    </xf>
    <xf numFmtId="0" fontId="17" fillId="0" borderId="17" xfId="0" applyFont="1" applyBorder="1" applyAlignment="1">
      <alignment horizontal="right" vertical="center" wrapText="1" indent="1"/>
    </xf>
    <xf numFmtId="164" fontId="19" fillId="0" borderId="28" xfId="1" applyNumberFormat="1" applyFont="1" applyFill="1" applyBorder="1" applyAlignment="1">
      <alignment horizontal="center" vertical="center" wrapText="1"/>
    </xf>
    <xf numFmtId="164" fontId="19" fillId="6" borderId="28" xfId="1" applyNumberFormat="1" applyFont="1" applyFill="1" applyBorder="1" applyAlignment="1">
      <alignment horizontal="center" vertical="center" wrapText="1"/>
    </xf>
    <xf numFmtId="164" fontId="19" fillId="6" borderId="12" xfId="1" applyNumberFormat="1" applyFont="1" applyFill="1" applyBorder="1" applyAlignment="1">
      <alignment horizontal="center" vertical="center" wrapText="1"/>
    </xf>
    <xf numFmtId="1" fontId="2" fillId="0" borderId="13" xfId="1" applyNumberFormat="1" applyFont="1" applyFill="1" applyBorder="1" applyAlignment="1">
      <alignment horizontal="center" vertical="center" wrapText="1"/>
    </xf>
    <xf numFmtId="0" fontId="5" fillId="0" borderId="23" xfId="0" applyFont="1" applyBorder="1" applyAlignment="1">
      <alignment horizontal="left" vertical="center" wrapText="1" indent="1"/>
    </xf>
    <xf numFmtId="9" fontId="2" fillId="0" borderId="86" xfId="1" applyFont="1" applyFill="1" applyBorder="1" applyAlignment="1">
      <alignment horizontal="center" vertical="center" wrapText="1"/>
    </xf>
    <xf numFmtId="166" fontId="2" fillId="0" borderId="86" xfId="1" applyNumberFormat="1" applyFont="1" applyFill="1" applyBorder="1" applyAlignment="1">
      <alignment horizontal="center" vertical="center" wrapText="1"/>
    </xf>
    <xf numFmtId="166" fontId="2" fillId="0" borderId="24" xfId="1" applyNumberFormat="1" applyFont="1" applyFill="1" applyBorder="1" applyAlignment="1">
      <alignment horizontal="center" vertical="center" wrapText="1"/>
    </xf>
    <xf numFmtId="0" fontId="5" fillId="0" borderId="26" xfId="0" applyFont="1" applyBorder="1" applyAlignment="1">
      <alignment horizontal="left" vertical="center" wrapText="1" indent="1"/>
    </xf>
    <xf numFmtId="0" fontId="4" fillId="0" borderId="87" xfId="0" applyFont="1" applyBorder="1" applyAlignment="1">
      <alignment horizontal="left" vertical="center" wrapText="1" indent="1"/>
    </xf>
    <xf numFmtId="9" fontId="3" fillId="6" borderId="88" xfId="1" applyFont="1" applyFill="1" applyBorder="1" applyAlignment="1">
      <alignment horizontal="center" vertical="center" wrapText="1"/>
    </xf>
    <xf numFmtId="9" fontId="3" fillId="6" borderId="38" xfId="1" applyFont="1" applyFill="1" applyBorder="1" applyAlignment="1">
      <alignment horizontal="center" vertical="center" wrapText="1"/>
    </xf>
    <xf numFmtId="0" fontId="4" fillId="0" borderId="43" xfId="0" applyFont="1" applyBorder="1" applyAlignment="1">
      <alignment horizontal="left" vertical="center" wrapText="1" indent="1"/>
    </xf>
    <xf numFmtId="2" fontId="3" fillId="6" borderId="34" xfId="1" applyNumberFormat="1" applyFont="1" applyFill="1" applyBorder="1" applyAlignment="1">
      <alignment horizontal="center" vertical="center" wrapText="1"/>
    </xf>
    <xf numFmtId="2" fontId="3" fillId="6" borderId="20" xfId="1" applyNumberFormat="1"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3" borderId="92" xfId="0" applyFont="1" applyFill="1" applyBorder="1" applyAlignment="1">
      <alignment horizontal="center" vertical="center" wrapText="1"/>
    </xf>
    <xf numFmtId="9" fontId="2" fillId="0" borderId="93" xfId="1" applyFont="1" applyFill="1" applyBorder="1" applyAlignment="1">
      <alignment horizontal="center" vertical="center" wrapText="1"/>
    </xf>
    <xf numFmtId="166" fontId="2" fillId="0" borderId="93" xfId="1" applyNumberFormat="1" applyFont="1" applyFill="1" applyBorder="1" applyAlignment="1">
      <alignment horizontal="center" vertical="center" wrapText="1"/>
    </xf>
    <xf numFmtId="166" fontId="2" fillId="0" borderId="27" xfId="1" applyNumberFormat="1" applyFont="1" applyFill="1" applyBorder="1" applyAlignment="1">
      <alignment horizontal="center" vertical="center" wrapText="1"/>
    </xf>
    <xf numFmtId="2" fontId="2" fillId="0" borderId="5" xfId="1" applyNumberFormat="1" applyFont="1" applyFill="1" applyBorder="1" applyAlignment="1">
      <alignment horizontal="center" vertical="center" wrapText="1"/>
    </xf>
    <xf numFmtId="166" fontId="2" fillId="0" borderId="10" xfId="1" applyNumberFormat="1" applyFont="1" applyFill="1" applyBorder="1" applyAlignment="1">
      <alignment horizontal="center" vertical="center" wrapText="1"/>
    </xf>
    <xf numFmtId="1" fontId="2" fillId="6" borderId="13" xfId="1" applyNumberFormat="1" applyFont="1" applyFill="1" applyBorder="1" applyAlignment="1">
      <alignment horizontal="center" vertical="center" wrapText="1"/>
    </xf>
    <xf numFmtId="1" fontId="2" fillId="6" borderId="15" xfId="1" applyNumberFormat="1" applyFont="1" applyFill="1" applyBorder="1" applyAlignment="1">
      <alignment horizontal="center" vertical="center" wrapText="1"/>
    </xf>
    <xf numFmtId="9" fontId="0" fillId="0" borderId="0" xfId="1" applyFont="1"/>
    <xf numFmtId="9" fontId="0" fillId="0" borderId="0" xfId="0" applyNumberFormat="1"/>
    <xf numFmtId="0" fontId="5" fillId="0" borderId="87" xfId="0" applyFont="1" applyBorder="1" applyAlignment="1">
      <alignment horizontal="left" vertical="center" wrapText="1" indent="1"/>
    </xf>
    <xf numFmtId="9" fontId="2" fillId="6" borderId="20" xfId="1" applyFont="1" applyFill="1" applyBorder="1" applyAlignment="1">
      <alignment horizontal="center" vertical="center" wrapText="1"/>
    </xf>
    <xf numFmtId="9" fontId="2" fillId="0" borderId="19" xfId="1" applyFont="1" applyFill="1" applyBorder="1" applyAlignment="1">
      <alignment horizontal="center" vertical="center" wrapText="1"/>
    </xf>
    <xf numFmtId="9" fontId="2" fillId="6" borderId="88" xfId="1" applyFont="1" applyFill="1" applyBorder="1" applyAlignment="1">
      <alignment horizontal="center" vertical="center" wrapText="1"/>
    </xf>
    <xf numFmtId="0" fontId="4" fillId="3" borderId="1" xfId="0" applyFont="1" applyFill="1" applyBorder="1" applyAlignment="1">
      <alignment vertical="center" wrapText="1"/>
    </xf>
    <xf numFmtId="0" fontId="4" fillId="3" borderId="94" xfId="0" applyFont="1" applyFill="1" applyBorder="1" applyAlignment="1">
      <alignment vertical="center" wrapText="1"/>
    </xf>
    <xf numFmtId="0" fontId="4" fillId="3" borderId="60" xfId="0" applyFont="1" applyFill="1" applyBorder="1" applyAlignment="1">
      <alignment vertical="center" wrapText="1"/>
    </xf>
    <xf numFmtId="0" fontId="4" fillId="3" borderId="61" xfId="0" applyFont="1" applyFill="1" applyBorder="1" applyAlignment="1">
      <alignment vertical="center" wrapText="1"/>
    </xf>
    <xf numFmtId="0" fontId="4" fillId="3" borderId="62" xfId="0" applyFont="1" applyFill="1" applyBorder="1" applyAlignment="1">
      <alignment vertical="center" wrapText="1"/>
    </xf>
    <xf numFmtId="0" fontId="5" fillId="0" borderId="43" xfId="0" applyFont="1" applyBorder="1" applyAlignment="1">
      <alignment horizontal="right" vertical="center" wrapText="1" indent="1"/>
    </xf>
    <xf numFmtId="9" fontId="2" fillId="0" borderId="95" xfId="1" applyFont="1" applyFill="1" applyBorder="1" applyAlignment="1">
      <alignment horizontal="center" vertical="center" wrapText="1"/>
    </xf>
    <xf numFmtId="1" fontId="3" fillId="0" borderId="96" xfId="0" applyNumberFormat="1" applyFont="1" applyBorder="1" applyAlignment="1">
      <alignment horizontal="center" vertical="center" wrapText="1"/>
    </xf>
    <xf numFmtId="9" fontId="3" fillId="0" borderId="88" xfId="1" applyFont="1" applyFill="1" applyBorder="1" applyAlignment="1">
      <alignment horizontal="center" vertical="center" wrapText="1"/>
    </xf>
    <xf numFmtId="9" fontId="3" fillId="0" borderId="38" xfId="1" applyFont="1" applyFill="1" applyBorder="1" applyAlignment="1">
      <alignment horizontal="center" vertical="center" wrapText="1"/>
    </xf>
    <xf numFmtId="0" fontId="15" fillId="3" borderId="97" xfId="0" applyFont="1" applyFill="1" applyBorder="1" applyAlignment="1">
      <alignment horizontal="left" vertical="center" wrapText="1" indent="1"/>
    </xf>
    <xf numFmtId="1" fontId="15" fillId="3" borderId="98" xfId="0" applyNumberFormat="1" applyFont="1" applyFill="1" applyBorder="1" applyAlignment="1">
      <alignment horizontal="center" vertical="center" wrapText="1"/>
    </xf>
    <xf numFmtId="9" fontId="15" fillId="6" borderId="99" xfId="1" applyFont="1" applyFill="1" applyBorder="1" applyAlignment="1">
      <alignment horizontal="center" vertical="center" wrapText="1"/>
    </xf>
    <xf numFmtId="9" fontId="15" fillId="6" borderId="100" xfId="1" applyFont="1" applyFill="1" applyBorder="1" applyAlignment="1">
      <alignment horizontal="center" vertical="center" wrapText="1"/>
    </xf>
    <xf numFmtId="0" fontId="5" fillId="0" borderId="71" xfId="0" applyFont="1" applyBorder="1" applyAlignment="1">
      <alignment horizontal="left" vertical="center" wrapText="1" indent="1"/>
    </xf>
    <xf numFmtId="9" fontId="2" fillId="0" borderId="29" xfId="1" applyFont="1" applyFill="1" applyBorder="1" applyAlignment="1">
      <alignment horizontal="center" vertical="center" wrapText="1"/>
    </xf>
    <xf numFmtId="9" fontId="2" fillId="0" borderId="12" xfId="1" applyFont="1" applyFill="1" applyBorder="1" applyAlignment="1">
      <alignment horizontal="center" vertical="center" wrapText="1"/>
    </xf>
    <xf numFmtId="164" fontId="19" fillId="0" borderId="12" xfId="1" applyNumberFormat="1" applyFont="1" applyFill="1" applyBorder="1" applyAlignment="1">
      <alignment horizontal="center" vertical="center" wrapText="1"/>
    </xf>
    <xf numFmtId="2" fontId="19" fillId="0" borderId="13" xfId="1" applyNumberFormat="1" applyFont="1" applyFill="1" applyBorder="1" applyAlignment="1">
      <alignment horizontal="center" vertical="center" wrapText="1"/>
    </xf>
    <xf numFmtId="164" fontId="5" fillId="0" borderId="88" xfId="1" applyNumberFormat="1" applyFont="1" applyFill="1" applyBorder="1" applyAlignment="1">
      <alignment horizontal="center" vertical="center" wrapText="1"/>
    </xf>
    <xf numFmtId="164" fontId="5" fillId="0" borderId="51" xfId="1"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45" xfId="0" applyFont="1" applyBorder="1" applyAlignment="1">
      <alignment horizontal="left" vertical="center" wrapText="1" indent="1"/>
    </xf>
    <xf numFmtId="0" fontId="22" fillId="0" borderId="44" xfId="0" applyFont="1" applyBorder="1" applyAlignment="1">
      <alignment horizontal="left" vertical="center" wrapText="1" indent="1"/>
    </xf>
    <xf numFmtId="0" fontId="22" fillId="0" borderId="102" xfId="0" applyFont="1" applyBorder="1" applyAlignment="1">
      <alignment horizontal="left" vertical="center" wrapText="1" indent="1"/>
    </xf>
    <xf numFmtId="9" fontId="2" fillId="6" borderId="103" xfId="1" applyFont="1" applyFill="1" applyBorder="1" applyAlignment="1">
      <alignment horizontal="center" vertical="center" wrapText="1"/>
    </xf>
    <xf numFmtId="9" fontId="22" fillId="6" borderId="48" xfId="1"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10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5" fillId="0" borderId="107" xfId="0" applyFont="1" applyBorder="1" applyAlignment="1">
      <alignment horizontal="left" vertical="center" wrapText="1" indent="1"/>
    </xf>
    <xf numFmtId="0" fontId="7" fillId="3" borderId="109" xfId="0" applyFont="1" applyFill="1" applyBorder="1" applyAlignment="1">
      <alignment horizontal="center" vertical="center" wrapText="1"/>
    </xf>
    <xf numFmtId="1" fontId="2" fillId="6" borderId="104" xfId="1" applyNumberFormat="1" applyFont="1" applyFill="1" applyBorder="1" applyAlignment="1">
      <alignment horizontal="center" vertical="center" wrapText="1"/>
    </xf>
    <xf numFmtId="1" fontId="2" fillId="6" borderId="106" xfId="1" applyNumberFormat="1" applyFont="1" applyFill="1" applyBorder="1" applyAlignment="1">
      <alignment horizontal="center" vertical="center" wrapText="1"/>
    </xf>
    <xf numFmtId="9" fontId="22" fillId="6" borderId="45" xfId="1" applyFont="1" applyFill="1" applyBorder="1" applyAlignment="1">
      <alignment horizontal="center" vertical="center" wrapText="1"/>
    </xf>
    <xf numFmtId="0" fontId="7" fillId="3" borderId="110" xfId="0" applyFont="1" applyFill="1" applyBorder="1" applyAlignment="1">
      <alignment horizontal="center" vertical="center" wrapText="1"/>
    </xf>
    <xf numFmtId="9" fontId="2" fillId="6" borderId="40" xfId="1" applyFont="1" applyFill="1" applyBorder="1" applyAlignment="1">
      <alignment horizontal="center" vertical="center" wrapText="1"/>
    </xf>
    <xf numFmtId="1" fontId="2" fillId="6" borderId="11" xfId="1" applyNumberFormat="1" applyFont="1" applyFill="1" applyBorder="1" applyAlignment="1">
      <alignment horizontal="center" vertical="center" wrapText="1"/>
    </xf>
    <xf numFmtId="1" fontId="2" fillId="6" borderId="17" xfId="1" applyNumberFormat="1" applyFont="1" applyFill="1" applyBorder="1" applyAlignment="1">
      <alignment horizontal="center" vertical="center" wrapText="1"/>
    </xf>
    <xf numFmtId="1" fontId="22" fillId="6" borderId="17" xfId="1" applyNumberFormat="1" applyFont="1" applyFill="1" applyBorder="1" applyAlignment="1">
      <alignment horizontal="center" vertical="center" wrapText="1"/>
    </xf>
    <xf numFmtId="9" fontId="22" fillId="6" borderId="119" xfId="1"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125" xfId="0" applyFont="1" applyFill="1" applyBorder="1" applyAlignment="1">
      <alignment horizontal="center" vertical="center" wrapText="1"/>
    </xf>
    <xf numFmtId="1" fontId="2" fillId="6" borderId="16" xfId="1" applyNumberFormat="1" applyFont="1" applyFill="1" applyBorder="1" applyAlignment="1">
      <alignment horizontal="center" vertical="center" wrapText="1"/>
    </xf>
    <xf numFmtId="1" fontId="2" fillId="6" borderId="9" xfId="1" applyNumberFormat="1" applyFont="1" applyFill="1" applyBorder="1" applyAlignment="1">
      <alignment horizontal="center" vertical="center" wrapText="1"/>
    </xf>
    <xf numFmtId="1" fontId="22" fillId="6" borderId="71" xfId="1" applyNumberFormat="1" applyFont="1" applyFill="1" applyBorder="1" applyAlignment="1">
      <alignment horizontal="center" vertical="center" wrapText="1"/>
    </xf>
    <xf numFmtId="9" fontId="22" fillId="6" borderId="29" xfId="1" applyFont="1" applyFill="1" applyBorder="1" applyAlignment="1">
      <alignment horizontal="center" vertical="center" wrapText="1"/>
    </xf>
    <xf numFmtId="9" fontId="22" fillId="6" borderId="70" xfId="1" applyFont="1" applyFill="1" applyBorder="1" applyAlignment="1">
      <alignment horizontal="center" vertical="center" wrapText="1"/>
    </xf>
    <xf numFmtId="9" fontId="22" fillId="6" borderId="6" xfId="1" applyFont="1" applyFill="1" applyBorder="1" applyAlignment="1">
      <alignment horizontal="center" vertical="center" wrapText="1"/>
    </xf>
    <xf numFmtId="9" fontId="22" fillId="6" borderId="34" xfId="1" applyFont="1" applyFill="1" applyBorder="1" applyAlignment="1">
      <alignment horizontal="center" vertical="center" wrapText="1"/>
    </xf>
    <xf numFmtId="9" fontId="2" fillId="6" borderId="45" xfId="1" applyFont="1" applyFill="1" applyBorder="1" applyAlignment="1">
      <alignment horizontal="center" vertical="center" wrapText="1"/>
    </xf>
    <xf numFmtId="9" fontId="22" fillId="0" borderId="128" xfId="1" applyFont="1" applyFill="1" applyBorder="1" applyAlignment="1">
      <alignment horizontal="center" vertical="center" wrapText="1"/>
    </xf>
    <xf numFmtId="0" fontId="22" fillId="0" borderId="11" xfId="0" applyFont="1" applyBorder="1" applyAlignment="1">
      <alignment horizontal="left" vertical="center" wrapText="1" indent="1"/>
    </xf>
    <xf numFmtId="9" fontId="22" fillId="6" borderId="40" xfId="1"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59" xfId="0" applyFont="1" applyFill="1" applyBorder="1" applyAlignment="1">
      <alignment horizontal="center" vertical="center" wrapText="1"/>
    </xf>
    <xf numFmtId="9" fontId="10" fillId="6" borderId="36" xfId="1" applyFont="1" applyFill="1" applyBorder="1" applyAlignment="1">
      <alignment horizontal="center" vertical="center" wrapText="1"/>
    </xf>
    <xf numFmtId="164" fontId="2" fillId="6" borderId="13" xfId="1" applyNumberFormat="1" applyFont="1" applyFill="1" applyBorder="1" applyAlignment="1">
      <alignment horizontal="center" vertical="center" wrapText="1"/>
    </xf>
    <xf numFmtId="9" fontId="2" fillId="6" borderId="29" xfId="1" applyFont="1" applyFill="1" applyBorder="1" applyAlignment="1">
      <alignment horizontal="center" vertical="center" wrapText="1"/>
    </xf>
    <xf numFmtId="9" fontId="5" fillId="0" borderId="5" xfId="1" applyFont="1" applyFill="1" applyBorder="1" applyAlignment="1">
      <alignment horizontal="center" vertical="center" wrapText="1"/>
    </xf>
    <xf numFmtId="0" fontId="0" fillId="0" borderId="0" xfId="0" applyAlignment="1">
      <alignment horizontal="center"/>
    </xf>
    <xf numFmtId="2" fontId="0" fillId="0" borderId="0" xfId="0" applyNumberFormat="1" applyAlignment="1">
      <alignment horizontal="center"/>
    </xf>
    <xf numFmtId="9" fontId="0" fillId="0" borderId="0" xfId="1" applyFont="1" applyAlignment="1">
      <alignment horizontal="center"/>
    </xf>
    <xf numFmtId="0" fontId="23" fillId="0" borderId="129" xfId="0" applyFont="1" applyBorder="1" applyAlignment="1">
      <alignment horizontal="right" vertical="center" wrapText="1" indent="1"/>
    </xf>
    <xf numFmtId="0" fontId="5" fillId="0" borderId="97" xfId="0" applyFont="1" applyBorder="1" applyAlignment="1">
      <alignment horizontal="left" vertical="center" wrapText="1" indent="1"/>
    </xf>
    <xf numFmtId="164" fontId="2" fillId="0" borderId="100" xfId="1" applyNumberFormat="1" applyFont="1" applyFill="1" applyBorder="1" applyAlignment="1">
      <alignment horizontal="center" vertical="center" wrapText="1"/>
    </xf>
    <xf numFmtId="0" fontId="23" fillId="0" borderId="97" xfId="0" applyFont="1" applyBorder="1" applyAlignment="1">
      <alignment horizontal="right" vertical="center" wrapText="1" indent="1"/>
    </xf>
    <xf numFmtId="1" fontId="26" fillId="6" borderId="100" xfId="1" applyNumberFormat="1" applyFont="1" applyFill="1" applyBorder="1" applyAlignment="1">
      <alignment horizontal="center" vertical="center" wrapText="1"/>
    </xf>
    <xf numFmtId="1" fontId="26" fillId="6" borderId="130" xfId="1" applyNumberFormat="1" applyFont="1" applyFill="1" applyBorder="1" applyAlignment="1">
      <alignment horizontal="center" vertical="center" wrapText="1"/>
    </xf>
    <xf numFmtId="0" fontId="0" fillId="0" borderId="108" xfId="0" applyBorder="1"/>
    <xf numFmtId="0" fontId="0" fillId="0" borderId="81" xfId="0" applyBorder="1"/>
    <xf numFmtId="0" fontId="0" fillId="0" borderId="82" xfId="0" applyBorder="1"/>
    <xf numFmtId="167" fontId="0" fillId="0" borderId="0" xfId="0" applyNumberFormat="1"/>
    <xf numFmtId="2" fontId="22" fillId="0" borderId="127" xfId="1" applyNumberFormat="1" applyFont="1" applyFill="1" applyBorder="1" applyAlignment="1">
      <alignment horizontal="center" vertical="center" wrapText="1"/>
    </xf>
    <xf numFmtId="1" fontId="22" fillId="6" borderId="106" xfId="1" applyNumberFormat="1" applyFont="1" applyFill="1" applyBorder="1" applyAlignment="1">
      <alignment horizontal="center" vertical="center" wrapText="1"/>
    </xf>
    <xf numFmtId="1" fontId="22" fillId="6" borderId="105" xfId="1" applyNumberFormat="1" applyFont="1" applyFill="1" applyBorder="1" applyAlignment="1">
      <alignment horizontal="center" vertical="center" wrapText="1"/>
    </xf>
    <xf numFmtId="9" fontId="2" fillId="6" borderId="47" xfId="1" applyFont="1" applyFill="1" applyBorder="1" applyAlignment="1">
      <alignment horizontal="center" vertical="center" wrapText="1"/>
    </xf>
    <xf numFmtId="9" fontId="2" fillId="0" borderId="40" xfId="1" applyFont="1" applyFill="1" applyBorder="1" applyAlignment="1">
      <alignment horizontal="center" vertical="center" wrapText="1"/>
    </xf>
    <xf numFmtId="9" fontId="2" fillId="0" borderId="45" xfId="1" applyFont="1" applyFill="1" applyBorder="1" applyAlignment="1">
      <alignment horizontal="center" vertical="center" wrapText="1"/>
    </xf>
    <xf numFmtId="9" fontId="2" fillId="6" borderId="126" xfId="1" applyFont="1" applyFill="1" applyBorder="1" applyAlignment="1">
      <alignment horizontal="center" vertical="center" wrapText="1"/>
    </xf>
    <xf numFmtId="9" fontId="2" fillId="0" borderId="79" xfId="1" quotePrefix="1" applyFont="1" applyFill="1" applyBorder="1" applyAlignment="1">
      <alignment horizontal="center" vertical="center" wrapText="1"/>
    </xf>
    <xf numFmtId="9" fontId="2" fillId="0" borderId="101" xfId="1" quotePrefix="1" applyFont="1" applyFill="1" applyBorder="1" applyAlignment="1">
      <alignment horizontal="center" vertical="center" wrapText="1"/>
    </xf>
    <xf numFmtId="9" fontId="2" fillId="0" borderId="6" xfId="1" applyFont="1" applyFill="1" applyBorder="1" applyAlignment="1">
      <alignment horizontal="center" vertical="center" wrapText="1"/>
    </xf>
    <xf numFmtId="9" fontId="2" fillId="0" borderId="119" xfId="1" applyFont="1" applyFill="1" applyBorder="1" applyAlignment="1">
      <alignment horizontal="center" vertical="center" wrapText="1"/>
    </xf>
    <xf numFmtId="9" fontId="5" fillId="0" borderId="28" xfId="1" applyFont="1" applyFill="1" applyBorder="1" applyAlignment="1">
      <alignment horizontal="center" vertical="center" wrapText="1"/>
    </xf>
    <xf numFmtId="9" fontId="5" fillId="0" borderId="29" xfId="1"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68" xfId="0" applyFont="1" applyFill="1" applyBorder="1" applyAlignment="1">
      <alignment horizontal="center" vertical="center" wrapText="1"/>
    </xf>
    <xf numFmtId="9" fontId="27" fillId="0" borderId="10" xfId="2" applyNumberFormat="1" applyFont="1" applyFill="1" applyBorder="1" applyAlignment="1">
      <alignment horizontal="center" vertical="center" wrapText="1"/>
    </xf>
    <xf numFmtId="165" fontId="0" fillId="0" borderId="0" xfId="0" applyNumberFormat="1"/>
    <xf numFmtId="0" fontId="7" fillId="3" borderId="132" xfId="0" applyFont="1" applyFill="1" applyBorder="1" applyAlignment="1">
      <alignment horizontal="center" vertical="center" wrapText="1"/>
    </xf>
    <xf numFmtId="164" fontId="3" fillId="6" borderId="100" xfId="1" applyNumberFormat="1" applyFont="1" applyFill="1" applyBorder="1" applyAlignment="1">
      <alignment horizontal="center" vertical="center" wrapText="1"/>
    </xf>
    <xf numFmtId="166" fontId="3" fillId="6" borderId="100" xfId="1" applyNumberFormat="1" applyFont="1" applyFill="1" applyBorder="1" applyAlignment="1">
      <alignment horizontal="center" vertical="center" wrapText="1"/>
    </xf>
    <xf numFmtId="165" fontId="2" fillId="0" borderId="132" xfId="3" applyNumberFormat="1" applyFont="1" applyFill="1" applyBorder="1" applyAlignment="1">
      <alignment horizontal="center" vertical="center" wrapText="1"/>
    </xf>
    <xf numFmtId="166" fontId="3" fillId="6" borderId="133" xfId="1" applyNumberFormat="1" applyFont="1" applyFill="1" applyBorder="1" applyAlignment="1">
      <alignment horizontal="center" vertical="center" wrapText="1"/>
    </xf>
    <xf numFmtId="165" fontId="2" fillId="6" borderId="132" xfId="3" applyNumberFormat="1" applyFont="1" applyFill="1" applyBorder="1" applyAlignment="1">
      <alignment horizontal="center" vertical="center" wrapText="1"/>
    </xf>
    <xf numFmtId="164" fontId="3" fillId="6" borderId="133" xfId="1"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5" fillId="0" borderId="22" xfId="0" applyFont="1" applyBorder="1" applyAlignment="1">
      <alignment horizontal="left" vertical="center" wrapText="1" indent="1"/>
    </xf>
    <xf numFmtId="0" fontId="5" fillId="0" borderId="134" xfId="0" applyFont="1" applyBorder="1" applyAlignment="1">
      <alignment horizontal="left" vertical="center" wrapText="1" indent="1"/>
    </xf>
    <xf numFmtId="165" fontId="2" fillId="0" borderId="22" xfId="3" applyNumberFormat="1" applyFont="1" applyFill="1" applyBorder="1" applyAlignment="1">
      <alignment horizontal="center" vertical="center" wrapText="1"/>
    </xf>
    <xf numFmtId="165" fontId="2" fillId="6" borderId="22" xfId="3" applyNumberFormat="1" applyFont="1" applyFill="1" applyBorder="1" applyAlignment="1">
      <alignment horizontal="center" vertical="center" wrapText="1"/>
    </xf>
    <xf numFmtId="9" fontId="5" fillId="6" borderId="5" xfId="1" applyFont="1" applyFill="1" applyBorder="1" applyAlignment="1">
      <alignment horizontal="center" vertical="center" wrapText="1"/>
    </xf>
    <xf numFmtId="9" fontId="4" fillId="0" borderId="5" xfId="1" applyFont="1" applyFill="1" applyBorder="1" applyAlignment="1">
      <alignment horizontal="center" vertical="center" wrapText="1"/>
    </xf>
    <xf numFmtId="1" fontId="2" fillId="6" borderId="46" xfId="0" applyNumberFormat="1" applyFont="1" applyFill="1" applyBorder="1" applyAlignment="1">
      <alignment horizontal="center" vertical="center" wrapText="1"/>
    </xf>
    <xf numFmtId="1" fontId="2" fillId="6" borderId="47" xfId="0" applyNumberFormat="1" applyFont="1" applyFill="1" applyBorder="1" applyAlignment="1">
      <alignment horizontal="center" vertical="center" wrapText="1"/>
    </xf>
    <xf numFmtId="1" fontId="2" fillId="6" borderId="49" xfId="0" applyNumberFormat="1" applyFont="1" applyFill="1" applyBorder="1" applyAlignment="1">
      <alignment horizontal="center" vertical="center" wrapText="1"/>
    </xf>
    <xf numFmtId="1" fontId="2" fillId="6" borderId="50"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left" vertical="center" wrapText="1" indent="1"/>
    </xf>
    <xf numFmtId="1" fontId="2" fillId="0" borderId="5" xfId="0" applyNumberFormat="1" applyFont="1" applyBorder="1" applyAlignment="1">
      <alignment horizontal="center" vertical="center" wrapText="1"/>
    </xf>
    <xf numFmtId="9" fontId="27" fillId="0" borderId="13" xfId="2"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31" xfId="0" applyFont="1" applyBorder="1" applyAlignment="1">
      <alignment horizontal="left" vertical="center" wrapText="1" indent="1"/>
    </xf>
    <xf numFmtId="9" fontId="27" fillId="0" borderId="20" xfId="2" applyNumberFormat="1"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86" xfId="0" applyFont="1" applyFill="1" applyBorder="1" applyAlignment="1">
      <alignment horizontal="left" vertical="center" wrapText="1" indent="1"/>
    </xf>
    <xf numFmtId="9" fontId="3" fillId="5" borderId="24" xfId="1"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86" xfId="0" applyFont="1" applyBorder="1" applyAlignment="1">
      <alignment horizontal="left" vertical="center" wrapText="1" indent="1"/>
    </xf>
    <xf numFmtId="9" fontId="27" fillId="0" borderId="24" xfId="2" applyNumberFormat="1"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93" xfId="0" applyFont="1" applyBorder="1" applyAlignment="1">
      <alignment horizontal="left" vertical="center" wrapText="1" indent="1"/>
    </xf>
    <xf numFmtId="9" fontId="27" fillId="0" borderId="27" xfId="2" applyNumberFormat="1" applyFont="1" applyFill="1" applyBorder="1" applyAlignment="1">
      <alignment horizontal="center" vertical="center" wrapText="1"/>
    </xf>
    <xf numFmtId="0" fontId="29" fillId="0" borderId="16" xfId="0" applyFont="1" applyBorder="1" applyAlignment="1">
      <alignment horizontal="left" vertical="center" wrapText="1" indent="1"/>
    </xf>
    <xf numFmtId="0" fontId="29" fillId="0" borderId="35" xfId="0" applyFont="1" applyBorder="1" applyAlignment="1">
      <alignment horizontal="left" vertical="center" wrapText="1" indent="1"/>
    </xf>
    <xf numFmtId="0" fontId="32" fillId="7" borderId="0" xfId="0" applyFont="1" applyFill="1"/>
    <xf numFmtId="0" fontId="34" fillId="7" borderId="0" xfId="0" applyFont="1" applyFill="1"/>
    <xf numFmtId="0" fontId="34" fillId="7" borderId="0" xfId="0" applyFont="1" applyFill="1" applyAlignment="1">
      <alignment vertical="center"/>
    </xf>
    <xf numFmtId="0" fontId="5" fillId="6" borderId="138" xfId="0" applyFont="1" applyFill="1" applyBorder="1" applyAlignment="1">
      <alignment vertical="center" wrapText="1"/>
    </xf>
    <xf numFmtId="0" fontId="5" fillId="0" borderId="138" xfId="0" applyFont="1" applyBorder="1" applyAlignment="1">
      <alignment vertical="center"/>
    </xf>
    <xf numFmtId="0" fontId="33" fillId="0" borderId="0" xfId="0" applyFont="1" applyAlignment="1">
      <alignment vertical="center" wrapText="1"/>
    </xf>
    <xf numFmtId="10" fontId="2" fillId="6" borderId="5" xfId="1" applyNumberFormat="1" applyFont="1" applyFill="1" applyBorder="1" applyAlignment="1">
      <alignment horizontal="center" vertical="center" wrapText="1"/>
    </xf>
    <xf numFmtId="10" fontId="2" fillId="6" borderId="10" xfId="1" applyNumberFormat="1" applyFont="1" applyFill="1" applyBorder="1" applyAlignment="1">
      <alignment horizontal="center" vertical="center" wrapText="1"/>
    </xf>
    <xf numFmtId="1" fontId="2" fillId="0" borderId="5" xfId="1" applyNumberFormat="1" applyFont="1" applyFill="1" applyBorder="1" applyAlignment="1">
      <alignment horizontal="center" vertical="center" wrapText="1"/>
    </xf>
    <xf numFmtId="0" fontId="4" fillId="3" borderId="1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 fillId="2" borderId="57"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5" fillId="0" borderId="0" xfId="0" applyFont="1" applyAlignment="1">
      <alignment horizontal="left" vertical="center"/>
    </xf>
    <xf numFmtId="0" fontId="32" fillId="7" borderId="0" xfId="0" applyFont="1" applyFill="1" applyAlignment="1">
      <alignment horizontal="left"/>
    </xf>
    <xf numFmtId="0" fontId="5" fillId="0" borderId="0" xfId="0" applyFont="1" applyAlignment="1">
      <alignment horizontal="left" vertical="center" wrapText="1"/>
    </xf>
    <xf numFmtId="0" fontId="4" fillId="3" borderId="1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4" fillId="3" borderId="62" xfId="0" applyFont="1" applyFill="1" applyBorder="1" applyAlignment="1">
      <alignment horizontal="left" vertical="center" wrapText="1"/>
    </xf>
    <xf numFmtId="9" fontId="5" fillId="0" borderId="37" xfId="1" applyFont="1" applyFill="1" applyBorder="1" applyAlignment="1">
      <alignment horizontal="center" vertical="center" wrapText="1"/>
    </xf>
    <xf numFmtId="9" fontId="5" fillId="0" borderId="63" xfId="1" applyFont="1" applyFill="1" applyBorder="1" applyAlignment="1">
      <alignment horizontal="center" vertical="center" wrapText="1"/>
    </xf>
    <xf numFmtId="9" fontId="5" fillId="0" borderId="64" xfId="1" applyFont="1" applyFill="1" applyBorder="1" applyAlignment="1">
      <alignment horizontal="center" vertical="center" wrapText="1"/>
    </xf>
    <xf numFmtId="9" fontId="5" fillId="0" borderId="38" xfId="1" applyFont="1" applyFill="1" applyBorder="1" applyAlignment="1">
      <alignment horizontal="center" vertical="center" wrapText="1"/>
    </xf>
    <xf numFmtId="9" fontId="5" fillId="0" borderId="65" xfId="1" applyFont="1" applyFill="1" applyBorder="1" applyAlignment="1">
      <alignment horizontal="center" vertical="center" wrapText="1"/>
    </xf>
    <xf numFmtId="9" fontId="5" fillId="0" borderId="15" xfId="1" applyFont="1" applyFill="1" applyBorder="1" applyAlignment="1">
      <alignment horizontal="center" vertical="center" wrapText="1"/>
    </xf>
    <xf numFmtId="0" fontId="4" fillId="3" borderId="94" xfId="0" applyFont="1" applyFill="1" applyBorder="1" applyAlignment="1">
      <alignment horizontal="left" vertical="center" wrapText="1"/>
    </xf>
    <xf numFmtId="0" fontId="4" fillId="3" borderId="74" xfId="0" applyFont="1" applyFill="1" applyBorder="1" applyAlignment="1">
      <alignment horizontal="left" vertical="center" wrapText="1"/>
    </xf>
    <xf numFmtId="0" fontId="4" fillId="3" borderId="89" xfId="0" applyFont="1" applyFill="1" applyBorder="1" applyAlignment="1">
      <alignment horizontal="left" vertical="center" wrapText="1"/>
    </xf>
    <xf numFmtId="0" fontId="4" fillId="3" borderId="76" xfId="0" applyFont="1" applyFill="1" applyBorder="1" applyAlignment="1">
      <alignment horizontal="left" vertical="center" wrapText="1"/>
    </xf>
    <xf numFmtId="0" fontId="7" fillId="3" borderId="83" xfId="0" applyFont="1" applyFill="1" applyBorder="1" applyAlignment="1">
      <alignment horizontal="center" vertical="center" wrapText="1"/>
    </xf>
    <xf numFmtId="0" fontId="7" fillId="3" borderId="82"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7" fillId="3" borderId="90"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5" fillId="0" borderId="56" xfId="0" applyFont="1" applyBorder="1" applyAlignment="1">
      <alignment horizontal="center"/>
    </xf>
    <xf numFmtId="0" fontId="5" fillId="0" borderId="66" xfId="0" applyFont="1" applyBorder="1" applyAlignment="1">
      <alignment horizontal="center"/>
    </xf>
    <xf numFmtId="0" fontId="7" fillId="3" borderId="67"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1" xfId="0" applyFont="1" applyFill="1" applyBorder="1" applyAlignment="1">
      <alignment horizontal="center" vertical="center" wrapText="1"/>
    </xf>
    <xf numFmtId="9" fontId="2" fillId="6" borderId="107" xfId="1" quotePrefix="1" applyFont="1" applyFill="1" applyBorder="1" applyAlignment="1">
      <alignment horizontal="center" vertical="center" wrapText="1"/>
    </xf>
    <xf numFmtId="9" fontId="2" fillId="6" borderId="70" xfId="1" quotePrefix="1" applyFont="1" applyFill="1" applyBorder="1" applyAlignment="1">
      <alignment horizontal="center" vertical="center" wrapText="1"/>
    </xf>
    <xf numFmtId="0" fontId="7" fillId="3" borderId="108" xfId="0" applyFont="1" applyFill="1" applyBorder="1" applyAlignment="1">
      <alignment horizontal="center" vertical="center" wrapText="1"/>
    </xf>
    <xf numFmtId="0" fontId="7" fillId="3" borderId="110" xfId="0" applyFont="1" applyFill="1" applyBorder="1" applyAlignment="1">
      <alignment horizontal="center" vertical="center" wrapText="1"/>
    </xf>
    <xf numFmtId="0" fontId="7" fillId="3" borderId="109" xfId="0" applyFont="1" applyFill="1" applyBorder="1" applyAlignment="1">
      <alignment horizontal="center" vertical="center" wrapText="1"/>
    </xf>
    <xf numFmtId="9" fontId="2" fillId="6" borderId="11" xfId="1" quotePrefix="1" applyFont="1" applyFill="1" applyBorder="1" applyAlignment="1">
      <alignment horizontal="center" vertical="center" wrapText="1"/>
    </xf>
    <xf numFmtId="9" fontId="2" fillId="6" borderId="12" xfId="1" quotePrefix="1" applyFont="1" applyFill="1" applyBorder="1" applyAlignment="1">
      <alignment horizontal="center" vertical="center" wrapText="1"/>
    </xf>
    <xf numFmtId="1" fontId="2" fillId="0" borderId="111" xfId="1" applyNumberFormat="1" applyFont="1" applyFill="1" applyBorder="1" applyAlignment="1">
      <alignment horizontal="center" vertical="center" wrapText="1"/>
    </xf>
    <xf numFmtId="1" fontId="2" fillId="0" borderId="120" xfId="1" applyNumberFormat="1" applyFont="1" applyFill="1" applyBorder="1" applyAlignment="1">
      <alignment horizontal="center" vertical="center" wrapText="1"/>
    </xf>
    <xf numFmtId="1" fontId="2" fillId="0" borderId="112" xfId="1" applyNumberFormat="1" applyFont="1" applyFill="1" applyBorder="1" applyAlignment="1">
      <alignment horizontal="center" vertical="center" wrapText="1"/>
    </xf>
    <xf numFmtId="1" fontId="2" fillId="0" borderId="113" xfId="1" applyNumberFormat="1" applyFont="1" applyFill="1" applyBorder="1" applyAlignment="1">
      <alignment horizontal="center" vertical="center" wrapText="1"/>
    </xf>
    <xf numFmtId="1" fontId="2" fillId="0" borderId="121" xfId="1" applyNumberFormat="1" applyFont="1" applyFill="1" applyBorder="1" applyAlignment="1">
      <alignment horizontal="center" vertical="center" wrapText="1"/>
    </xf>
    <xf numFmtId="1" fontId="2" fillId="0" borderId="114" xfId="1" applyNumberFormat="1" applyFont="1" applyFill="1" applyBorder="1" applyAlignment="1">
      <alignment horizontal="center" vertical="center" wrapText="1"/>
    </xf>
    <xf numFmtId="1" fontId="2" fillId="0" borderId="117" xfId="1" applyNumberFormat="1" applyFont="1" applyFill="1" applyBorder="1" applyAlignment="1">
      <alignment horizontal="center" vertical="center" wrapText="1"/>
    </xf>
    <xf numFmtId="1" fontId="2" fillId="0" borderId="122" xfId="1" applyNumberFormat="1" applyFont="1" applyFill="1" applyBorder="1" applyAlignment="1">
      <alignment horizontal="center" vertical="center" wrapText="1"/>
    </xf>
    <xf numFmtId="1" fontId="2" fillId="0" borderId="118" xfId="1" applyNumberFormat="1" applyFont="1" applyFill="1" applyBorder="1" applyAlignment="1">
      <alignment horizontal="center" vertical="center" wrapText="1"/>
    </xf>
    <xf numFmtId="9" fontId="22" fillId="6" borderId="11" xfId="1" quotePrefix="1" applyFont="1" applyFill="1" applyBorder="1" applyAlignment="1">
      <alignment horizontal="center" vertical="center" wrapText="1"/>
    </xf>
    <xf numFmtId="9" fontId="22" fillId="6" borderId="12" xfId="1" quotePrefix="1" applyFont="1" applyFill="1" applyBorder="1" applyAlignment="1">
      <alignment horizontal="center" vertical="center" wrapText="1"/>
    </xf>
    <xf numFmtId="9" fontId="2" fillId="0" borderId="11" xfId="1" quotePrefix="1" applyFont="1" applyFill="1" applyBorder="1" applyAlignment="1">
      <alignment horizontal="center" vertical="center" wrapText="1"/>
    </xf>
    <xf numFmtId="9" fontId="2" fillId="0" borderId="12" xfId="1" quotePrefix="1" applyFont="1" applyFill="1" applyBorder="1" applyAlignment="1">
      <alignment horizontal="center" vertical="center" wrapText="1"/>
    </xf>
    <xf numFmtId="0" fontId="7" fillId="3" borderId="124" xfId="0" applyFont="1" applyFill="1" applyBorder="1" applyAlignment="1">
      <alignment horizontal="center" vertical="center" wrapText="1"/>
    </xf>
    <xf numFmtId="1" fontId="2" fillId="0" borderId="115" xfId="1" applyNumberFormat="1" applyFont="1" applyFill="1" applyBorder="1" applyAlignment="1">
      <alignment horizontal="center" vertical="center" wrapText="1"/>
    </xf>
    <xf numFmtId="1" fontId="2" fillId="0" borderId="123" xfId="1" applyNumberFormat="1" applyFont="1" applyFill="1" applyBorder="1" applyAlignment="1">
      <alignment horizontal="center" vertical="center" wrapText="1"/>
    </xf>
    <xf numFmtId="1" fontId="2" fillId="0" borderId="116" xfId="1" applyNumberFormat="1" applyFont="1" applyFill="1" applyBorder="1" applyAlignment="1">
      <alignment horizontal="center" vertical="center" wrapText="1"/>
    </xf>
    <xf numFmtId="0" fontId="1" fillId="4" borderId="135" xfId="0" applyFont="1" applyFill="1" applyBorder="1" applyAlignment="1">
      <alignment horizontal="center" vertical="center" wrapText="1"/>
    </xf>
    <xf numFmtId="0" fontId="1" fillId="4" borderId="136" xfId="0" applyFont="1" applyFill="1" applyBorder="1" applyAlignment="1">
      <alignment horizontal="center" vertical="center" wrapText="1"/>
    </xf>
    <xf numFmtId="0" fontId="1" fillId="4" borderId="137" xfId="0" applyFont="1" applyFill="1" applyBorder="1" applyAlignment="1">
      <alignment horizontal="center" vertical="center" wrapText="1"/>
    </xf>
    <xf numFmtId="0" fontId="4" fillId="5" borderId="57" xfId="0" applyFont="1" applyFill="1" applyBorder="1" applyAlignment="1">
      <alignment horizontal="center" vertical="center" wrapText="1"/>
    </xf>
    <xf numFmtId="0" fontId="4" fillId="5" borderId="58" xfId="0" applyFont="1" applyFill="1" applyBorder="1" applyAlignment="1">
      <alignment horizontal="center" vertical="center" wrapText="1"/>
    </xf>
    <xf numFmtId="0" fontId="4" fillId="5" borderId="59" xfId="0" applyFont="1" applyFill="1" applyBorder="1" applyAlignment="1">
      <alignment horizontal="center" vertical="center" wrapText="1"/>
    </xf>
  </cellXfs>
  <cellStyles count="5">
    <cellStyle name="Lien hypertexte" xfId="2" builtinId="8"/>
    <cellStyle name="Milliers" xfId="3" builtinId="3"/>
    <cellStyle name="Normal" xfId="0" builtinId="0"/>
    <cellStyle name="Normal 3 3" xfId="4" xr:uid="{EDB18EAF-04E9-40FC-B751-F48F7CFF778F}"/>
    <cellStyle name="Pourcentage" xfId="1" builtinId="5"/>
  </cellStyles>
  <dxfs count="0"/>
  <tableStyles count="0" defaultTableStyle="TableStyleMedium2" defaultPivotStyle="PivotStyleLight16"/>
  <colors>
    <mruColors>
      <color rgb="FFEEF8E4"/>
      <color rgb="FFFFFFFF"/>
      <color rgb="FFFEF6EC"/>
      <color rgb="FFFF8200"/>
      <color rgb="FFFAB758"/>
      <color rgb="FFFFDC23"/>
      <color rgb="FFFFF1B7"/>
      <color rgb="FFB0EBFF"/>
      <color rgb="FF00CAFE"/>
      <color rgb="FF007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TSP_MAX" id="{83B3121C-FE5E-4287-B571-0948CC9E9C3E}" userId="TSP_MAX" providerId="None"/>
</personList>
</file>

<file path=xl/theme/theme1.xml><?xml version="1.0" encoding="utf-8"?>
<a:theme xmlns:a="http://schemas.openxmlformats.org/drawingml/2006/main" name="Thème Office">
  <a:themeElements>
    <a:clrScheme name="TSP 2021">
      <a:dk1>
        <a:srgbClr val="00005A"/>
      </a:dk1>
      <a:lt1>
        <a:srgbClr val="00008E"/>
      </a:lt1>
      <a:dk2>
        <a:srgbClr val="0028DC"/>
      </a:dk2>
      <a:lt2>
        <a:srgbClr val="0072FF"/>
      </a:lt2>
      <a:accent1>
        <a:srgbClr val="00CAFE"/>
      </a:accent1>
      <a:accent2>
        <a:srgbClr val="B0EBFF"/>
      </a:accent2>
      <a:accent3>
        <a:srgbClr val="FFF1B7"/>
      </a:accent3>
      <a:accent4>
        <a:srgbClr val="FFDC23"/>
      </a:accent4>
      <a:accent5>
        <a:srgbClr val="FAB758"/>
      </a:accent5>
      <a:accent6>
        <a:srgbClr val="FF820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0" dT="2026-03-20T18:56:05.71" personId="{83B3121C-FE5E-4287-B571-0948CC9E9C3E}" id="{D7A82735-539E-4ECB-8C15-CF19812595C9}">
    <text>Hypothèse : l’impact carbone de production des autres constituants du béton est négligeable devant celui de l’acier et du ciment.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base-inies.fr/iniesv4/dist/consultation.html" TargetMode="External"/><Relationship Id="rId13" Type="http://schemas.openxmlformats.org/officeDocument/2006/relationships/hyperlink" Target="https://www.base-inies.fr/iniesV4/dist/consultation.html?id=12460" TargetMode="External"/><Relationship Id="rId18" Type="http://schemas.openxmlformats.org/officeDocument/2006/relationships/hyperlink" Target="https://theshiftproject.org/publications/habiter-societe-bas-carbone/" TargetMode="External"/><Relationship Id="rId3" Type="http://schemas.openxmlformats.org/officeDocument/2006/relationships/hyperlink" Target="https://cembureau.eu/media/kuxd32gi/cembureau-2050-roadmap_final-version_web.pdf" TargetMode="External"/><Relationship Id="rId21" Type="http://schemas.openxmlformats.org/officeDocument/2006/relationships/hyperlink" Target="https://presse.ademe.fr/wp-content/uploads/2020/07/captage-stockage-geologique-co2_csc_avis-technique_2020.pdf" TargetMode="External"/><Relationship Id="rId7" Type="http://schemas.openxmlformats.org/officeDocument/2006/relationships/hyperlink" Target="https://www.infociments.fr/sites/default/files/articles/pdf/brochure-infociments_21-22-0123.pdf" TargetMode="External"/><Relationship Id="rId12" Type="http://schemas.openxmlformats.org/officeDocument/2006/relationships/hyperlink" Target="https://www.base-inies.fr/iniesV4/dist/consultation.html?id=20813" TargetMode="External"/><Relationship Id="rId17" Type="http://schemas.openxmlformats.org/officeDocument/2006/relationships/hyperlink" Target="https://www.entreprises.gouv.fr/files/files/enjeux/d%C3%A9carbonation/feuille-de-route-ciment.pdf" TargetMode="External"/><Relationship Id="rId25" Type="http://schemas.openxmlformats.org/officeDocument/2006/relationships/printerSettings" Target="../printerSettings/printerSettings9.bin"/><Relationship Id="rId2" Type="http://schemas.openxmlformats.org/officeDocument/2006/relationships/hyperlink" Target="https://www.cerib.com/nos-expertises/evaluations-environnementales/" TargetMode="External"/><Relationship Id="rId16" Type="http://schemas.openxmlformats.org/officeDocument/2006/relationships/hyperlink" Target="https://www.base-inies.fr/iniesV4/dist/consultation.html?id=12452" TargetMode="External"/><Relationship Id="rId20" Type="http://schemas.openxmlformats.org/officeDocument/2006/relationships/hyperlink" Target="https://piles.cerema.fr/IMG/pdf/annexe_a4-_evolution_des_caracteristiques_du_materiau_beton_cle09d6bb-1.pdf" TargetMode="External"/><Relationship Id="rId1" Type="http://schemas.openxmlformats.org/officeDocument/2006/relationships/hyperlink" Target="https://base-empreinte.ademe.fr/documentation/base-carbone?docLink=Acier" TargetMode="External"/><Relationship Id="rId6" Type="http://schemas.openxmlformats.org/officeDocument/2006/relationships/hyperlink" Target="https://www.infociments.fr/ciments/les-ciments-bas-carbone" TargetMode="External"/><Relationship Id="rId11" Type="http://schemas.openxmlformats.org/officeDocument/2006/relationships/hyperlink" Target="https://www.base-inies.fr/iniesV4/dist/consultation.html?id=11110" TargetMode="External"/><Relationship Id="rId24" Type="http://schemas.openxmlformats.org/officeDocument/2006/relationships/hyperlink" Target="https://www.conseil-national-industrie.gouv.fr/files_cni/files/csf/construction/decarbonation_feuille_de_route_ciment.pdf" TargetMode="External"/><Relationship Id="rId5" Type="http://schemas.openxmlformats.org/officeDocument/2006/relationships/hyperlink" Target="https://www.infociments.fr/ciments/ciments-declaration-environnementale-inventaire-analyse-du-cycle-de-vie" TargetMode="External"/><Relationship Id="rId15" Type="http://schemas.openxmlformats.org/officeDocument/2006/relationships/hyperlink" Target="https://www.base-inies.fr/iniesV4/dist/consultation.html?id=11033" TargetMode="External"/><Relationship Id="rId23" Type="http://schemas.openxmlformats.org/officeDocument/2006/relationships/hyperlink" Target="https://www.ifpeb.fr/wp-content/uploads/2020/12/IFPEB-Carbone4_Messages-cles_Brief-Filiere-Beton_20201208.pdf" TargetMode="External"/><Relationship Id="rId10" Type="http://schemas.openxmlformats.org/officeDocument/2006/relationships/hyperlink" Target="https://www.base-inies.fr/iniesV4/dist/consultation.html?id=12580" TargetMode="External"/><Relationship Id="rId19" Type="http://schemas.openxmlformats.org/officeDocument/2006/relationships/hyperlink" Target="https://theshiftproject.org/publications/decarboner-industrie-sans-la-saborder/" TargetMode="External"/><Relationship Id="rId4" Type="http://schemas.openxmlformats.org/officeDocument/2006/relationships/hyperlink" Target="https://base-empreinte.ademe.fr/documentation/base-carbone?docLink=Process_industriels" TargetMode="External"/><Relationship Id="rId9" Type="http://schemas.openxmlformats.org/officeDocument/2006/relationships/hyperlink" Target="https://www.base-inies.fr/iniesV4/dist/consultation.html?id=11020" TargetMode="External"/><Relationship Id="rId14" Type="http://schemas.openxmlformats.org/officeDocument/2006/relationships/hyperlink" Target="https://www.base-inies.fr/iniesV4/dist/consultation.html?id=12454" TargetMode="External"/><Relationship Id="rId22" Type="http://schemas.openxmlformats.org/officeDocument/2006/relationships/hyperlink" Target="https://librairie.ademe.fr/energies/5041-plan-de-transition-sectoriel-de-l-industrie-cimentiere-en-france-979102971821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D97BB-EE90-4614-BC87-ADF9F4BA4331}">
  <dimension ref="A2:J13"/>
  <sheetViews>
    <sheetView tabSelected="1" workbookViewId="0">
      <selection activeCell="A10" sqref="A10:B11"/>
    </sheetView>
  </sheetViews>
  <sheetFormatPr baseColWidth="10" defaultRowHeight="14.5" customHeight="1" x14ac:dyDescent="0.35"/>
  <cols>
    <col min="1" max="1" width="19.453125" style="10" customWidth="1"/>
    <col min="2" max="2" width="124.36328125" style="10" customWidth="1"/>
    <col min="3" max="16384" width="10.90625" style="10"/>
  </cols>
  <sheetData>
    <row r="2" spans="1:10" ht="14.5" customHeight="1" x14ac:dyDescent="0.35">
      <c r="A2" s="289" t="s">
        <v>249</v>
      </c>
      <c r="B2" s="289" t="s">
        <v>250</v>
      </c>
    </row>
    <row r="3" spans="1:10" ht="14.5" customHeight="1" x14ac:dyDescent="0.35">
      <c r="A3" s="290"/>
      <c r="B3" s="10" t="s">
        <v>251</v>
      </c>
    </row>
    <row r="4" spans="1:10" ht="14.5" customHeight="1" x14ac:dyDescent="0.35">
      <c r="A4" s="291"/>
      <c r="B4" s="10" t="s">
        <v>253</v>
      </c>
    </row>
    <row r="6" spans="1:10" ht="14.5" customHeight="1" x14ac:dyDescent="0.3">
      <c r="A6" s="287" t="s">
        <v>188</v>
      </c>
      <c r="B6" s="288"/>
    </row>
    <row r="7" spans="1:10" ht="14.5" customHeight="1" x14ac:dyDescent="0.35">
      <c r="A7" s="302" t="s">
        <v>252</v>
      </c>
      <c r="B7" s="302"/>
    </row>
    <row r="9" spans="1:10" ht="14.5" customHeight="1" x14ac:dyDescent="0.3">
      <c r="A9" s="303" t="s">
        <v>256</v>
      </c>
      <c r="B9" s="303"/>
    </row>
    <row r="10" spans="1:10" ht="25" customHeight="1" x14ac:dyDescent="0.35">
      <c r="A10" s="304" t="s">
        <v>254</v>
      </c>
      <c r="B10" s="304"/>
      <c r="C10" s="292"/>
      <c r="D10" s="292"/>
      <c r="E10" s="292"/>
      <c r="F10" s="292"/>
      <c r="G10" s="292"/>
      <c r="H10" s="292"/>
      <c r="I10" s="292"/>
      <c r="J10" s="292"/>
    </row>
    <row r="11" spans="1:10" ht="14.5" customHeight="1" x14ac:dyDescent="0.35">
      <c r="A11" s="304"/>
      <c r="B11" s="304"/>
      <c r="C11" s="292"/>
      <c r="D11" s="292"/>
      <c r="E11" s="292"/>
      <c r="F11" s="292"/>
      <c r="G11" s="292"/>
      <c r="H11" s="292"/>
      <c r="I11" s="292"/>
      <c r="J11" s="292"/>
    </row>
    <row r="12" spans="1:10" ht="14.5" customHeight="1" x14ac:dyDescent="0.35">
      <c r="A12" s="8"/>
      <c r="B12" s="8"/>
      <c r="C12" s="292"/>
      <c r="D12" s="292"/>
      <c r="E12" s="292"/>
      <c r="F12" s="292"/>
      <c r="G12" s="292"/>
      <c r="H12" s="292"/>
      <c r="I12" s="292"/>
      <c r="J12" s="292"/>
    </row>
    <row r="13" spans="1:10" ht="14.5" customHeight="1" x14ac:dyDescent="0.35">
      <c r="A13" s="8"/>
      <c r="B13" s="8"/>
      <c r="C13" s="292"/>
      <c r="D13" s="292"/>
      <c r="E13" s="292"/>
      <c r="F13" s="292"/>
      <c r="G13" s="292"/>
      <c r="H13" s="292"/>
      <c r="I13" s="292"/>
      <c r="J13" s="292"/>
    </row>
  </sheetData>
  <mergeCells count="3">
    <mergeCell ref="A7:B7"/>
    <mergeCell ref="A9:B9"/>
    <mergeCell ref="A10: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72C8-BAB0-4ACB-B3D6-9213B032321A}">
  <dimension ref="B1:K28"/>
  <sheetViews>
    <sheetView topLeftCell="C1" workbookViewId="0">
      <selection activeCell="I28" sqref="I28"/>
    </sheetView>
  </sheetViews>
  <sheetFormatPr baseColWidth="10" defaultColWidth="11.453125" defaultRowHeight="14.5" x14ac:dyDescent="0.35"/>
  <cols>
    <col min="2" max="2" width="32.26953125" customWidth="1"/>
    <col min="3" max="6" width="15.54296875" customWidth="1"/>
    <col min="7" max="7" width="48.1796875" customWidth="1"/>
    <col min="8" max="9" width="15.54296875" customWidth="1"/>
    <col min="10" max="10" width="26.54296875" customWidth="1"/>
    <col min="11" max="26" width="15.54296875" customWidth="1"/>
  </cols>
  <sheetData>
    <row r="1" spans="2:11" s="8" customFormat="1" ht="15" customHeight="1" x14ac:dyDescent="0.35"/>
    <row r="2" spans="2:11" s="8" customFormat="1" ht="15" customHeight="1" x14ac:dyDescent="0.35">
      <c r="C2" s="9"/>
      <c r="D2" s="10" t="s">
        <v>0</v>
      </c>
      <c r="E2"/>
      <c r="F2"/>
    </row>
    <row r="4" spans="2:11" x14ac:dyDescent="0.35">
      <c r="B4" s="77" t="s">
        <v>1</v>
      </c>
      <c r="C4" s="78"/>
      <c r="D4" s="78"/>
      <c r="E4" s="79"/>
      <c r="G4" s="299" t="s">
        <v>2</v>
      </c>
      <c r="H4" s="300"/>
      <c r="I4" s="301"/>
    </row>
    <row r="5" spans="2:11" x14ac:dyDescent="0.35">
      <c r="B5" s="26"/>
      <c r="C5" s="27">
        <v>2018</v>
      </c>
      <c r="D5" s="27">
        <v>2030</v>
      </c>
      <c r="E5" s="28">
        <v>2050</v>
      </c>
      <c r="G5" s="11"/>
      <c r="H5" s="7">
        <v>2018</v>
      </c>
      <c r="I5" s="12">
        <v>2050</v>
      </c>
      <c r="J5" s="220"/>
      <c r="K5" s="220"/>
    </row>
    <row r="6" spans="2:11" x14ac:dyDescent="0.35">
      <c r="B6" s="13" t="s">
        <v>3</v>
      </c>
      <c r="C6" s="271">
        <v>16.5</v>
      </c>
      <c r="D6" s="95">
        <f>D8*'Filière Béton'!D6</f>
        <v>15.674999999999999</v>
      </c>
      <c r="E6" s="96">
        <f>E8*'Filière Béton'!E6</f>
        <v>8.9236730423204786</v>
      </c>
      <c r="G6" s="285" t="s">
        <v>4</v>
      </c>
      <c r="H6" s="38">
        <f>C6*H8</f>
        <v>10.939500000000001</v>
      </c>
      <c r="I6" s="14">
        <f>E6*I8</f>
        <v>2.6296165314154298</v>
      </c>
      <c r="J6" s="221"/>
      <c r="K6" s="222"/>
    </row>
    <row r="7" spans="2:11" ht="14.5" customHeight="1" x14ac:dyDescent="0.35">
      <c r="B7" s="15" t="s">
        <v>5</v>
      </c>
      <c r="C7" s="1"/>
      <c r="D7" s="1"/>
      <c r="E7" s="16"/>
      <c r="G7" s="296" t="s">
        <v>6</v>
      </c>
      <c r="H7" s="297"/>
      <c r="I7" s="20"/>
      <c r="J7" s="220"/>
    </row>
    <row r="8" spans="2:11" x14ac:dyDescent="0.35">
      <c r="B8" s="17" t="s">
        <v>7</v>
      </c>
      <c r="C8" s="97">
        <f>'Filière Béton'!C8</f>
        <v>0.3</v>
      </c>
      <c r="D8" s="97">
        <f>'Filière Béton'!D8</f>
        <v>0.28499999999999998</v>
      </c>
      <c r="E8" s="98">
        <f>'Filière Béton'!$E$8</f>
        <v>0.27</v>
      </c>
      <c r="G8" s="17" t="s">
        <v>8</v>
      </c>
      <c r="H8" s="4">
        <v>0.66300000000000003</v>
      </c>
      <c r="I8" s="100">
        <f>H8*(1+H10*(-I11+(I21/H6)))*(1+E10)-(ABS(I25)/E6)</f>
        <v>0.29467871793873279</v>
      </c>
      <c r="J8" s="221"/>
      <c r="K8" s="111"/>
    </row>
    <row r="9" spans="2:11" ht="14.5" customHeight="1" x14ac:dyDescent="0.35">
      <c r="B9" s="112" t="s">
        <v>9</v>
      </c>
      <c r="C9" s="159">
        <f>'Ciments &amp; clinker'!C26</f>
        <v>0.80710000000000004</v>
      </c>
      <c r="D9" s="74"/>
      <c r="E9" s="72">
        <f>'Ciments &amp; clinker'!D26</f>
        <v>0.59474000000000005</v>
      </c>
      <c r="G9" s="296" t="s">
        <v>10</v>
      </c>
      <c r="H9" s="297"/>
      <c r="I9" s="298"/>
    </row>
    <row r="10" spans="2:11" x14ac:dyDescent="0.35">
      <c r="B10" s="18" t="s">
        <v>255</v>
      </c>
      <c r="C10" s="158"/>
      <c r="D10" s="158"/>
      <c r="E10" s="157">
        <f>(E9-$C$9)/$C$9</f>
        <v>-0.26311485565605253</v>
      </c>
      <c r="G10" s="23" t="s">
        <v>11</v>
      </c>
      <c r="H10" s="71">
        <f>'Ciments &amp; clinker'!C7</f>
        <v>0.4</v>
      </c>
      <c r="I10" s="75"/>
      <c r="J10" s="6"/>
    </row>
    <row r="11" spans="2:11" x14ac:dyDescent="0.35">
      <c r="G11" s="23" t="s">
        <v>12</v>
      </c>
      <c r="H11" s="125"/>
      <c r="I11" s="72">
        <f>-'Ciments &amp; clinker'!D6</f>
        <v>0.16286149162861491</v>
      </c>
      <c r="J11" s="6"/>
      <c r="K11" s="154"/>
    </row>
    <row r="12" spans="2:11" x14ac:dyDescent="0.35">
      <c r="G12" s="23" t="s">
        <v>13</v>
      </c>
      <c r="H12" s="123">
        <v>0.38</v>
      </c>
      <c r="I12" s="176">
        <v>0.85</v>
      </c>
      <c r="J12" s="6"/>
    </row>
    <row r="13" spans="2:11" x14ac:dyDescent="0.35">
      <c r="G13" s="129" t="s">
        <v>14</v>
      </c>
      <c r="H13" s="131">
        <f>H14/H12</f>
        <v>2.763157894736842</v>
      </c>
      <c r="I13" s="132">
        <f>I14/I12</f>
        <v>2.1176470588235294</v>
      </c>
      <c r="K13" s="155"/>
    </row>
    <row r="14" spans="2:11" x14ac:dyDescent="0.35">
      <c r="G14" s="129" t="s">
        <v>15</v>
      </c>
      <c r="H14" s="130">
        <v>1.05</v>
      </c>
      <c r="I14" s="177">
        <v>1.8</v>
      </c>
    </row>
    <row r="15" spans="2:11" ht="14.5" customHeight="1" x14ac:dyDescent="0.35">
      <c r="G15" s="23" t="s">
        <v>16</v>
      </c>
      <c r="H15" s="71">
        <f>H16/H13</f>
        <v>9.8438095238095241E-2</v>
      </c>
      <c r="I15" s="126">
        <f>I16/I13</f>
        <v>0.47222222222222221</v>
      </c>
    </row>
    <row r="16" spans="2:11" x14ac:dyDescent="0.35">
      <c r="G16" s="129" t="s">
        <v>17</v>
      </c>
      <c r="H16" s="130">
        <v>0.27200000000000002</v>
      </c>
      <c r="I16" s="177">
        <v>1</v>
      </c>
    </row>
    <row r="17" spans="7:9" ht="14.5" customHeight="1" x14ac:dyDescent="0.35">
      <c r="G17" s="23" t="s">
        <v>18</v>
      </c>
      <c r="H17" s="123">
        <v>0.49</v>
      </c>
      <c r="I17" s="176">
        <v>0.7</v>
      </c>
    </row>
    <row r="18" spans="7:9" x14ac:dyDescent="0.35">
      <c r="G18" s="129" t="s">
        <v>17</v>
      </c>
      <c r="H18" s="131">
        <f>H17*H14</f>
        <v>0.51449999999999996</v>
      </c>
      <c r="I18" s="132">
        <f>I17*I14</f>
        <v>1.26</v>
      </c>
    </row>
    <row r="19" spans="7:9" x14ac:dyDescent="0.35">
      <c r="G19" s="296" t="s">
        <v>19</v>
      </c>
      <c r="H19" s="297"/>
      <c r="I19" s="298"/>
    </row>
    <row r="20" spans="7:9" x14ac:dyDescent="0.35">
      <c r="G20" s="23" t="s">
        <v>20</v>
      </c>
      <c r="H20" s="5"/>
      <c r="I20" s="109">
        <f>-I11*H10*H6</f>
        <v>-0.71264931506849316</v>
      </c>
    </row>
    <row r="21" spans="7:9" x14ac:dyDescent="0.35">
      <c r="G21" s="17" t="s">
        <v>21</v>
      </c>
      <c r="H21" s="5"/>
      <c r="I21" s="152">
        <f>SUM(I22:I23)</f>
        <v>-1.23</v>
      </c>
    </row>
    <row r="22" spans="7:9" x14ac:dyDescent="0.35">
      <c r="G22" s="127" t="s">
        <v>22</v>
      </c>
      <c r="H22" s="128"/>
      <c r="I22" s="178">
        <v>-0.86</v>
      </c>
    </row>
    <row r="23" spans="7:9" x14ac:dyDescent="0.35">
      <c r="G23" s="127" t="s">
        <v>23</v>
      </c>
      <c r="H23" s="128"/>
      <c r="I23" s="178">
        <v>-0.37</v>
      </c>
    </row>
    <row r="24" spans="7:9" x14ac:dyDescent="0.35">
      <c r="G24" s="17" t="s">
        <v>24</v>
      </c>
      <c r="H24" s="5"/>
      <c r="I24" s="152">
        <f>E10*H6</f>
        <v>-2.8783449634493867</v>
      </c>
    </row>
    <row r="25" spans="7:9" x14ac:dyDescent="0.35">
      <c r="G25" s="17" t="s">
        <v>25</v>
      </c>
      <c r="H25" s="5"/>
      <c r="I25" s="133">
        <f>50%*(-2.5)</f>
        <v>-1.25</v>
      </c>
    </row>
    <row r="26" spans="7:9" x14ac:dyDescent="0.35">
      <c r="G26" s="17" t="s">
        <v>26</v>
      </c>
      <c r="H26" s="5"/>
      <c r="I26" s="217">
        <f>'Filière Béton'!E32*'Filière Ciment'!C6*'Filière Ciment'!I8</f>
        <v>-0.48621988459890914</v>
      </c>
    </row>
    <row r="27" spans="7:9" x14ac:dyDescent="0.35">
      <c r="G27" s="17" t="s">
        <v>27</v>
      </c>
      <c r="H27" s="5"/>
      <c r="I27" s="152">
        <f>'Filière Béton'!E45*C6*I8</f>
        <v>-0.88294342904823986</v>
      </c>
    </row>
    <row r="28" spans="7:9" x14ac:dyDescent="0.35">
      <c r="G28" s="18" t="s">
        <v>28</v>
      </c>
      <c r="H28" s="24"/>
      <c r="I28" s="153">
        <f>'Filière Béton'!E30*'Filière Ciment'!C6*'Filière Ciment'!I8</f>
        <v>-0.57123938632479754</v>
      </c>
    </row>
  </sheetData>
  <mergeCells count="4">
    <mergeCell ref="G19:I19"/>
    <mergeCell ref="G7:H7"/>
    <mergeCell ref="G4:I4"/>
    <mergeCell ref="G9:I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5C58-52FE-4136-A2F3-A5502E5BC79F}">
  <dimension ref="B1:J45"/>
  <sheetViews>
    <sheetView topLeftCell="E1" zoomScale="115" zoomScaleNormal="115" workbookViewId="0">
      <selection activeCell="J8" sqref="J8"/>
    </sheetView>
  </sheetViews>
  <sheetFormatPr baseColWidth="10" defaultColWidth="11.453125" defaultRowHeight="14.5" x14ac:dyDescent="0.35"/>
  <cols>
    <col min="2" max="2" width="30.54296875" customWidth="1"/>
    <col min="3" max="6" width="15.54296875" customWidth="1"/>
    <col min="7" max="7" width="33.7265625" customWidth="1"/>
    <col min="8" max="25" width="15.54296875" customWidth="1"/>
  </cols>
  <sheetData>
    <row r="1" spans="2:10" s="8" customFormat="1" ht="15" customHeight="1" x14ac:dyDescent="0.35"/>
    <row r="2" spans="2:10" s="8" customFormat="1" ht="15" customHeight="1" x14ac:dyDescent="0.35">
      <c r="C2" s="9"/>
      <c r="D2" s="10" t="s">
        <v>0</v>
      </c>
      <c r="E2"/>
      <c r="F2"/>
    </row>
    <row r="4" spans="2:10" x14ac:dyDescent="0.35">
      <c r="B4" s="299" t="s">
        <v>29</v>
      </c>
      <c r="C4" s="300"/>
      <c r="D4" s="300"/>
      <c r="E4" s="301"/>
      <c r="G4" s="299" t="s">
        <v>30</v>
      </c>
      <c r="H4" s="300"/>
      <c r="I4" s="301"/>
    </row>
    <row r="5" spans="2:10" x14ac:dyDescent="0.35">
      <c r="B5" s="11"/>
      <c r="C5" s="7">
        <v>2015</v>
      </c>
      <c r="D5" s="7">
        <v>2030</v>
      </c>
      <c r="E5" s="12">
        <v>2050</v>
      </c>
      <c r="G5" s="11"/>
      <c r="H5" s="7">
        <v>2018</v>
      </c>
      <c r="I5" s="12">
        <v>2050</v>
      </c>
    </row>
    <row r="6" spans="2:10" x14ac:dyDescent="0.35">
      <c r="B6" s="286" t="s">
        <v>31</v>
      </c>
      <c r="C6" s="38">
        <f>'Filière Ciment'!C6/'Filière Béton'!C8</f>
        <v>55</v>
      </c>
      <c r="D6" s="38">
        <f>C6*(1+D30)</f>
        <v>55</v>
      </c>
      <c r="E6" s="14">
        <f>C6*(1+SUM(E30,E32,E45))</f>
        <v>33.050640897483255</v>
      </c>
      <c r="G6" s="19" t="s">
        <v>32</v>
      </c>
      <c r="H6" s="38">
        <f>(H16+H17)*C6</f>
        <v>10.281997094017095</v>
      </c>
      <c r="I6" s="14">
        <f>(I16+I17)*E6</f>
        <v>2.957343648943688</v>
      </c>
    </row>
    <row r="7" spans="2:10" ht="14.5" customHeight="1" x14ac:dyDescent="0.35">
      <c r="B7" s="15" t="s">
        <v>33</v>
      </c>
      <c r="C7" s="1"/>
      <c r="D7" s="1"/>
      <c r="E7" s="16"/>
      <c r="G7" s="296" t="s">
        <v>34</v>
      </c>
      <c r="H7" s="297"/>
      <c r="I7" s="298"/>
      <c r="J7" s="110"/>
    </row>
    <row r="8" spans="2:10" x14ac:dyDescent="0.35">
      <c r="B8" s="156" t="s">
        <v>35</v>
      </c>
      <c r="C8" s="179">
        <f>0.12*(Logement!C30/1000)</f>
        <v>0.3</v>
      </c>
      <c r="D8" s="179">
        <f>C8*(1-5%)</f>
        <v>0.28499999999999998</v>
      </c>
      <c r="E8" s="180">
        <f>C8*(1-10%)</f>
        <v>0.27</v>
      </c>
      <c r="G8" s="17" t="s">
        <v>8</v>
      </c>
      <c r="H8" s="76">
        <f>'Filière Ciment'!H8</f>
        <v>0.66300000000000003</v>
      </c>
      <c r="I8" s="100">
        <f>'Filière Ciment'!I8</f>
        <v>0.29467871793873279</v>
      </c>
    </row>
    <row r="9" spans="2:10" x14ac:dyDescent="0.35">
      <c r="B9" s="162" t="s">
        <v>36</v>
      </c>
      <c r="C9" s="163"/>
      <c r="D9" s="163"/>
      <c r="E9" s="164"/>
      <c r="G9" s="17" t="s">
        <v>37</v>
      </c>
      <c r="H9" s="76">
        <f>Acier!C4</f>
        <v>1.6130309772164435</v>
      </c>
      <c r="I9" s="100">
        <f>Acier!D4</f>
        <v>0.80720705073319543</v>
      </c>
    </row>
    <row r="10" spans="2:10" x14ac:dyDescent="0.35">
      <c r="B10" s="17" t="s">
        <v>38</v>
      </c>
      <c r="C10" s="263">
        <f>(Logement!C8*'Part de marché béton'!D10/1000000)/'Filière Béton'!C6</f>
        <v>0.14069856755839474</v>
      </c>
      <c r="D10" s="71">
        <f>C10*(1+D22)/(1+$D$30)</f>
        <v>0.14069856755839474</v>
      </c>
      <c r="E10" s="72">
        <f>C10*(1+E22)/(1+$E$30)</f>
        <v>6.8719500732258867E-2</v>
      </c>
      <c r="G10" s="17" t="s">
        <v>39</v>
      </c>
      <c r="H10" s="295">
        <v>0</v>
      </c>
      <c r="I10" s="109">
        <f>H10</f>
        <v>0</v>
      </c>
      <c r="J10" s="111"/>
    </row>
    <row r="11" spans="2:10" ht="14.5" customHeight="1" x14ac:dyDescent="0.35">
      <c r="B11" s="17" t="s">
        <v>40</v>
      </c>
      <c r="C11" s="263">
        <f>(Logement!C9*'Part de marché béton'!D15/1000000)/'Filière Béton'!C6</f>
        <v>0.14973272052885053</v>
      </c>
      <c r="D11" s="71">
        <f>C11*(1+D23)/(1+$D$30)</f>
        <v>0.14973272052885053</v>
      </c>
      <c r="E11" s="72">
        <f>C11*(1+E23)/(1+$E$30)</f>
        <v>0.12724955825249315</v>
      </c>
      <c r="G11" s="296" t="s">
        <v>41</v>
      </c>
      <c r="H11" s="297"/>
      <c r="I11" s="20"/>
    </row>
    <row r="12" spans="2:10" x14ac:dyDescent="0.35">
      <c r="B12" s="13" t="s">
        <v>42</v>
      </c>
      <c r="C12" s="33">
        <f>SUM(C10:C11)</f>
        <v>0.29043128808724528</v>
      </c>
      <c r="D12" s="33">
        <f>SUM(D10:D11)</f>
        <v>0.29043128808724528</v>
      </c>
      <c r="E12" s="34">
        <f>SUM(E10:E11)</f>
        <v>0.19596905898475203</v>
      </c>
      <c r="G12" s="17" t="s">
        <v>43</v>
      </c>
      <c r="H12" s="293">
        <f>C8/'Données ACV béton'!C9</f>
        <v>0.12486126526082131</v>
      </c>
      <c r="I12" s="294">
        <f>E8/'Données ACV béton'!C9</f>
        <v>0.11237513873473919</v>
      </c>
    </row>
    <row r="13" spans="2:10" x14ac:dyDescent="0.35">
      <c r="B13" s="17" t="s">
        <v>44</v>
      </c>
      <c r="C13" s="219">
        <v>0.2</v>
      </c>
      <c r="D13" s="71">
        <f>C13*(1+D25)/(1+$D$30)</f>
        <v>0.2</v>
      </c>
      <c r="E13" s="72">
        <f>C13*(1+E25)/(1+$E$30)</f>
        <v>0.22662525207681591</v>
      </c>
      <c r="G13" s="17" t="s">
        <v>45</v>
      </c>
      <c r="H13" s="116">
        <f>'Données ACV béton'!C10/1000/'Données ACV béton'!C9</f>
        <v>2.0810210876803552E-2</v>
      </c>
      <c r="I13" s="72">
        <f>H13</f>
        <v>2.0810210876803552E-2</v>
      </c>
    </row>
    <row r="14" spans="2:10" x14ac:dyDescent="0.35">
      <c r="B14" s="17" t="s">
        <v>46</v>
      </c>
      <c r="C14" s="263">
        <f>100%-SUM(C12,C13,C16,C17)</f>
        <v>1.5524390583114833E-2</v>
      </c>
      <c r="D14" s="71">
        <f>C14*(1+D26)/(1+$D$30)</f>
        <v>1.5524390583114833E-2</v>
      </c>
      <c r="E14" s="72">
        <f>C14*(1+E26)/(1+$E$30)</f>
        <v>1.7591094646186731E-2</v>
      </c>
      <c r="G14" s="17" t="s">
        <v>47</v>
      </c>
      <c r="H14" s="116">
        <f>100%-SUM(H12:H13)</f>
        <v>0.85432852386237512</v>
      </c>
      <c r="I14" s="72">
        <f>100%-SUM(I12:I13)</f>
        <v>0.86681465038845729</v>
      </c>
    </row>
    <row r="15" spans="2:10" ht="14.5" customHeight="1" x14ac:dyDescent="0.35">
      <c r="B15" s="13" t="s">
        <v>48</v>
      </c>
      <c r="C15" s="33">
        <f>SUM(C12:C14)</f>
        <v>0.50595567867036007</v>
      </c>
      <c r="D15" s="33">
        <f>SUM(D12:D14)</f>
        <v>0.50595567867036007</v>
      </c>
      <c r="E15" s="34">
        <f>SUM(E12:E14)</f>
        <v>0.44018540570775472</v>
      </c>
      <c r="G15" s="296" t="s">
        <v>49</v>
      </c>
      <c r="H15" s="297"/>
      <c r="I15" s="20"/>
    </row>
    <row r="16" spans="2:10" x14ac:dyDescent="0.35">
      <c r="B16" s="13" t="s">
        <v>50</v>
      </c>
      <c r="C16" s="264">
        <v>0.14404432132963993</v>
      </c>
      <c r="D16" s="71">
        <f>C16*(1+D28)/(1+$D$30)</f>
        <v>0.14404432132963993</v>
      </c>
      <c r="E16" s="72">
        <f>C16*(1+E28)/(1+$E$30)</f>
        <v>0.16322040315781758</v>
      </c>
      <c r="G16" s="13" t="s">
        <v>51</v>
      </c>
      <c r="H16" s="118">
        <f>'Données ACV béton'!F3/1000</f>
        <v>0.21738984615384616</v>
      </c>
      <c r="I16" s="119">
        <f>SUMPRODUCT(I8:I10,I12:I14)*'Données ACV béton'!C9</f>
        <v>0.11992360638011765</v>
      </c>
    </row>
    <row r="17" spans="2:9" x14ac:dyDescent="0.35">
      <c r="B17" s="13" t="s">
        <v>52</v>
      </c>
      <c r="C17" s="31">
        <f>SUM(C18:C20)</f>
        <v>0.35000000000000003</v>
      </c>
      <c r="D17" s="73">
        <f>C17*(1+D29)/(1+$D$30)</f>
        <v>0.35000000000000003</v>
      </c>
      <c r="E17" s="32">
        <f>C17*(1+E29)/(1+$E$30)</f>
        <v>0.39659419113442784</v>
      </c>
      <c r="G17" s="17" t="s">
        <v>53</v>
      </c>
      <c r="H17" s="104">
        <f>'Données ACV béton'!F4/1000</f>
        <v>-3.0444444444444448E-2</v>
      </c>
      <c r="I17" s="105">
        <f>H17</f>
        <v>-3.0444444444444448E-2</v>
      </c>
    </row>
    <row r="18" spans="2:9" ht="14.5" customHeight="1" x14ac:dyDescent="0.35">
      <c r="B18" s="29" t="s">
        <v>54</v>
      </c>
      <c r="C18" s="244">
        <v>0.12</v>
      </c>
      <c r="D18" s="74"/>
      <c r="E18" s="75"/>
      <c r="G18" s="296" t="s">
        <v>19</v>
      </c>
      <c r="H18" s="297"/>
      <c r="I18" s="298"/>
    </row>
    <row r="19" spans="2:9" x14ac:dyDescent="0.35">
      <c r="B19" s="29" t="s">
        <v>55</v>
      </c>
      <c r="C19" s="244">
        <v>0.15</v>
      </c>
      <c r="D19" s="74"/>
      <c r="E19" s="75"/>
      <c r="G19" s="23" t="s">
        <v>20</v>
      </c>
      <c r="H19" s="5"/>
      <c r="I19" s="109">
        <f>'Filière Ciment'!I20</f>
        <v>-0.71264931506849316</v>
      </c>
    </row>
    <row r="20" spans="2:9" x14ac:dyDescent="0.35">
      <c r="B20" s="165" t="s">
        <v>56</v>
      </c>
      <c r="C20" s="245">
        <v>0.08</v>
      </c>
      <c r="D20" s="158"/>
      <c r="E20" s="166"/>
      <c r="G20" s="23" t="s">
        <v>57</v>
      </c>
      <c r="H20" s="5"/>
      <c r="I20" s="109">
        <f>(I9-H9)*H13*C6</f>
        <v>-0.92231512118296299</v>
      </c>
    </row>
    <row r="21" spans="2:9" x14ac:dyDescent="0.35">
      <c r="B21" s="305" t="s">
        <v>58</v>
      </c>
      <c r="C21" s="306"/>
      <c r="D21" s="160"/>
      <c r="E21" s="161"/>
      <c r="G21" s="17" t="s">
        <v>21</v>
      </c>
      <c r="H21" s="5"/>
      <c r="I21" s="109">
        <f>'Filière Ciment'!I21</f>
        <v>-1.23</v>
      </c>
    </row>
    <row r="22" spans="2:9" x14ac:dyDescent="0.35">
      <c r="B22" s="17" t="s">
        <v>38</v>
      </c>
      <c r="C22" s="2"/>
      <c r="D22" s="42">
        <f>Logement!E8</f>
        <v>0</v>
      </c>
      <c r="E22" s="43">
        <f>Logement!G8</f>
        <v>-0.56896551724137934</v>
      </c>
      <c r="G22" s="17" t="s">
        <v>59</v>
      </c>
      <c r="H22" s="5"/>
      <c r="I22" s="152">
        <f>'Filière Ciment'!I24</f>
        <v>-2.8783449634493867</v>
      </c>
    </row>
    <row r="23" spans="2:9" x14ac:dyDescent="0.35">
      <c r="B23" s="17" t="s">
        <v>40</v>
      </c>
      <c r="C23" s="3"/>
      <c r="D23" s="42">
        <f>Logement!E9</f>
        <v>0</v>
      </c>
      <c r="E23" s="43">
        <f>Logement!G9</f>
        <v>-0.25</v>
      </c>
      <c r="G23" s="17" t="s">
        <v>25</v>
      </c>
      <c r="H23" s="5"/>
      <c r="I23" s="152">
        <f>'Filière Ciment'!I25</f>
        <v>-1.25</v>
      </c>
    </row>
    <row r="24" spans="2:9" x14ac:dyDescent="0.35">
      <c r="B24" s="13" t="s">
        <v>42</v>
      </c>
      <c r="C24" s="3"/>
      <c r="D24" s="37">
        <f>Logement!E7</f>
        <v>0</v>
      </c>
      <c r="E24" s="35">
        <f>Logement!G7</f>
        <v>-0.36708860759493672</v>
      </c>
      <c r="G24" s="17" t="s">
        <v>60</v>
      </c>
      <c r="H24" s="5"/>
      <c r="I24" s="217">
        <f>(E32*C6*(I16+I17))</f>
        <v>-0.49213539064620265</v>
      </c>
    </row>
    <row r="25" spans="2:9" x14ac:dyDescent="0.35">
      <c r="B25" s="17" t="s">
        <v>44</v>
      </c>
      <c r="C25" s="3"/>
      <c r="D25" s="36">
        <v>0</v>
      </c>
      <c r="E25" s="30">
        <v>0</v>
      </c>
      <c r="G25" s="17" t="s">
        <v>27</v>
      </c>
      <c r="H25" s="5"/>
      <c r="I25" s="217">
        <f>E45*C6*(I16+I17)</f>
        <v>-0.89368560015105591</v>
      </c>
    </row>
    <row r="26" spans="2:9" x14ac:dyDescent="0.35">
      <c r="B26" s="17" t="s">
        <v>61</v>
      </c>
      <c r="C26" s="3"/>
      <c r="D26" s="36">
        <v>0</v>
      </c>
      <c r="E26" s="30">
        <v>0</v>
      </c>
      <c r="G26" s="18" t="s">
        <v>28</v>
      </c>
      <c r="H26" s="24"/>
      <c r="I26" s="153">
        <f>(E30*C6*(I16+I17))</f>
        <v>-0.57818926672107984</v>
      </c>
    </row>
    <row r="27" spans="2:9" x14ac:dyDescent="0.35">
      <c r="B27" s="13" t="s">
        <v>48</v>
      </c>
      <c r="C27" s="2"/>
      <c r="D27" s="31">
        <f>SUMPRODUCT(C12:C14,D24:D26)/C15</f>
        <v>0</v>
      </c>
      <c r="E27" s="32">
        <f>SUMPRODUCT(C12:C14,E24:E26)/C15</f>
        <v>-0.21071809575520525</v>
      </c>
    </row>
    <row r="28" spans="2:9" x14ac:dyDescent="0.35">
      <c r="B28" s="13" t="s">
        <v>50</v>
      </c>
      <c r="C28" s="40"/>
      <c r="D28" s="31">
        <v>0</v>
      </c>
      <c r="E28" s="32">
        <v>0</v>
      </c>
      <c r="H28" s="110"/>
      <c r="I28" s="110"/>
    </row>
    <row r="29" spans="2:9" x14ac:dyDescent="0.35">
      <c r="B29" s="139" t="s">
        <v>52</v>
      </c>
      <c r="C29" s="167"/>
      <c r="D29" s="168">
        <v>0</v>
      </c>
      <c r="E29" s="169">
        <v>0</v>
      </c>
    </row>
    <row r="30" spans="2:9" x14ac:dyDescent="0.35">
      <c r="B30" s="170" t="s">
        <v>62</v>
      </c>
      <c r="C30" s="171"/>
      <c r="D30" s="172">
        <f>SUMPRODUCT(C10:C11,D22:D23)+SUMPRODUCT(C13:C14,D25:D26)+SUMPRODUCT(C16:C17,D28:D29)</f>
        <v>0</v>
      </c>
      <c r="E30" s="173">
        <f>SUMPRODUCT(C10:C11,E22:E23)+SUMPRODUCT(C13:C14,E25:E26)+SUMPRODUCT(C16:C17,E28:E29)</f>
        <v>-0.11748581339819586</v>
      </c>
    </row>
    <row r="31" spans="2:9" ht="14.5" customHeight="1" x14ac:dyDescent="0.35">
      <c r="B31" s="307" t="s">
        <v>63</v>
      </c>
      <c r="C31" s="308"/>
      <c r="D31" s="308"/>
      <c r="E31" s="309"/>
    </row>
    <row r="32" spans="2:9" x14ac:dyDescent="0.35">
      <c r="B32" s="17" t="s">
        <v>38</v>
      </c>
      <c r="C32" s="2"/>
      <c r="D32" s="310">
        <v>-0.05</v>
      </c>
      <c r="E32" s="313">
        <v>-0.1</v>
      </c>
    </row>
    <row r="33" spans="2:5" x14ac:dyDescent="0.35">
      <c r="B33" s="17" t="s">
        <v>40</v>
      </c>
      <c r="C33" s="3"/>
      <c r="D33" s="311"/>
      <c r="E33" s="314"/>
    </row>
    <row r="34" spans="2:5" x14ac:dyDescent="0.35">
      <c r="B34" s="17" t="s">
        <v>44</v>
      </c>
      <c r="C34" s="3"/>
      <c r="D34" s="311"/>
      <c r="E34" s="314"/>
    </row>
    <row r="35" spans="2:5" x14ac:dyDescent="0.35">
      <c r="B35" s="17" t="s">
        <v>61</v>
      </c>
      <c r="C35" s="3"/>
      <c r="D35" s="311"/>
      <c r="E35" s="314"/>
    </row>
    <row r="36" spans="2:5" x14ac:dyDescent="0.35">
      <c r="B36" s="17" t="s">
        <v>50</v>
      </c>
      <c r="C36" s="40"/>
      <c r="D36" s="311"/>
      <c r="E36" s="314"/>
    </row>
    <row r="37" spans="2:5" x14ac:dyDescent="0.35">
      <c r="B37" s="18" t="s">
        <v>52</v>
      </c>
      <c r="C37" s="41"/>
      <c r="D37" s="312"/>
      <c r="E37" s="315"/>
    </row>
    <row r="38" spans="2:5" ht="14.5" customHeight="1" x14ac:dyDescent="0.35">
      <c r="B38" s="307" t="s">
        <v>64</v>
      </c>
      <c r="C38" s="308"/>
      <c r="D38" s="308"/>
      <c r="E38" s="309"/>
    </row>
    <row r="39" spans="2:5" x14ac:dyDescent="0.35">
      <c r="B39" s="17" t="s">
        <v>38</v>
      </c>
      <c r="C39" s="2"/>
      <c r="D39" s="71">
        <f>'Part de marché béton'!F23</f>
        <v>-0.30352941176470594</v>
      </c>
      <c r="E39" s="72">
        <f>'Part de marché béton'!H23</f>
        <v>-0.43882352941176478</v>
      </c>
    </row>
    <row r="40" spans="2:5" x14ac:dyDescent="0.35">
      <c r="B40" s="17" t="s">
        <v>40</v>
      </c>
      <c r="C40" s="3"/>
      <c r="D40" s="71">
        <f>'Part de marché béton'!F29</f>
        <v>-0.20224705882352942</v>
      </c>
      <c r="E40" s="72">
        <f>'Part de marché béton'!H29</f>
        <v>-0.328129411764706</v>
      </c>
    </row>
    <row r="41" spans="2:5" x14ac:dyDescent="0.35">
      <c r="B41" s="17" t="s">
        <v>44</v>
      </c>
      <c r="C41" s="3"/>
      <c r="D41" s="123">
        <f>D40</f>
        <v>-0.20224705882352942</v>
      </c>
      <c r="E41" s="103">
        <f>E40</f>
        <v>-0.328129411764706</v>
      </c>
    </row>
    <row r="42" spans="2:5" x14ac:dyDescent="0.35">
      <c r="B42" s="17" t="s">
        <v>61</v>
      </c>
      <c r="C42" s="3"/>
      <c r="D42" s="123">
        <f>D40</f>
        <v>-0.20224705882352942</v>
      </c>
      <c r="E42" s="103">
        <f>E40</f>
        <v>-0.328129411764706</v>
      </c>
    </row>
    <row r="43" spans="2:5" x14ac:dyDescent="0.35">
      <c r="B43" s="17" t="s">
        <v>50</v>
      </c>
      <c r="C43" s="40"/>
      <c r="D43" s="123">
        <v>0</v>
      </c>
      <c r="E43" s="103">
        <v>0</v>
      </c>
    </row>
    <row r="44" spans="2:5" x14ac:dyDescent="0.35">
      <c r="B44" s="18" t="s">
        <v>52</v>
      </c>
      <c r="C44" s="41"/>
      <c r="D44" s="175">
        <v>0</v>
      </c>
      <c r="E44" s="25">
        <v>0</v>
      </c>
    </row>
    <row r="45" spans="2:5" x14ac:dyDescent="0.35">
      <c r="B45" s="174" t="s">
        <v>65</v>
      </c>
      <c r="C45" s="24"/>
      <c r="D45" s="218">
        <f>SUM(D39*$C$10,$C$11*D40,D41*$C$13,$C$14*D42,D43*$C$16,$C$17*D44)</f>
        <v>-0.11657832988391038</v>
      </c>
      <c r="E45" s="157">
        <f>SUM(E39*$C$10,$C$11*E40,E41*$C$13,$C$14*E42,E43*$C$16,$C$17*E44)</f>
        <v>-0.18159344301119948</v>
      </c>
    </row>
  </sheetData>
  <mergeCells count="11">
    <mergeCell ref="B38:E38"/>
    <mergeCell ref="G18:I18"/>
    <mergeCell ref="G11:H11"/>
    <mergeCell ref="G15:H15"/>
    <mergeCell ref="G7:I7"/>
    <mergeCell ref="G4:I4"/>
    <mergeCell ref="B21:C21"/>
    <mergeCell ref="B31:E31"/>
    <mergeCell ref="D32:D37"/>
    <mergeCell ref="E32:E37"/>
    <mergeCell ref="B4:E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C104A-DCF1-47AB-87BA-B9300C3101D7}">
  <dimension ref="B2:E15"/>
  <sheetViews>
    <sheetView workbookViewId="0"/>
  </sheetViews>
  <sheetFormatPr baseColWidth="10" defaultColWidth="11.453125" defaultRowHeight="14.5" x14ac:dyDescent="0.35"/>
  <cols>
    <col min="2" max="2" width="30.54296875" customWidth="1"/>
    <col min="3" max="5" width="15.54296875" customWidth="1"/>
  </cols>
  <sheetData>
    <row r="2" spans="2:5" ht="14.5" customHeight="1" x14ac:dyDescent="0.35">
      <c r="B2" s="299" t="s">
        <v>66</v>
      </c>
      <c r="C2" s="300"/>
      <c r="D2" s="301"/>
    </row>
    <row r="3" spans="2:5" x14ac:dyDescent="0.35">
      <c r="B3" s="11"/>
      <c r="C3" s="7">
        <v>2018</v>
      </c>
      <c r="D3" s="12">
        <v>2050</v>
      </c>
    </row>
    <row r="4" spans="2:5" x14ac:dyDescent="0.35">
      <c r="B4" s="19" t="s">
        <v>67</v>
      </c>
      <c r="C4" s="107">
        <f>SUMPRODUCT(C6:C8,C10:C12)</f>
        <v>1.6130309772164435</v>
      </c>
      <c r="D4" s="108">
        <f>SUMPRODUCT(D6:D8,D10:D12)</f>
        <v>0.80720705073319543</v>
      </c>
    </row>
    <row r="5" spans="2:5" ht="14.5" customHeight="1" x14ac:dyDescent="0.35">
      <c r="B5" s="296" t="s">
        <v>68</v>
      </c>
      <c r="C5" s="297"/>
      <c r="D5" s="20"/>
    </row>
    <row r="6" spans="2:5" x14ac:dyDescent="0.35">
      <c r="B6" s="17" t="s">
        <v>69</v>
      </c>
      <c r="C6" s="4">
        <v>2.2109999999999999</v>
      </c>
      <c r="D6" s="22">
        <v>2.2109999999999999</v>
      </c>
    </row>
    <row r="7" spans="2:5" x14ac:dyDescent="0.35">
      <c r="B7" s="17" t="s">
        <v>70</v>
      </c>
      <c r="C7" s="150">
        <v>2.0637279181112765E-2</v>
      </c>
      <c r="D7" s="151">
        <v>1.5582455795033294E-3</v>
      </c>
    </row>
    <row r="8" spans="2:5" x14ac:dyDescent="0.35">
      <c r="B8" s="17" t="s">
        <v>71</v>
      </c>
      <c r="C8" s="4">
        <v>0.112332838038633</v>
      </c>
      <c r="D8" s="21">
        <v>8.4818423383525229E-3</v>
      </c>
      <c r="E8" s="115"/>
    </row>
    <row r="9" spans="2:5" x14ac:dyDescent="0.35">
      <c r="B9" s="296" t="s">
        <v>72</v>
      </c>
      <c r="C9" s="297"/>
      <c r="D9" s="298"/>
      <c r="E9" s="8"/>
    </row>
    <row r="10" spans="2:5" x14ac:dyDescent="0.35">
      <c r="B10" s="17" t="s">
        <v>69</v>
      </c>
      <c r="C10" s="102">
        <v>0.72699999999999998</v>
      </c>
      <c r="D10" s="103">
        <v>0.36349999999999999</v>
      </c>
    </row>
    <row r="11" spans="2:5" x14ac:dyDescent="0.35">
      <c r="B11" s="17" t="s">
        <v>73</v>
      </c>
      <c r="C11" s="102">
        <v>0.27300000000000002</v>
      </c>
      <c r="D11" s="103">
        <v>0.27300000000000002</v>
      </c>
    </row>
    <row r="12" spans="2:5" x14ac:dyDescent="0.35">
      <c r="B12" s="18" t="s">
        <v>71</v>
      </c>
      <c r="C12" s="106">
        <v>0</v>
      </c>
      <c r="D12" s="25">
        <v>0.36349999999999999</v>
      </c>
    </row>
    <row r="15" spans="2:5" x14ac:dyDescent="0.35">
      <c r="C15" s="232"/>
    </row>
  </sheetData>
  <mergeCells count="3">
    <mergeCell ref="B5:C5"/>
    <mergeCell ref="B2:D2"/>
    <mergeCell ref="B9:D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3C5EA-8F4A-48FA-9C73-EAEC1D2D94ED}">
  <dimension ref="B1:Q17"/>
  <sheetViews>
    <sheetView workbookViewId="0">
      <selection activeCell="C9" sqref="C9"/>
    </sheetView>
  </sheetViews>
  <sheetFormatPr baseColWidth="10" defaultColWidth="11.453125" defaultRowHeight="14.5" x14ac:dyDescent="0.35"/>
  <cols>
    <col min="2" max="2" width="43.453125" customWidth="1"/>
    <col min="3" max="4" width="15.54296875" customWidth="1"/>
    <col min="5" max="5" width="43.453125" customWidth="1"/>
    <col min="6" max="6" width="15.54296875" customWidth="1"/>
    <col min="8" max="8" width="43.453125" customWidth="1"/>
    <col min="9" max="17" width="15.7265625" customWidth="1"/>
  </cols>
  <sheetData>
    <row r="1" spans="2:17" x14ac:dyDescent="0.35">
      <c r="H1" s="229"/>
      <c r="I1" s="230"/>
      <c r="J1" s="230"/>
      <c r="K1" s="230"/>
      <c r="L1" s="230"/>
      <c r="M1" s="230"/>
      <c r="N1" s="230"/>
      <c r="O1" s="230"/>
      <c r="P1" s="230"/>
      <c r="Q1" s="231"/>
    </row>
    <row r="2" spans="2:17" ht="14.5" customHeight="1" x14ac:dyDescent="0.35">
      <c r="B2" s="299" t="s">
        <v>74</v>
      </c>
      <c r="C2" s="301"/>
      <c r="E2" s="299" t="s">
        <v>75</v>
      </c>
      <c r="F2" s="301"/>
      <c r="H2" s="77" t="s">
        <v>76</v>
      </c>
      <c r="I2" s="214" t="s">
        <v>77</v>
      </c>
      <c r="J2" s="214" t="s">
        <v>78</v>
      </c>
      <c r="K2" s="214" t="s">
        <v>79</v>
      </c>
      <c r="L2" s="214" t="s">
        <v>80</v>
      </c>
      <c r="M2" s="214" t="s">
        <v>81</v>
      </c>
      <c r="N2" s="214" t="s">
        <v>82</v>
      </c>
      <c r="O2" s="214" t="s">
        <v>83</v>
      </c>
      <c r="P2" s="214" t="s">
        <v>84</v>
      </c>
      <c r="Q2" s="215" t="s">
        <v>85</v>
      </c>
    </row>
    <row r="3" spans="2:17" ht="14.5" customHeight="1" x14ac:dyDescent="0.35">
      <c r="B3" s="101" t="s">
        <v>86</v>
      </c>
      <c r="C3" s="20"/>
      <c r="E3" s="114" t="s">
        <v>87</v>
      </c>
      <c r="F3" s="109">
        <f>AVERAGE(C16,I9:Q9)</f>
        <v>217.38984615384615</v>
      </c>
      <c r="H3" s="305" t="s">
        <v>86</v>
      </c>
      <c r="I3" s="306"/>
      <c r="J3" s="306"/>
      <c r="K3" s="306"/>
      <c r="L3" s="306"/>
      <c r="M3" s="306"/>
      <c r="N3" s="306"/>
      <c r="O3" s="306"/>
      <c r="P3" s="306"/>
      <c r="Q3" s="316"/>
    </row>
    <row r="4" spans="2:17" x14ac:dyDescent="0.35">
      <c r="B4" s="17" t="s">
        <v>88</v>
      </c>
      <c r="C4" s="22">
        <f>0.3*0.3</f>
        <v>0.09</v>
      </c>
      <c r="E4" s="17" t="s">
        <v>89</v>
      </c>
      <c r="F4" s="109">
        <f>C13/C6</f>
        <v>-30.444444444444446</v>
      </c>
      <c r="H4" s="17" t="s">
        <v>90</v>
      </c>
      <c r="I4" s="22">
        <v>1</v>
      </c>
      <c r="J4" s="22">
        <v>1</v>
      </c>
      <c r="K4" s="22">
        <v>1</v>
      </c>
      <c r="L4" s="22">
        <v>1</v>
      </c>
      <c r="M4" s="22">
        <v>1</v>
      </c>
      <c r="N4" s="22">
        <v>1</v>
      </c>
      <c r="O4" s="22">
        <v>1</v>
      </c>
      <c r="P4" s="22">
        <v>1</v>
      </c>
      <c r="Q4" s="22">
        <v>1</v>
      </c>
    </row>
    <row r="5" spans="2:17" x14ac:dyDescent="0.35">
      <c r="B5" s="17" t="s">
        <v>91</v>
      </c>
      <c r="C5" s="22">
        <v>1</v>
      </c>
      <c r="E5" s="18" t="s">
        <v>92</v>
      </c>
      <c r="F5" s="117">
        <f>SUM(C14,C17)/C6</f>
        <v>-24.311111111111114</v>
      </c>
      <c r="H5" s="17" t="s">
        <v>93</v>
      </c>
      <c r="I5" s="22">
        <v>0.2</v>
      </c>
      <c r="J5" s="22">
        <v>0.15</v>
      </c>
      <c r="K5" s="22">
        <v>0.16</v>
      </c>
      <c r="L5" s="22">
        <v>0.25</v>
      </c>
      <c r="M5" s="22">
        <v>0.13</v>
      </c>
      <c r="N5" s="22">
        <v>0.12</v>
      </c>
      <c r="O5" s="22">
        <v>0.2</v>
      </c>
      <c r="P5" s="22">
        <v>0.2</v>
      </c>
      <c r="Q5" s="22">
        <v>0.15</v>
      </c>
    </row>
    <row r="6" spans="2:17" x14ac:dyDescent="0.35">
      <c r="B6" s="17" t="s">
        <v>94</v>
      </c>
      <c r="C6" s="100">
        <f>C5*C4</f>
        <v>0.09</v>
      </c>
      <c r="H6" s="17" t="s">
        <v>94</v>
      </c>
      <c r="I6" s="100">
        <f t="shared" ref="I6:Q6" si="0">I5*I4</f>
        <v>0.2</v>
      </c>
      <c r="J6" s="100">
        <f t="shared" si="0"/>
        <v>0.15</v>
      </c>
      <c r="K6" s="100">
        <f t="shared" si="0"/>
        <v>0.16</v>
      </c>
      <c r="L6" s="100">
        <f t="shared" si="0"/>
        <v>0.25</v>
      </c>
      <c r="M6" s="100">
        <f t="shared" si="0"/>
        <v>0.13</v>
      </c>
      <c r="N6" s="100">
        <f t="shared" si="0"/>
        <v>0.12</v>
      </c>
      <c r="O6" s="100">
        <f t="shared" si="0"/>
        <v>0.2</v>
      </c>
      <c r="P6" s="100">
        <f t="shared" si="0"/>
        <v>0.2</v>
      </c>
      <c r="Q6" s="100">
        <f t="shared" si="0"/>
        <v>0.15</v>
      </c>
    </row>
    <row r="7" spans="2:17" x14ac:dyDescent="0.35">
      <c r="B7" s="17" t="s">
        <v>95</v>
      </c>
      <c r="C7" s="99">
        <f>211.74</f>
        <v>211.74</v>
      </c>
      <c r="H7" s="296" t="s">
        <v>96</v>
      </c>
      <c r="I7" s="297"/>
      <c r="J7" s="297"/>
      <c r="K7" s="297"/>
      <c r="L7" s="297"/>
      <c r="M7" s="297"/>
      <c r="N7" s="297"/>
      <c r="O7" s="297"/>
      <c r="P7" s="297"/>
      <c r="Q7" s="298"/>
    </row>
    <row r="8" spans="2:17" x14ac:dyDescent="0.35">
      <c r="B8" s="17" t="s">
        <v>97</v>
      </c>
      <c r="C8" s="22">
        <v>4.5</v>
      </c>
      <c r="D8" s="110"/>
      <c r="H8" s="112" t="s">
        <v>98</v>
      </c>
      <c r="I8" s="113">
        <v>49.1</v>
      </c>
      <c r="J8" s="113">
        <v>28.3</v>
      </c>
      <c r="K8" s="113">
        <v>38.5</v>
      </c>
      <c r="L8" s="113">
        <v>47.185000000000002</v>
      </c>
      <c r="M8" s="113">
        <v>24.536000000000001</v>
      </c>
      <c r="N8" s="113">
        <v>22.649000000000001</v>
      </c>
      <c r="O8" s="113">
        <v>37.747999999999998</v>
      </c>
      <c r="P8" s="113">
        <v>37.747999999999998</v>
      </c>
      <c r="Q8" s="113">
        <v>28.311</v>
      </c>
    </row>
    <row r="9" spans="2:17" x14ac:dyDescent="0.35">
      <c r="B9" s="17" t="s">
        <v>99</v>
      </c>
      <c r="C9" s="100">
        <f>SUM(C7:C8)/1000/C6</f>
        <v>2.4026666666666667</v>
      </c>
      <c r="H9" s="226" t="s">
        <v>100</v>
      </c>
      <c r="I9" s="227">
        <f t="shared" ref="I9:Q9" si="1">I8/I6</f>
        <v>245.5</v>
      </c>
      <c r="J9" s="227">
        <f t="shared" si="1"/>
        <v>188.66666666666669</v>
      </c>
      <c r="K9" s="227">
        <f t="shared" si="1"/>
        <v>240.625</v>
      </c>
      <c r="L9" s="227">
        <f t="shared" si="1"/>
        <v>188.74</v>
      </c>
      <c r="M9" s="227">
        <f t="shared" si="1"/>
        <v>188.73846153846154</v>
      </c>
      <c r="N9" s="227">
        <f t="shared" si="1"/>
        <v>188.74166666666667</v>
      </c>
      <c r="O9" s="227">
        <f t="shared" si="1"/>
        <v>188.73999999999998</v>
      </c>
      <c r="P9" s="227">
        <f t="shared" si="1"/>
        <v>188.73999999999998</v>
      </c>
      <c r="Q9" s="227">
        <f t="shared" si="1"/>
        <v>188.74</v>
      </c>
    </row>
    <row r="10" spans="2:17" x14ac:dyDescent="0.35">
      <c r="B10" s="17" t="s">
        <v>101</v>
      </c>
      <c r="C10" s="99">
        <v>50</v>
      </c>
    </row>
    <row r="11" spans="2:17" x14ac:dyDescent="0.35">
      <c r="B11" s="23" t="s">
        <v>102</v>
      </c>
      <c r="C11" s="99">
        <v>100</v>
      </c>
      <c r="D11" s="8"/>
    </row>
    <row r="12" spans="2:17" x14ac:dyDescent="0.35">
      <c r="B12" s="296" t="s">
        <v>96</v>
      </c>
      <c r="C12" s="298"/>
    </row>
    <row r="13" spans="2:17" x14ac:dyDescent="0.35">
      <c r="B13" s="17" t="s">
        <v>103</v>
      </c>
      <c r="C13" s="21">
        <v>-2.74</v>
      </c>
    </row>
    <row r="14" spans="2:17" x14ac:dyDescent="0.35">
      <c r="B14" s="17" t="s">
        <v>104</v>
      </c>
      <c r="C14" s="21">
        <v>-1.79</v>
      </c>
    </row>
    <row r="15" spans="2:17" x14ac:dyDescent="0.35">
      <c r="B15" s="112" t="s">
        <v>98</v>
      </c>
      <c r="C15" s="113">
        <v>33</v>
      </c>
    </row>
    <row r="16" spans="2:17" x14ac:dyDescent="0.35">
      <c r="B16" s="223" t="s">
        <v>100</v>
      </c>
      <c r="C16" s="228">
        <f>C15/C6</f>
        <v>366.66666666666669</v>
      </c>
    </row>
    <row r="17" spans="2:3" x14ac:dyDescent="0.35">
      <c r="B17" s="224" t="s">
        <v>105</v>
      </c>
      <c r="C17" s="225">
        <v>-0.39800000000000002</v>
      </c>
    </row>
  </sheetData>
  <mergeCells count="5">
    <mergeCell ref="H3:Q3"/>
    <mergeCell ref="H7:Q7"/>
    <mergeCell ref="B2:C2"/>
    <mergeCell ref="B12:C12"/>
    <mergeCell ref="E2:F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06DF-9118-4563-A5C6-913658904C9E}">
  <dimension ref="B2:K34"/>
  <sheetViews>
    <sheetView workbookViewId="0"/>
  </sheetViews>
  <sheetFormatPr baseColWidth="10" defaultColWidth="11.453125" defaultRowHeight="14.5" x14ac:dyDescent="0.35"/>
  <cols>
    <col min="2" max="2" width="35.81640625" customWidth="1"/>
    <col min="3" max="5" width="15.54296875" customWidth="1"/>
    <col min="6" max="6" width="15.81640625" customWidth="1"/>
    <col min="7" max="11" width="20.54296875" customWidth="1"/>
  </cols>
  <sheetData>
    <row r="2" spans="2:11" ht="14.5" customHeight="1" x14ac:dyDescent="0.35">
      <c r="B2" s="299" t="s">
        <v>106</v>
      </c>
      <c r="C2" s="300"/>
      <c r="D2" s="301"/>
      <c r="F2" s="299" t="s">
        <v>107</v>
      </c>
      <c r="G2" s="300"/>
      <c r="H2" s="300"/>
      <c r="I2" s="300"/>
      <c r="J2" s="300"/>
      <c r="K2" s="301"/>
    </row>
    <row r="3" spans="2:11" ht="14.5" customHeight="1" x14ac:dyDescent="0.35">
      <c r="B3" s="11"/>
      <c r="C3" s="7">
        <v>2018</v>
      </c>
      <c r="D3" s="12">
        <v>2050</v>
      </c>
      <c r="F3" s="322" t="s">
        <v>108</v>
      </c>
      <c r="G3" s="320" t="s">
        <v>109</v>
      </c>
      <c r="H3" s="324"/>
      <c r="I3" s="325"/>
      <c r="J3" s="320" t="s">
        <v>110</v>
      </c>
      <c r="K3" s="321"/>
    </row>
    <row r="4" spans="2:11" ht="14.5" customHeight="1" x14ac:dyDescent="0.35">
      <c r="B4" s="296" t="s">
        <v>111</v>
      </c>
      <c r="C4" s="297"/>
      <c r="D4" s="298"/>
      <c r="F4" s="323"/>
      <c r="G4" s="145" t="s">
        <v>112</v>
      </c>
      <c r="H4" s="7" t="s">
        <v>113</v>
      </c>
      <c r="I4" s="146" t="s">
        <v>114</v>
      </c>
      <c r="J4" s="7" t="s">
        <v>115</v>
      </c>
      <c r="K4" s="12" t="s">
        <v>116</v>
      </c>
    </row>
    <row r="5" spans="2:11" x14ac:dyDescent="0.35">
      <c r="B5" s="23" t="s">
        <v>117</v>
      </c>
      <c r="C5" s="124">
        <v>3942</v>
      </c>
      <c r="D5" s="99">
        <v>3300</v>
      </c>
      <c r="F5" s="134" t="s">
        <v>118</v>
      </c>
      <c r="G5" s="135">
        <v>0.98199999999999998</v>
      </c>
      <c r="H5" s="135">
        <v>0</v>
      </c>
      <c r="I5" s="135">
        <v>1.7999999999999999E-2</v>
      </c>
      <c r="J5" s="136">
        <v>0.752</v>
      </c>
      <c r="K5" s="137">
        <v>0.82699999999999996</v>
      </c>
    </row>
    <row r="6" spans="2:11" x14ac:dyDescent="0.35">
      <c r="B6" s="23" t="s">
        <v>119</v>
      </c>
      <c r="C6" s="5"/>
      <c r="D6" s="72">
        <f>(D5-C5)/C5</f>
        <v>-0.16286149162861491</v>
      </c>
      <c r="E6" s="115"/>
      <c r="F6" s="134" t="s">
        <v>120</v>
      </c>
      <c r="G6" s="135">
        <v>0.84499999999999997</v>
      </c>
      <c r="H6" s="135">
        <v>0.15</v>
      </c>
      <c r="I6" s="135">
        <v>5.0000000000000001E-3</v>
      </c>
      <c r="J6" s="136">
        <v>0.61899999999999999</v>
      </c>
      <c r="K6" s="137">
        <v>0.69599999999999995</v>
      </c>
    </row>
    <row r="7" spans="2:11" x14ac:dyDescent="0.35">
      <c r="B7" s="23" t="s">
        <v>121</v>
      </c>
      <c r="C7" s="123">
        <v>0.4</v>
      </c>
      <c r="D7" s="75"/>
      <c r="F7" s="134" t="s">
        <v>122</v>
      </c>
      <c r="G7" s="135">
        <v>0.70799999999999996</v>
      </c>
      <c r="H7" s="135">
        <v>0.28100000000000003</v>
      </c>
      <c r="I7" s="135">
        <v>1.0999999999999999E-2</v>
      </c>
      <c r="J7" s="136">
        <v>0.55400000000000005</v>
      </c>
      <c r="K7" s="137">
        <v>0.63700000000000001</v>
      </c>
    </row>
    <row r="8" spans="2:11" ht="14.5" customHeight="1" x14ac:dyDescent="0.35">
      <c r="B8" s="296" t="s">
        <v>123</v>
      </c>
      <c r="C8" s="297"/>
      <c r="D8" s="298"/>
      <c r="F8" s="134" t="s">
        <v>124</v>
      </c>
      <c r="G8" s="135">
        <v>0.54800000000000004</v>
      </c>
      <c r="H8" s="135">
        <v>0.41799999999999998</v>
      </c>
      <c r="I8" s="135">
        <v>3.4000000000000002E-2</v>
      </c>
      <c r="J8" s="136">
        <v>0.46700000000000003</v>
      </c>
      <c r="K8" s="137">
        <v>0.56499999999999995</v>
      </c>
    </row>
    <row r="9" spans="2:11" x14ac:dyDescent="0.35">
      <c r="B9" s="121" t="s">
        <v>125</v>
      </c>
      <c r="C9" s="122">
        <v>0.52500000000000002</v>
      </c>
      <c r="D9" s="98">
        <f>C9</f>
        <v>0.52500000000000002</v>
      </c>
      <c r="F9" s="134" t="s">
        <v>126</v>
      </c>
      <c r="G9" s="135">
        <v>0.29799999999999999</v>
      </c>
      <c r="H9" s="135">
        <v>0.69299999999999995</v>
      </c>
      <c r="I9" s="135">
        <v>8.9999999999999993E-3</v>
      </c>
      <c r="J9" s="136">
        <v>0.316</v>
      </c>
      <c r="K9" s="137">
        <v>0.33900000000000002</v>
      </c>
    </row>
    <row r="10" spans="2:11" ht="20" x14ac:dyDescent="0.35">
      <c r="B10" s="23" t="s">
        <v>127</v>
      </c>
      <c r="C10" s="123">
        <v>0.6</v>
      </c>
      <c r="D10" s="75"/>
      <c r="F10" s="134" t="s">
        <v>128</v>
      </c>
      <c r="G10" s="135">
        <v>0.154</v>
      </c>
      <c r="H10" s="135">
        <v>0.82899999999999996</v>
      </c>
      <c r="I10" s="135">
        <v>1.7000000000000001E-2</v>
      </c>
      <c r="J10" s="136">
        <v>0.19900000000000001</v>
      </c>
      <c r="K10" s="137">
        <v>0.22500000000000001</v>
      </c>
    </row>
    <row r="11" spans="2:11" ht="14.5" customHeight="1" x14ac:dyDescent="0.35">
      <c r="B11" s="296" t="s">
        <v>129</v>
      </c>
      <c r="C11" s="297"/>
      <c r="D11" s="298"/>
      <c r="F11" s="134" t="s">
        <v>130</v>
      </c>
      <c r="G11" s="135">
        <v>0.55300000000000005</v>
      </c>
      <c r="H11" s="135">
        <v>0.441</v>
      </c>
      <c r="I11" s="135">
        <v>6.0000000000000001E-3</v>
      </c>
      <c r="J11" s="136">
        <v>0.47899999999999998</v>
      </c>
      <c r="K11" s="137">
        <v>0.51800000000000002</v>
      </c>
    </row>
    <row r="12" spans="2:11" x14ac:dyDescent="0.35">
      <c r="B12" s="23" t="s">
        <v>118</v>
      </c>
      <c r="C12" s="102">
        <v>0.2</v>
      </c>
      <c r="D12" s="103">
        <v>0.05</v>
      </c>
      <c r="F12" s="138" t="s">
        <v>131</v>
      </c>
      <c r="G12" s="147">
        <v>0.35299999999999998</v>
      </c>
      <c r="H12" s="147">
        <v>0.63300000000000001</v>
      </c>
      <c r="I12" s="147">
        <v>1.4E-2</v>
      </c>
      <c r="J12" s="148">
        <v>0.33400000000000002</v>
      </c>
      <c r="K12" s="149">
        <v>0.38900000000000001</v>
      </c>
    </row>
    <row r="13" spans="2:11" x14ac:dyDescent="0.35">
      <c r="B13" s="23" t="s">
        <v>132</v>
      </c>
      <c r="C13" s="102">
        <v>0.62</v>
      </c>
      <c r="D13" s="103">
        <v>0.3</v>
      </c>
    </row>
    <row r="14" spans="2:11" x14ac:dyDescent="0.35">
      <c r="B14" s="23" t="s">
        <v>133</v>
      </c>
      <c r="C14" s="102">
        <v>0.1</v>
      </c>
      <c r="D14" s="103">
        <v>0.08</v>
      </c>
    </row>
    <row r="15" spans="2:11" x14ac:dyDescent="0.35">
      <c r="B15" s="23" t="s">
        <v>134</v>
      </c>
      <c r="C15" s="102">
        <v>0</v>
      </c>
      <c r="D15" s="103">
        <f>26%+10%</f>
        <v>0.36</v>
      </c>
    </row>
    <row r="16" spans="2:11" x14ac:dyDescent="0.35">
      <c r="B16" s="23" t="s">
        <v>131</v>
      </c>
      <c r="C16" s="102">
        <v>0</v>
      </c>
      <c r="D16" s="103">
        <v>0.09</v>
      </c>
    </row>
    <row r="17" spans="2:5" x14ac:dyDescent="0.35">
      <c r="B17" s="23" t="s">
        <v>135</v>
      </c>
      <c r="C17" s="116">
        <f>100%-SUM(C12:C16)</f>
        <v>7.999999999999996E-2</v>
      </c>
      <c r="D17" s="103">
        <v>0.12</v>
      </c>
    </row>
    <row r="18" spans="2:5" x14ac:dyDescent="0.35">
      <c r="B18" s="296" t="s">
        <v>136</v>
      </c>
      <c r="C18" s="297"/>
      <c r="D18" s="298"/>
    </row>
    <row r="19" spans="2:5" x14ac:dyDescent="0.35">
      <c r="B19" s="23" t="s">
        <v>118</v>
      </c>
      <c r="C19" s="116">
        <f>$G$5</f>
        <v>0.98199999999999998</v>
      </c>
      <c r="D19" s="72">
        <f>C19</f>
        <v>0.98199999999999998</v>
      </c>
      <c r="E19" s="8"/>
    </row>
    <row r="20" spans="2:5" x14ac:dyDescent="0.35">
      <c r="B20" s="23" t="s">
        <v>132</v>
      </c>
      <c r="C20" s="116">
        <f>$G$6</f>
        <v>0.84499999999999997</v>
      </c>
      <c r="D20" s="72">
        <f>AVERAGE($G$6:$G$7)</f>
        <v>0.77649999999999997</v>
      </c>
    </row>
    <row r="21" spans="2:5" x14ac:dyDescent="0.35">
      <c r="B21" s="23" t="s">
        <v>133</v>
      </c>
      <c r="C21" s="116">
        <f>$G$8</f>
        <v>0.54800000000000004</v>
      </c>
      <c r="D21" s="72">
        <f>AVERAGE($G$8:$G$9)</f>
        <v>0.42300000000000004</v>
      </c>
    </row>
    <row r="22" spans="2:5" x14ac:dyDescent="0.35">
      <c r="B22" s="23" t="s">
        <v>134</v>
      </c>
      <c r="C22" s="116">
        <f>G11</f>
        <v>0.55300000000000005</v>
      </c>
      <c r="D22" s="72">
        <f>G11</f>
        <v>0.55300000000000005</v>
      </c>
    </row>
    <row r="23" spans="2:5" x14ac:dyDescent="0.35">
      <c r="B23" s="23" t="s">
        <v>137</v>
      </c>
      <c r="C23" s="116">
        <f>G12</f>
        <v>0.35299999999999998</v>
      </c>
      <c r="D23" s="72">
        <f>C23</f>
        <v>0.35299999999999998</v>
      </c>
    </row>
    <row r="24" spans="2:5" x14ac:dyDescent="0.35">
      <c r="B24" s="120" t="s">
        <v>135</v>
      </c>
      <c r="C24" s="219">
        <v>0.4</v>
      </c>
      <c r="D24" s="72">
        <f>C24</f>
        <v>0.4</v>
      </c>
    </row>
    <row r="25" spans="2:5" x14ac:dyDescent="0.35">
      <c r="B25" s="13" t="s">
        <v>138</v>
      </c>
      <c r="C25" s="118">
        <f>1/C26</f>
        <v>1.2390038409119069</v>
      </c>
      <c r="D25" s="119">
        <f>1/D26</f>
        <v>1.6814070013787537</v>
      </c>
    </row>
    <row r="26" spans="2:5" x14ac:dyDescent="0.35">
      <c r="B26" s="139" t="s">
        <v>139</v>
      </c>
      <c r="C26" s="140">
        <f>SUMPRODUCT(C12:C17,C19:C24)</f>
        <v>0.80710000000000004</v>
      </c>
      <c r="D26" s="141">
        <f>SUMPRODUCT(D12:D17,D19:D24)</f>
        <v>0.59474000000000005</v>
      </c>
    </row>
    <row r="27" spans="2:5" x14ac:dyDescent="0.35">
      <c r="B27" s="317" t="s">
        <v>140</v>
      </c>
      <c r="C27" s="318"/>
      <c r="D27" s="319"/>
    </row>
    <row r="28" spans="2:5" x14ac:dyDescent="0.35">
      <c r="B28" s="120" t="s">
        <v>118</v>
      </c>
      <c r="C28" s="104">
        <f>$K$5</f>
        <v>0.82699999999999996</v>
      </c>
      <c r="D28" s="105">
        <f>C28</f>
        <v>0.82699999999999996</v>
      </c>
    </row>
    <row r="29" spans="2:5" x14ac:dyDescent="0.35">
      <c r="B29" s="23" t="s">
        <v>132</v>
      </c>
      <c r="C29" s="104">
        <f>$K$6</f>
        <v>0.69599999999999995</v>
      </c>
      <c r="D29" s="105">
        <f>AVERAGE($K$6:$K$7)</f>
        <v>0.66649999999999998</v>
      </c>
      <c r="E29" s="8"/>
    </row>
    <row r="30" spans="2:5" x14ac:dyDescent="0.35">
      <c r="B30" s="23" t="s">
        <v>133</v>
      </c>
      <c r="C30" s="104">
        <f>$K$8</f>
        <v>0.56499999999999995</v>
      </c>
      <c r="D30" s="105">
        <f>AVERAGE($K$8:$K$9)</f>
        <v>0.45199999999999996</v>
      </c>
    </row>
    <row r="31" spans="2:5" x14ac:dyDescent="0.35">
      <c r="B31" s="23" t="s">
        <v>134</v>
      </c>
      <c r="C31" s="104">
        <f>K11</f>
        <v>0.51800000000000002</v>
      </c>
      <c r="D31" s="105">
        <f>C31</f>
        <v>0.51800000000000002</v>
      </c>
    </row>
    <row r="32" spans="2:5" x14ac:dyDescent="0.35">
      <c r="B32" s="23" t="s">
        <v>137</v>
      </c>
      <c r="C32" s="104">
        <f>K12</f>
        <v>0.38900000000000001</v>
      </c>
      <c r="D32" s="105">
        <f>C32</f>
        <v>0.38900000000000001</v>
      </c>
    </row>
    <row r="33" spans="2:4" x14ac:dyDescent="0.35">
      <c r="B33" s="120" t="s">
        <v>135</v>
      </c>
      <c r="C33" s="104">
        <f>C34</f>
        <v>0.65341999999999989</v>
      </c>
      <c r="D33" s="105">
        <f>D34</f>
        <v>0.49895</v>
      </c>
    </row>
    <row r="34" spans="2:4" x14ac:dyDescent="0.35">
      <c r="B34" s="142" t="s">
        <v>141</v>
      </c>
      <c r="C34" s="143">
        <f>SUMPRODUCT(C12:C16,C28:C32)</f>
        <v>0.65341999999999989</v>
      </c>
      <c r="D34" s="144">
        <f>SUMPRODUCT(D12:D16,D28:D32)</f>
        <v>0.49895</v>
      </c>
    </row>
  </sheetData>
  <mergeCells count="10">
    <mergeCell ref="B27:D27"/>
    <mergeCell ref="J3:K3"/>
    <mergeCell ref="F2:K2"/>
    <mergeCell ref="F3:F4"/>
    <mergeCell ref="G3:I3"/>
    <mergeCell ref="B2:D2"/>
    <mergeCell ref="B18:D18"/>
    <mergeCell ref="B4:D4"/>
    <mergeCell ref="B11:D11"/>
    <mergeCell ref="B8:D8"/>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D9FD9-8A5A-4AB7-BC72-3D9F2CE7C97A}">
  <dimension ref="B1:G38"/>
  <sheetViews>
    <sheetView workbookViewId="0"/>
  </sheetViews>
  <sheetFormatPr baseColWidth="10" defaultColWidth="11.453125" defaultRowHeight="14.5" x14ac:dyDescent="0.35"/>
  <cols>
    <col min="2" max="2" width="33.7265625" customWidth="1"/>
    <col min="3" max="8" width="15.54296875" customWidth="1"/>
    <col min="9" max="9" width="30.54296875" customWidth="1"/>
    <col min="10" max="20" width="15.54296875" customWidth="1"/>
  </cols>
  <sheetData>
    <row r="1" spans="2:7" s="8" customFormat="1" ht="15" customHeight="1" x14ac:dyDescent="0.35"/>
    <row r="2" spans="2:7" s="8" customFormat="1" ht="15" customHeight="1" x14ac:dyDescent="0.35">
      <c r="C2" s="9"/>
      <c r="D2" s="10" t="s">
        <v>0</v>
      </c>
    </row>
    <row r="4" spans="2:7" x14ac:dyDescent="0.35">
      <c r="B4" s="299" t="s">
        <v>142</v>
      </c>
      <c r="C4" s="300"/>
      <c r="D4" s="300"/>
      <c r="E4" s="300"/>
      <c r="F4" s="300"/>
      <c r="G4" s="301"/>
    </row>
    <row r="5" spans="2:7" x14ac:dyDescent="0.35">
      <c r="B5" s="26"/>
      <c r="C5" s="61">
        <v>2021</v>
      </c>
      <c r="D5" s="331">
        <v>2030</v>
      </c>
      <c r="E5" s="332"/>
      <c r="F5" s="333">
        <v>2050</v>
      </c>
      <c r="G5" s="332"/>
    </row>
    <row r="6" spans="2:7" ht="20.5" x14ac:dyDescent="0.35">
      <c r="B6" s="68"/>
      <c r="C6" s="69" t="s">
        <v>143</v>
      </c>
      <c r="D6" s="70" t="s">
        <v>143</v>
      </c>
      <c r="E6" s="80" t="s">
        <v>144</v>
      </c>
      <c r="F6" s="70" t="s">
        <v>143</v>
      </c>
      <c r="G6" s="80" t="s">
        <v>145</v>
      </c>
    </row>
    <row r="7" spans="2:7" x14ac:dyDescent="0.35">
      <c r="B7" s="39" t="s">
        <v>146</v>
      </c>
      <c r="C7" s="67">
        <f>SUM(C8:C9)</f>
        <v>395000</v>
      </c>
      <c r="D7" s="51">
        <f t="shared" ref="D7:F7" si="0">SUM(D8:D9)</f>
        <v>395000</v>
      </c>
      <c r="E7" s="45">
        <f>(D7-C7)/C7</f>
        <v>0</v>
      </c>
      <c r="F7" s="55">
        <f t="shared" si="0"/>
        <v>250000</v>
      </c>
      <c r="G7" s="45">
        <f>(F7-C7)/C7</f>
        <v>-0.36708860759493672</v>
      </c>
    </row>
    <row r="8" spans="2:7" x14ac:dyDescent="0.35">
      <c r="B8" s="23" t="s">
        <v>147</v>
      </c>
      <c r="C8" s="62">
        <v>145000</v>
      </c>
      <c r="D8" s="52">
        <v>145000</v>
      </c>
      <c r="E8" s="58">
        <f t="shared" ref="E8:E9" si="1">(D8-C8)/C8</f>
        <v>0</v>
      </c>
      <c r="F8" s="56">
        <v>62500</v>
      </c>
      <c r="G8" s="46">
        <f t="shared" ref="G8:G9" si="2">(F8-C8)/C8</f>
        <v>-0.56896551724137934</v>
      </c>
    </row>
    <row r="9" spans="2:7" x14ac:dyDescent="0.35">
      <c r="B9" s="23" t="s">
        <v>148</v>
      </c>
      <c r="C9" s="63">
        <v>250000</v>
      </c>
      <c r="D9" s="53">
        <v>250000</v>
      </c>
      <c r="E9" s="59">
        <f t="shared" si="1"/>
        <v>0</v>
      </c>
      <c r="F9" s="57">
        <v>187500</v>
      </c>
      <c r="G9" s="46">
        <f t="shared" si="2"/>
        <v>-0.25</v>
      </c>
    </row>
    <row r="10" spans="2:7" x14ac:dyDescent="0.35">
      <c r="B10" s="15" t="s">
        <v>149</v>
      </c>
      <c r="C10" s="64"/>
      <c r="D10" s="54"/>
      <c r="E10" s="48"/>
      <c r="F10" s="47"/>
      <c r="G10" s="48"/>
    </row>
    <row r="11" spans="2:7" x14ac:dyDescent="0.35">
      <c r="B11" s="23" t="s">
        <v>38</v>
      </c>
      <c r="C11" s="65">
        <v>116</v>
      </c>
      <c r="D11" s="265">
        <f>C11</f>
        <v>116</v>
      </c>
      <c r="E11" s="49"/>
      <c r="F11" s="267">
        <f>D11</f>
        <v>116</v>
      </c>
      <c r="G11" s="49"/>
    </row>
    <row r="12" spans="2:7" x14ac:dyDescent="0.35">
      <c r="B12" s="60" t="s">
        <v>40</v>
      </c>
      <c r="C12" s="66">
        <v>71.599999999999994</v>
      </c>
      <c r="D12" s="266">
        <f>C12</f>
        <v>71.599999999999994</v>
      </c>
      <c r="E12" s="50"/>
      <c r="F12" s="268">
        <f>D12</f>
        <v>71.599999999999994</v>
      </c>
      <c r="G12" s="50"/>
    </row>
    <row r="13" spans="2:7" x14ac:dyDescent="0.35">
      <c r="C13" s="249"/>
    </row>
    <row r="15" spans="2:7" ht="14.5" customHeight="1" x14ac:dyDescent="0.35">
      <c r="B15" s="299" t="s">
        <v>150</v>
      </c>
      <c r="C15" s="300"/>
      <c r="D15" s="300"/>
      <c r="E15" s="300"/>
      <c r="F15" s="300"/>
      <c r="G15" s="301"/>
    </row>
    <row r="16" spans="2:7" x14ac:dyDescent="0.35">
      <c r="B16" s="26"/>
      <c r="C16" s="87">
        <v>2021</v>
      </c>
      <c r="D16" s="328">
        <v>2030</v>
      </c>
      <c r="E16" s="329"/>
      <c r="F16" s="330">
        <v>2050</v>
      </c>
      <c r="G16" s="329"/>
    </row>
    <row r="17" spans="2:7" ht="20.5" x14ac:dyDescent="0.35">
      <c r="B17" s="11"/>
      <c r="C17" s="88" t="s">
        <v>151</v>
      </c>
      <c r="D17" s="84" t="s">
        <v>151</v>
      </c>
      <c r="E17" s="44" t="s">
        <v>144</v>
      </c>
      <c r="F17" s="7" t="s">
        <v>151</v>
      </c>
      <c r="G17" s="44" t="s">
        <v>145</v>
      </c>
    </row>
    <row r="18" spans="2:7" x14ac:dyDescent="0.35">
      <c r="B18" s="90" t="s">
        <v>152</v>
      </c>
      <c r="C18" s="91">
        <f>SUM(C19:C20)</f>
        <v>373825.09887460491</v>
      </c>
      <c r="D18" s="92">
        <f t="shared" ref="D18:F18" si="3">SUM(D19:D20)</f>
        <v>948698.29250864335</v>
      </c>
      <c r="E18" s="93">
        <f>(D18-C18)/C18</f>
        <v>1.5378132591008093</v>
      </c>
      <c r="F18" s="94">
        <f t="shared" si="3"/>
        <v>1058112.0023090243</v>
      </c>
      <c r="G18" s="93">
        <f>(F18-C18)/C18</f>
        <v>1.8305001603542814</v>
      </c>
    </row>
    <row r="19" spans="2:7" ht="14.5" customHeight="1" x14ac:dyDescent="0.35">
      <c r="B19" s="23" t="s">
        <v>153</v>
      </c>
      <c r="C19" s="62">
        <v>232828.16609618312</v>
      </c>
      <c r="D19" s="85">
        <v>572599.3643162247</v>
      </c>
      <c r="E19" s="35">
        <f t="shared" ref="E19:E20" si="4">(D19-C19)/C19</f>
        <v>1.4593217131628287</v>
      </c>
      <c r="F19" s="82">
        <v>614500.41359911673</v>
      </c>
      <c r="G19" s="35">
        <f t="shared" ref="G19:G20" si="5">(F19-C19)/C19</f>
        <v>1.6392872645196279</v>
      </c>
    </row>
    <row r="20" spans="2:7" x14ac:dyDescent="0.35">
      <c r="B20" s="60" t="s">
        <v>154</v>
      </c>
      <c r="C20" s="89">
        <v>140996.93277842176</v>
      </c>
      <c r="D20" s="86">
        <v>376098.92819241865</v>
      </c>
      <c r="E20" s="81">
        <f t="shared" si="4"/>
        <v>1.667426310496146</v>
      </c>
      <c r="F20" s="83">
        <v>443611.58870990749</v>
      </c>
      <c r="G20" s="81">
        <f t="shared" si="5"/>
        <v>2.1462499216706221</v>
      </c>
    </row>
    <row r="23" spans="2:7" ht="14.5" customHeight="1" x14ac:dyDescent="0.35">
      <c r="B23" s="299" t="s">
        <v>155</v>
      </c>
      <c r="C23" s="300"/>
      <c r="D23" s="301"/>
    </row>
    <row r="24" spans="2:7" x14ac:dyDescent="0.35">
      <c r="B24" s="257"/>
      <c r="C24" s="247" t="s">
        <v>156</v>
      </c>
      <c r="D24" s="87" t="s">
        <v>157</v>
      </c>
    </row>
    <row r="25" spans="2:7" x14ac:dyDescent="0.35">
      <c r="B25" s="258"/>
      <c r="C25" s="250"/>
      <c r="D25" s="69"/>
    </row>
    <row r="26" spans="2:7" x14ac:dyDescent="0.35">
      <c r="B26" s="259" t="s">
        <v>158</v>
      </c>
      <c r="C26" s="253">
        <v>138.14295239661186</v>
      </c>
      <c r="D26" s="261">
        <v>138.14295239661186</v>
      </c>
    </row>
    <row r="27" spans="2:7" x14ac:dyDescent="0.35">
      <c r="B27" s="259" t="s">
        <v>159</v>
      </c>
      <c r="C27" s="253">
        <v>445.75287717496673</v>
      </c>
      <c r="D27" s="261">
        <v>445.75287717496673</v>
      </c>
    </row>
    <row r="28" spans="2:7" x14ac:dyDescent="0.35">
      <c r="B28" s="259" t="s">
        <v>160</v>
      </c>
      <c r="C28" s="253">
        <v>566.28568287070902</v>
      </c>
      <c r="D28" s="261">
        <v>566.28568287070902</v>
      </c>
    </row>
    <row r="29" spans="2:7" x14ac:dyDescent="0.35">
      <c r="B29" s="259" t="s">
        <v>161</v>
      </c>
      <c r="C29" s="255">
        <f>SUM(C26:C28)</f>
        <v>1150.1815124422876</v>
      </c>
      <c r="D29" s="262">
        <f>SUM(D26:D28)</f>
        <v>1150.1815124422876</v>
      </c>
    </row>
    <row r="30" spans="2:7" x14ac:dyDescent="0.35">
      <c r="B30" s="259" t="s">
        <v>162</v>
      </c>
      <c r="C30" s="326">
        <v>2500</v>
      </c>
      <c r="D30" s="327"/>
    </row>
    <row r="31" spans="2:7" x14ac:dyDescent="0.35">
      <c r="B31" s="260" t="s">
        <v>163</v>
      </c>
      <c r="C31" s="256">
        <f>C29/C30</f>
        <v>0.46007260497691504</v>
      </c>
      <c r="D31" s="251">
        <f>D29/C30</f>
        <v>0.46007260497691504</v>
      </c>
    </row>
    <row r="33" spans="2:4" ht="14.5" customHeight="1" x14ac:dyDescent="0.35">
      <c r="B33" s="299" t="s">
        <v>164</v>
      </c>
      <c r="C33" s="300"/>
      <c r="D33" s="301"/>
    </row>
    <row r="34" spans="2:4" x14ac:dyDescent="0.35">
      <c r="B34" s="257"/>
      <c r="C34" s="246" t="s">
        <v>156</v>
      </c>
      <c r="D34" s="87" t="s">
        <v>157</v>
      </c>
    </row>
    <row r="35" spans="2:4" x14ac:dyDescent="0.35">
      <c r="B35" s="258"/>
      <c r="C35" s="80"/>
      <c r="D35" s="69"/>
    </row>
    <row r="36" spans="2:4" x14ac:dyDescent="0.35">
      <c r="B36" s="259" t="s">
        <v>165</v>
      </c>
      <c r="C36" s="253">
        <v>1.6286999999999998</v>
      </c>
      <c r="D36" s="261">
        <f>C36</f>
        <v>1.6286999999999998</v>
      </c>
    </row>
    <row r="37" spans="2:4" x14ac:dyDescent="0.35">
      <c r="B37" s="259" t="s">
        <v>162</v>
      </c>
      <c r="C37" s="326">
        <v>2500</v>
      </c>
      <c r="D37" s="327"/>
    </row>
    <row r="38" spans="2:4" x14ac:dyDescent="0.35">
      <c r="B38" s="260" t="s">
        <v>166</v>
      </c>
      <c r="C38" s="254">
        <f>C36/C37</f>
        <v>6.5147999999999996E-4</v>
      </c>
      <c r="D38" s="252">
        <f>D36/C37</f>
        <v>6.5147999999999996E-4</v>
      </c>
    </row>
  </sheetData>
  <mergeCells count="10">
    <mergeCell ref="B23:D23"/>
    <mergeCell ref="B33:D33"/>
    <mergeCell ref="C30:D30"/>
    <mergeCell ref="C37:D37"/>
    <mergeCell ref="B4:G4"/>
    <mergeCell ref="B15:G15"/>
    <mergeCell ref="D16:E16"/>
    <mergeCell ref="F16:G16"/>
    <mergeCell ref="D5:E5"/>
    <mergeCell ref="F5:G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45B6F-E83F-4F98-8B6C-3898CDF212B8}">
  <dimension ref="B3:K31"/>
  <sheetViews>
    <sheetView workbookViewId="0">
      <selection activeCell="C36" sqref="C36"/>
    </sheetView>
  </sheetViews>
  <sheetFormatPr baseColWidth="10" defaultColWidth="11.453125" defaultRowHeight="14.5" x14ac:dyDescent="0.35"/>
  <cols>
    <col min="1" max="1" width="4.453125" customWidth="1"/>
    <col min="2" max="2" width="35.81640625" customWidth="1"/>
    <col min="3" max="11" width="15.54296875" customWidth="1"/>
  </cols>
  <sheetData>
    <row r="3" spans="2:11" ht="14.5" customHeight="1" x14ac:dyDescent="0.35">
      <c r="B3" s="299" t="s">
        <v>167</v>
      </c>
      <c r="C3" s="300"/>
      <c r="D3" s="300"/>
      <c r="E3" s="300"/>
      <c r="F3" s="300"/>
      <c r="G3" s="300"/>
      <c r="H3" s="300"/>
      <c r="I3" s="300"/>
      <c r="J3" s="300"/>
      <c r="K3" s="301"/>
    </row>
    <row r="4" spans="2:11" x14ac:dyDescent="0.35">
      <c r="B4" s="11"/>
      <c r="C4" s="354">
        <v>2018</v>
      </c>
      <c r="D4" s="333"/>
      <c r="E4" s="333"/>
      <c r="F4" s="331">
        <v>2030</v>
      </c>
      <c r="G4" s="333"/>
      <c r="H4" s="332"/>
      <c r="I4" s="328">
        <v>2050</v>
      </c>
      <c r="J4" s="330"/>
      <c r="K4" s="329"/>
    </row>
    <row r="5" spans="2:11" ht="46" customHeight="1" x14ac:dyDescent="0.35">
      <c r="B5" s="11"/>
      <c r="C5" s="188" t="s">
        <v>168</v>
      </c>
      <c r="D5" s="202" t="s">
        <v>169</v>
      </c>
      <c r="E5" s="181" t="s">
        <v>170</v>
      </c>
      <c r="F5" s="201" t="s">
        <v>169</v>
      </c>
      <c r="G5" s="202" t="s">
        <v>170</v>
      </c>
      <c r="H5" s="181" t="s">
        <v>171</v>
      </c>
      <c r="I5" s="189" t="s">
        <v>169</v>
      </c>
      <c r="J5" s="202" t="s">
        <v>169</v>
      </c>
      <c r="K5" s="187" t="s">
        <v>172</v>
      </c>
    </row>
    <row r="6" spans="2:11" x14ac:dyDescent="0.35">
      <c r="B6" s="15" t="s">
        <v>173</v>
      </c>
      <c r="C6" s="1"/>
      <c r="D6" s="1"/>
      <c r="E6" s="1"/>
      <c r="F6" s="1"/>
      <c r="G6" s="1"/>
      <c r="H6" s="1"/>
      <c r="I6" s="1"/>
      <c r="J6" s="1"/>
      <c r="K6" s="16"/>
    </row>
    <row r="7" spans="2:11" x14ac:dyDescent="0.35">
      <c r="B7" s="182" t="s">
        <v>174</v>
      </c>
      <c r="C7" s="240">
        <v>0.4</v>
      </c>
      <c r="D7" s="192">
        <f>C7*$D$10</f>
        <v>21.347368870928861</v>
      </c>
      <c r="E7" s="102">
        <v>1</v>
      </c>
      <c r="F7" s="197">
        <f>D7*(1+H7)</f>
        <v>21.347368870928861</v>
      </c>
      <c r="G7" s="123">
        <v>1</v>
      </c>
      <c r="H7" s="196">
        <f>G7/E7-1</f>
        <v>0</v>
      </c>
      <c r="I7" s="341"/>
      <c r="J7" s="342"/>
      <c r="K7" s="343"/>
    </row>
    <row r="8" spans="2:11" x14ac:dyDescent="0.35">
      <c r="B8" s="121" t="s">
        <v>175</v>
      </c>
      <c r="C8" s="241">
        <v>0.3</v>
      </c>
      <c r="D8" s="193">
        <f t="shared" ref="D8:D9" si="0">C8*$D$10</f>
        <v>16.010526653196642</v>
      </c>
      <c r="E8" s="242">
        <v>0.85</v>
      </c>
      <c r="F8" s="198">
        <f>D8*(1+H8)</f>
        <v>9.4179568548215542</v>
      </c>
      <c r="G8" s="243">
        <v>0.5</v>
      </c>
      <c r="H8" s="196">
        <f>G8/E8-1</f>
        <v>-0.41176470588235292</v>
      </c>
      <c r="I8" s="344"/>
      <c r="J8" s="345"/>
      <c r="K8" s="346"/>
    </row>
    <row r="9" spans="2:11" x14ac:dyDescent="0.35">
      <c r="B9" s="121" t="s">
        <v>176</v>
      </c>
      <c r="C9" s="241">
        <v>0.3</v>
      </c>
      <c r="D9" s="193">
        <f t="shared" si="0"/>
        <v>16.010526653196642</v>
      </c>
      <c r="E9" s="242">
        <v>0.5</v>
      </c>
      <c r="F9" s="198">
        <f>D9*(1+H9)</f>
        <v>6.4042106612786576</v>
      </c>
      <c r="G9" s="243">
        <v>0.2</v>
      </c>
      <c r="H9" s="196">
        <f>G9/E9-1</f>
        <v>-0.6</v>
      </c>
      <c r="I9" s="344"/>
      <c r="J9" s="345"/>
      <c r="K9" s="346"/>
    </row>
    <row r="10" spans="2:11" x14ac:dyDescent="0.35">
      <c r="B10" s="183" t="s">
        <v>177</v>
      </c>
      <c r="C10" s="233"/>
      <c r="D10" s="234">
        <f>Logement!C31*Logement!C11</f>
        <v>53.368422177322145</v>
      </c>
      <c r="E10" s="208">
        <f>D10/(D7/E7+D8/E8+D9/E9)</f>
        <v>0.73913043478260876</v>
      </c>
      <c r="F10" s="199">
        <f>SUM(F7:F9)</f>
        <v>37.169536387029069</v>
      </c>
      <c r="G10" s="200">
        <f>F10/(F7/G7+F8/G8+F9/G9)</f>
        <v>0.51478260869565218</v>
      </c>
      <c r="H10" s="186">
        <f>SUMPRODUCT(C7:C9,H7:H9)</f>
        <v>-0.30352941176470588</v>
      </c>
      <c r="I10" s="355"/>
      <c r="J10" s="356"/>
      <c r="K10" s="357"/>
    </row>
    <row r="11" spans="2:11" x14ac:dyDescent="0.35">
      <c r="B11" s="15" t="s">
        <v>178</v>
      </c>
      <c r="C11" s="1"/>
      <c r="D11" s="1"/>
      <c r="E11" s="1"/>
      <c r="F11" s="1"/>
      <c r="G11" s="1"/>
      <c r="H11" s="1"/>
      <c r="I11" s="1"/>
      <c r="J11" s="1"/>
      <c r="K11" s="16"/>
    </row>
    <row r="12" spans="2:11" x14ac:dyDescent="0.35">
      <c r="B12" s="182" t="s">
        <v>174</v>
      </c>
      <c r="C12" s="240">
        <v>0.42</v>
      </c>
      <c r="D12" s="192">
        <f>C12*$D$15</f>
        <v>13.835303376865788</v>
      </c>
      <c r="E12" s="102">
        <v>1</v>
      </c>
      <c r="F12" s="203">
        <f>D12*(1+H12)</f>
        <v>13.835303376865788</v>
      </c>
      <c r="G12" s="123">
        <v>1</v>
      </c>
      <c r="H12" s="196">
        <f>G12/E12-1</f>
        <v>0</v>
      </c>
      <c r="I12" s="341"/>
      <c r="J12" s="342"/>
      <c r="K12" s="343"/>
    </row>
    <row r="13" spans="2:11" x14ac:dyDescent="0.35">
      <c r="B13" s="121" t="s">
        <v>175</v>
      </c>
      <c r="C13" s="241">
        <v>0.39</v>
      </c>
      <c r="D13" s="193">
        <f>C13*$D$15</f>
        <v>12.847067421375375</v>
      </c>
      <c r="E13" s="102">
        <v>0.85</v>
      </c>
      <c r="F13" s="204">
        <f>D13*(1+H13)</f>
        <v>8.312808331478184</v>
      </c>
      <c r="G13" s="123">
        <v>0.55000000000000004</v>
      </c>
      <c r="H13" s="196">
        <f t="shared" ref="H13:H14" si="1">G13/E13-1</f>
        <v>-0.3529411764705882</v>
      </c>
      <c r="I13" s="344"/>
      <c r="J13" s="345"/>
      <c r="K13" s="346"/>
    </row>
    <row r="14" spans="2:11" x14ac:dyDescent="0.35">
      <c r="B14" s="121" t="s">
        <v>176</v>
      </c>
      <c r="C14" s="241">
        <v>0.19</v>
      </c>
      <c r="D14" s="193">
        <f>C14*$D$15</f>
        <v>6.2588277181059517</v>
      </c>
      <c r="E14" s="102">
        <v>0.5</v>
      </c>
      <c r="F14" s="204">
        <f>D14*(1+H14)</f>
        <v>4.1308262939499283</v>
      </c>
      <c r="G14" s="123">
        <v>0.33</v>
      </c>
      <c r="H14" s="196">
        <f t="shared" si="1"/>
        <v>-0.33999999999999997</v>
      </c>
      <c r="I14" s="344"/>
      <c r="J14" s="345"/>
      <c r="K14" s="346"/>
    </row>
    <row r="15" spans="2:11" x14ac:dyDescent="0.35">
      <c r="B15" s="184" t="s">
        <v>177</v>
      </c>
      <c r="C15" s="211"/>
      <c r="D15" s="235">
        <f>Logement!D31*Logement!C12</f>
        <v>32.941198516347114</v>
      </c>
      <c r="E15" s="209">
        <f>D15/(D12/E12+D13/E13+D14/E14)</f>
        <v>0.79439252336448596</v>
      </c>
      <c r="F15" s="205">
        <f>SUM(F12:F14)</f>
        <v>26.278938002293899</v>
      </c>
      <c r="G15" s="206">
        <f>F15/(F12/G12+F13/G13+F14/G14)</f>
        <v>0.63372897196261679</v>
      </c>
      <c r="H15" s="207">
        <f>SUMPRODUCT(C12:C14,H12:H14)</f>
        <v>-0.20224705882352939</v>
      </c>
      <c r="I15" s="347"/>
      <c r="J15" s="348"/>
      <c r="K15" s="349"/>
    </row>
    <row r="16" spans="2:11" x14ac:dyDescent="0.35">
      <c r="F16" s="110"/>
    </row>
    <row r="17" spans="2:9" x14ac:dyDescent="0.35">
      <c r="B17" s="299" t="s">
        <v>179</v>
      </c>
      <c r="C17" s="300"/>
      <c r="D17" s="300"/>
      <c r="E17" s="300"/>
      <c r="F17" s="300"/>
      <c r="G17" s="300"/>
      <c r="H17" s="301"/>
    </row>
    <row r="18" spans="2:9" x14ac:dyDescent="0.35">
      <c r="B18" s="120"/>
      <c r="C18" s="336">
        <v>2018</v>
      </c>
      <c r="D18" s="321"/>
      <c r="E18" s="336">
        <v>2030</v>
      </c>
      <c r="F18" s="321"/>
      <c r="G18" s="324">
        <v>2050</v>
      </c>
      <c r="H18" s="321"/>
    </row>
    <row r="19" spans="2:9" ht="20.5" x14ac:dyDescent="0.35">
      <c r="B19" s="120"/>
      <c r="C19" s="337" t="s">
        <v>180</v>
      </c>
      <c r="D19" s="338"/>
      <c r="E19" s="195" t="s">
        <v>180</v>
      </c>
      <c r="F19" s="191" t="s">
        <v>181</v>
      </c>
      <c r="G19" s="195" t="s">
        <v>180</v>
      </c>
      <c r="H19" s="191" t="s">
        <v>182</v>
      </c>
    </row>
    <row r="20" spans="2:9" x14ac:dyDescent="0.35">
      <c r="B20" s="15" t="s">
        <v>173</v>
      </c>
      <c r="C20" s="1"/>
      <c r="D20" s="1"/>
      <c r="E20" s="1"/>
      <c r="F20" s="1"/>
      <c r="G20" s="1"/>
      <c r="H20" s="16"/>
    </row>
    <row r="21" spans="2:9" x14ac:dyDescent="0.35">
      <c r="B21" s="120" t="s">
        <v>183</v>
      </c>
      <c r="C21" s="339">
        <f>E10-C22</f>
        <v>0.58913043478260874</v>
      </c>
      <c r="D21" s="340"/>
      <c r="E21" s="210">
        <f>G10-E22</f>
        <v>0.45478260869565218</v>
      </c>
      <c r="F21" s="58">
        <f>E21/C21-1</f>
        <v>-0.22804428044280445</v>
      </c>
      <c r="G21" s="196">
        <f>E21-(G24-E24)</f>
        <v>0.35478260869565215</v>
      </c>
      <c r="H21" s="58">
        <f>G21/C21-1</f>
        <v>-0.39778597785977865</v>
      </c>
      <c r="I21" s="155"/>
    </row>
    <row r="22" spans="2:9" x14ac:dyDescent="0.35">
      <c r="B22" s="120" t="s">
        <v>184</v>
      </c>
      <c r="C22" s="339">
        <f>E9*C9</f>
        <v>0.15</v>
      </c>
      <c r="D22" s="340"/>
      <c r="E22" s="210">
        <f>G9*C9</f>
        <v>0.06</v>
      </c>
      <c r="F22" s="58">
        <f t="shared" ref="F22:F25" si="2">E22/C22-1</f>
        <v>-0.6</v>
      </c>
      <c r="G22" s="237">
        <f>E22</f>
        <v>0.06</v>
      </c>
      <c r="H22" s="58">
        <f t="shared" ref="H22:H31" si="3">G22/C22-1</f>
        <v>-0.6</v>
      </c>
      <c r="I22" s="155"/>
    </row>
    <row r="23" spans="2:9" x14ac:dyDescent="0.35">
      <c r="B23" s="212" t="s">
        <v>185</v>
      </c>
      <c r="C23" s="350">
        <f>SUM(C21:D22)</f>
        <v>0.73913043478260876</v>
      </c>
      <c r="D23" s="351"/>
      <c r="E23" s="194">
        <f>SUM(E21:E22)</f>
        <v>0.51478260869565218</v>
      </c>
      <c r="F23" s="216">
        <f>(E23-C23)/C23</f>
        <v>-0.30352941176470594</v>
      </c>
      <c r="G23" s="213">
        <f>SUM(G21:G22)</f>
        <v>0.41478260869565214</v>
      </c>
      <c r="H23" s="216">
        <f>(G23-C23)/C23</f>
        <v>-0.43882352941176478</v>
      </c>
    </row>
    <row r="24" spans="2:9" x14ac:dyDescent="0.35">
      <c r="B24" s="120" t="s">
        <v>186</v>
      </c>
      <c r="C24" s="352">
        <v>0.05</v>
      </c>
      <c r="D24" s="353"/>
      <c r="E24" s="238">
        <v>0.23</v>
      </c>
      <c r="F24" s="58">
        <f t="shared" si="2"/>
        <v>3.5999999999999996</v>
      </c>
      <c r="G24" s="237">
        <f>E24+10%</f>
        <v>0.33</v>
      </c>
      <c r="H24" s="58">
        <f t="shared" si="3"/>
        <v>5.6</v>
      </c>
      <c r="I24" s="155"/>
    </row>
    <row r="25" spans="2:9" x14ac:dyDescent="0.35">
      <c r="B25" s="120" t="s">
        <v>187</v>
      </c>
      <c r="C25" s="339">
        <f>100%-C23-C24</f>
        <v>0.21086956521739125</v>
      </c>
      <c r="D25" s="340"/>
      <c r="E25" s="210">
        <f>100%-E23-E24</f>
        <v>0.25521739130434784</v>
      </c>
      <c r="F25" s="58">
        <f t="shared" si="2"/>
        <v>0.21030927835051583</v>
      </c>
      <c r="G25" s="239">
        <f>100%-G23-G24</f>
        <v>0.2552173913043479</v>
      </c>
      <c r="H25" s="58">
        <f t="shared" si="3"/>
        <v>0.21030927835051605</v>
      </c>
      <c r="I25" s="155"/>
    </row>
    <row r="26" spans="2:9" x14ac:dyDescent="0.35">
      <c r="B26" s="15" t="s">
        <v>178</v>
      </c>
      <c r="C26" s="1"/>
      <c r="D26" s="1"/>
      <c r="E26" s="1"/>
      <c r="F26" s="1"/>
      <c r="G26" s="160"/>
      <c r="H26" s="16"/>
    </row>
    <row r="27" spans="2:9" x14ac:dyDescent="0.35">
      <c r="B27" s="120" t="s">
        <v>183</v>
      </c>
      <c r="C27" s="339">
        <f>E15-C28</f>
        <v>0.75439252336448592</v>
      </c>
      <c r="D27" s="340"/>
      <c r="E27" s="210">
        <f>G15-E28</f>
        <v>0.59372897196261676</v>
      </c>
      <c r="F27" s="58">
        <f>E27/C27-1</f>
        <v>-0.21297076313181373</v>
      </c>
      <c r="G27" s="196">
        <f>E27-(G30-E30)</f>
        <v>0.49372897196261673</v>
      </c>
      <c r="H27" s="58">
        <f t="shared" si="3"/>
        <v>-0.34552775024777016</v>
      </c>
    </row>
    <row r="28" spans="2:9" x14ac:dyDescent="0.35">
      <c r="B28" s="120" t="s">
        <v>184</v>
      </c>
      <c r="C28" s="352">
        <v>0.04</v>
      </c>
      <c r="D28" s="353"/>
      <c r="E28" s="238">
        <f>C28</f>
        <v>0.04</v>
      </c>
      <c r="F28" s="58">
        <f t="shared" ref="F28:F31" si="4">E28/C28-1</f>
        <v>0</v>
      </c>
      <c r="G28" s="237">
        <f>E28</f>
        <v>0.04</v>
      </c>
      <c r="H28" s="58">
        <f t="shared" si="3"/>
        <v>0</v>
      </c>
    </row>
    <row r="29" spans="2:9" x14ac:dyDescent="0.35">
      <c r="B29" s="212" t="s">
        <v>185</v>
      </c>
      <c r="C29" s="350">
        <f>SUM(C27:D28)</f>
        <v>0.79439252336448596</v>
      </c>
      <c r="D29" s="351"/>
      <c r="E29" s="194">
        <f>SUM(E27:E28)</f>
        <v>0.63372897196261679</v>
      </c>
      <c r="F29" s="216">
        <f>(E29-C29)/C29</f>
        <v>-0.20224705882352942</v>
      </c>
      <c r="G29" s="213">
        <f>SUM(G27:G28)</f>
        <v>0.53372897196261671</v>
      </c>
      <c r="H29" s="216">
        <f>(G29-C29)/C29</f>
        <v>-0.328129411764706</v>
      </c>
    </row>
    <row r="30" spans="2:9" x14ac:dyDescent="0.35">
      <c r="B30" s="120" t="s">
        <v>186</v>
      </c>
      <c r="C30" s="352">
        <v>0.02</v>
      </c>
      <c r="D30" s="353"/>
      <c r="E30" s="238">
        <v>0.18</v>
      </c>
      <c r="F30" s="58">
        <f t="shared" si="4"/>
        <v>8</v>
      </c>
      <c r="G30" s="237">
        <f>E30+10%</f>
        <v>0.28000000000000003</v>
      </c>
      <c r="H30" s="58">
        <f t="shared" si="3"/>
        <v>13.000000000000002</v>
      </c>
    </row>
    <row r="31" spans="2:9" x14ac:dyDescent="0.35">
      <c r="B31" s="190" t="s">
        <v>187</v>
      </c>
      <c r="C31" s="334">
        <f>100%-C29-C30</f>
        <v>0.18560747663551405</v>
      </c>
      <c r="D31" s="335"/>
      <c r="E31" s="236">
        <f>100%-E29-E30</f>
        <v>0.18627102803738321</v>
      </c>
      <c r="F31" s="185">
        <f t="shared" si="4"/>
        <v>3.5750251762336482E-3</v>
      </c>
      <c r="G31" s="236">
        <f>100%-G29-G30</f>
        <v>0.18627102803738327</v>
      </c>
      <c r="H31" s="185">
        <f t="shared" si="3"/>
        <v>3.5750251762338703E-3</v>
      </c>
    </row>
  </sheetData>
  <mergeCells count="21">
    <mergeCell ref="C23:D23"/>
    <mergeCell ref="C4:E4"/>
    <mergeCell ref="F4:H4"/>
    <mergeCell ref="I4:K4"/>
    <mergeCell ref="I7:K10"/>
    <mergeCell ref="B3:K3"/>
    <mergeCell ref="C31:D31"/>
    <mergeCell ref="B17:H17"/>
    <mergeCell ref="C18:D18"/>
    <mergeCell ref="E18:F18"/>
    <mergeCell ref="G18:H18"/>
    <mergeCell ref="C19:D19"/>
    <mergeCell ref="C21:D21"/>
    <mergeCell ref="C22:D22"/>
    <mergeCell ref="I12:K15"/>
    <mergeCell ref="C29:D29"/>
    <mergeCell ref="C24:D24"/>
    <mergeCell ref="C25:D25"/>
    <mergeCell ref="C27:D27"/>
    <mergeCell ref="C28:D28"/>
    <mergeCell ref="C30:D30"/>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C8AD-1845-4AE1-9298-2014B9FCC026}">
  <dimension ref="B3:D30"/>
  <sheetViews>
    <sheetView zoomScale="85" zoomScaleNormal="85" workbookViewId="0">
      <selection activeCell="C9" sqref="C9"/>
    </sheetView>
  </sheetViews>
  <sheetFormatPr baseColWidth="10" defaultColWidth="11.453125" defaultRowHeight="14.5" x14ac:dyDescent="0.35"/>
  <cols>
    <col min="1" max="1" width="7.453125" customWidth="1"/>
    <col min="2" max="2" width="10.453125" customWidth="1"/>
    <col min="3" max="3" width="76.453125" customWidth="1"/>
    <col min="4" max="4" width="62.54296875" customWidth="1"/>
  </cols>
  <sheetData>
    <row r="3" spans="2:4" x14ac:dyDescent="0.35">
      <c r="B3" s="358" t="s">
        <v>188</v>
      </c>
      <c r="C3" s="359"/>
      <c r="D3" s="360"/>
    </row>
    <row r="4" spans="2:4" x14ac:dyDescent="0.35">
      <c r="B4" s="276" t="s">
        <v>189</v>
      </c>
      <c r="C4" s="277" t="s">
        <v>190</v>
      </c>
      <c r="D4" s="278" t="s">
        <v>191</v>
      </c>
    </row>
    <row r="5" spans="2:4" ht="36" x14ac:dyDescent="0.35">
      <c r="B5" s="279">
        <v>1</v>
      </c>
      <c r="C5" s="280" t="s">
        <v>192</v>
      </c>
      <c r="D5" s="281" t="s">
        <v>193</v>
      </c>
    </row>
    <row r="6" spans="2:4" ht="20" x14ac:dyDescent="0.35">
      <c r="B6" s="279">
        <v>2</v>
      </c>
      <c r="C6" s="280" t="s">
        <v>194</v>
      </c>
      <c r="D6" s="281" t="s">
        <v>195</v>
      </c>
    </row>
    <row r="7" spans="2:4" ht="20" x14ac:dyDescent="0.35">
      <c r="B7" s="279">
        <v>3</v>
      </c>
      <c r="C7" s="280" t="s">
        <v>196</v>
      </c>
      <c r="D7" s="281" t="s">
        <v>197</v>
      </c>
    </row>
    <row r="8" spans="2:4" ht="20" x14ac:dyDescent="0.35">
      <c r="B8" s="279">
        <v>4</v>
      </c>
      <c r="C8" s="280" t="s">
        <v>198</v>
      </c>
      <c r="D8" s="281" t="s">
        <v>199</v>
      </c>
    </row>
    <row r="9" spans="2:4" ht="20" x14ac:dyDescent="0.35">
      <c r="B9" s="279">
        <v>5</v>
      </c>
      <c r="C9" s="280" t="s">
        <v>200</v>
      </c>
      <c r="D9" s="281" t="s">
        <v>201</v>
      </c>
    </row>
    <row r="10" spans="2:4" ht="20" x14ac:dyDescent="0.35">
      <c r="B10" s="279">
        <v>6</v>
      </c>
      <c r="C10" s="280" t="s">
        <v>202</v>
      </c>
      <c r="D10" s="281" t="s">
        <v>203</v>
      </c>
    </row>
    <row r="11" spans="2:4" ht="20" x14ac:dyDescent="0.35">
      <c r="B11" s="279">
        <v>7</v>
      </c>
      <c r="C11" s="280" t="s">
        <v>204</v>
      </c>
      <c r="D11" s="281" t="s">
        <v>205</v>
      </c>
    </row>
    <row r="12" spans="2:4" ht="24" x14ac:dyDescent="0.35">
      <c r="B12" s="279">
        <v>8</v>
      </c>
      <c r="C12" s="280" t="s">
        <v>206</v>
      </c>
      <c r="D12" s="281" t="s">
        <v>207</v>
      </c>
    </row>
    <row r="13" spans="2:4" ht="24" x14ac:dyDescent="0.35">
      <c r="B13" s="279">
        <v>9</v>
      </c>
      <c r="C13" s="280" t="s">
        <v>208</v>
      </c>
      <c r="D13" s="281" t="s">
        <v>209</v>
      </c>
    </row>
    <row r="14" spans="2:4" x14ac:dyDescent="0.35">
      <c r="B14" s="279">
        <v>10</v>
      </c>
      <c r="C14" s="280" t="s">
        <v>210</v>
      </c>
      <c r="D14" s="281" t="s">
        <v>211</v>
      </c>
    </row>
    <row r="15" spans="2:4" ht="24" x14ac:dyDescent="0.35">
      <c r="B15" s="279">
        <v>11</v>
      </c>
      <c r="C15" s="280" t="s">
        <v>212</v>
      </c>
      <c r="D15" s="281" t="s">
        <v>213</v>
      </c>
    </row>
    <row r="16" spans="2:4" ht="24" x14ac:dyDescent="0.35">
      <c r="B16" s="279">
        <v>12</v>
      </c>
      <c r="C16" s="280" t="s">
        <v>214</v>
      </c>
      <c r="D16" s="281" t="s">
        <v>215</v>
      </c>
    </row>
    <row r="17" spans="2:4" ht="24" x14ac:dyDescent="0.35">
      <c r="B17" s="279">
        <v>13</v>
      </c>
      <c r="C17" s="280" t="s">
        <v>216</v>
      </c>
      <c r="D17" s="281" t="s">
        <v>217</v>
      </c>
    </row>
    <row r="18" spans="2:4" ht="24" x14ac:dyDescent="0.35">
      <c r="B18" s="279">
        <v>14</v>
      </c>
      <c r="C18" s="280" t="s">
        <v>218</v>
      </c>
      <c r="D18" s="281" t="s">
        <v>219</v>
      </c>
    </row>
    <row r="19" spans="2:4" ht="24" x14ac:dyDescent="0.35">
      <c r="B19" s="279">
        <v>15</v>
      </c>
      <c r="C19" s="280" t="s">
        <v>220</v>
      </c>
      <c r="D19" s="281" t="s">
        <v>221</v>
      </c>
    </row>
    <row r="20" spans="2:4" ht="24" x14ac:dyDescent="0.35">
      <c r="B20" s="282">
        <v>16</v>
      </c>
      <c r="C20" s="283" t="s">
        <v>222</v>
      </c>
      <c r="D20" s="284" t="s">
        <v>223</v>
      </c>
    </row>
    <row r="21" spans="2:4" x14ac:dyDescent="0.35">
      <c r="B21" s="361" t="s">
        <v>224</v>
      </c>
      <c r="C21" s="362"/>
      <c r="D21" s="363"/>
    </row>
    <row r="22" spans="2:4" x14ac:dyDescent="0.35">
      <c r="B22" s="269" t="s">
        <v>225</v>
      </c>
      <c r="C22" s="270" t="s">
        <v>226</v>
      </c>
      <c r="D22" s="272" t="s">
        <v>227</v>
      </c>
    </row>
    <row r="23" spans="2:4" x14ac:dyDescent="0.35">
      <c r="B23" s="269" t="s">
        <v>228</v>
      </c>
      <c r="C23" s="270" t="s">
        <v>229</v>
      </c>
      <c r="D23" s="248" t="s">
        <v>230</v>
      </c>
    </row>
    <row r="24" spans="2:4" x14ac:dyDescent="0.35">
      <c r="B24" s="269" t="s">
        <v>231</v>
      </c>
      <c r="C24" s="270" t="s">
        <v>232</v>
      </c>
      <c r="D24" s="248" t="s">
        <v>233</v>
      </c>
    </row>
    <row r="25" spans="2:4" x14ac:dyDescent="0.35">
      <c r="B25" s="269" t="s">
        <v>234</v>
      </c>
      <c r="C25" s="270" t="s">
        <v>235</v>
      </c>
      <c r="D25" s="248" t="s">
        <v>236</v>
      </c>
    </row>
    <row r="26" spans="2:4" x14ac:dyDescent="0.35">
      <c r="B26" s="269" t="s">
        <v>237</v>
      </c>
      <c r="C26" s="270" t="s">
        <v>238</v>
      </c>
      <c r="D26" s="248" t="s">
        <v>239</v>
      </c>
    </row>
    <row r="27" spans="2:4" x14ac:dyDescent="0.35">
      <c r="B27" s="269" t="s">
        <v>240</v>
      </c>
      <c r="C27" s="270" t="s">
        <v>241</v>
      </c>
      <c r="D27" s="248" t="s">
        <v>242</v>
      </c>
    </row>
    <row r="28" spans="2:4" x14ac:dyDescent="0.35">
      <c r="B28" s="269" t="s">
        <v>243</v>
      </c>
      <c r="C28" s="270" t="s">
        <v>244</v>
      </c>
      <c r="D28" s="248" t="s">
        <v>245</v>
      </c>
    </row>
    <row r="29" spans="2:4" x14ac:dyDescent="0.35">
      <c r="B29" s="273" t="s">
        <v>246</v>
      </c>
      <c r="C29" s="274" t="s">
        <v>247</v>
      </c>
      <c r="D29" s="275" t="s">
        <v>248</v>
      </c>
    </row>
    <row r="30" spans="2:4" x14ac:dyDescent="0.35">
      <c r="D30" s="272"/>
    </row>
  </sheetData>
  <mergeCells count="2">
    <mergeCell ref="B3:D3"/>
    <mergeCell ref="B21:D21"/>
  </mergeCells>
  <hyperlinks>
    <hyperlink ref="D6" r:id="rId1" xr:uid="{0364C4E7-120B-4938-AAB4-852001695D2F}"/>
    <hyperlink ref="D9" r:id="rId2" xr:uid="{4B0ECAFA-BA32-4D62-8B6B-AFECED6A93D8}"/>
    <hyperlink ref="D11" r:id="rId3" xr:uid="{70FECE6B-523A-4496-BD19-074C49B37082}"/>
    <hyperlink ref="D12" r:id="rId4" xr:uid="{208CC852-07D5-485E-BF56-38A3D8CCE6DE}"/>
    <hyperlink ref="D13" r:id="rId5" xr:uid="{C35F1C77-2CB1-4A90-9CD0-5219BE7408DF}"/>
    <hyperlink ref="D14" r:id="rId6" xr:uid="{AA763625-1939-4989-9EB8-F8C77D363FE6}"/>
    <hyperlink ref="D15" r:id="rId7" xr:uid="{675BE4AB-E05B-4A0D-B5DC-07BF9A9B1E2E}"/>
    <hyperlink ref="D10" r:id="rId8" xr:uid="{7D3FCC43-726E-4B0A-BE6B-E06988936DE5}"/>
    <hyperlink ref="D22" r:id="rId9" xr:uid="{3C6D9990-A598-470F-9ACF-0BF3ECA497EB}"/>
    <hyperlink ref="D23" r:id="rId10" xr:uid="{F5954E21-10A1-4933-B5AF-432A0903CA68}"/>
    <hyperlink ref="D24" r:id="rId11" xr:uid="{D2F3F26E-C4DA-4284-B0A8-48C870D83684}"/>
    <hyperlink ref="D25" r:id="rId12" xr:uid="{5D0B6F03-4F3F-43C7-B5B6-4E0173FDF110}"/>
    <hyperlink ref="D26" r:id="rId13" xr:uid="{372B2555-EF01-4965-AA48-306A9A8DE402}"/>
    <hyperlink ref="D27" r:id="rId14" xr:uid="{7626C961-703D-40C9-A32B-CC74E9F0B895}"/>
    <hyperlink ref="D28" r:id="rId15" xr:uid="{DFD9DB1F-4478-4697-9270-6439D7381439}"/>
    <hyperlink ref="D29" r:id="rId16" xr:uid="{ACD2D1A8-322E-40F5-B0A4-583C57C292D8}"/>
    <hyperlink ref="D17" r:id="rId17" xr:uid="{3F4C429A-F772-41EF-84CF-EB8C7A9FE5B7}"/>
    <hyperlink ref="D8" r:id="rId18" xr:uid="{E3817AA9-2282-4C50-A5A1-39A84E1070A4}"/>
    <hyperlink ref="D7" r:id="rId19" xr:uid="{C7C8722B-C603-44AC-8B15-C630C7D47992}"/>
    <hyperlink ref="D16" r:id="rId20" xr:uid="{E962FA10-DCDB-4D86-9D50-1B49FF534328}"/>
    <hyperlink ref="D18" r:id="rId21" xr:uid="{F05FC603-F824-41DB-8B3E-899E4CC3B879}"/>
    <hyperlink ref="D19" r:id="rId22" xr:uid="{4B41AF57-7347-4FC7-AFCD-DD360F5FC4B3}"/>
    <hyperlink ref="D20" r:id="rId23" xr:uid="{EC71490F-143A-434F-A379-D051AD05E698}"/>
    <hyperlink ref="D5" r:id="rId24" xr:uid="{57C2C0BD-4E3E-4D34-8FAA-91AE841470E6}"/>
  </hyperlinks>
  <pageMargins left="0.7" right="0.7" top="0.75" bottom="0.75" header="0.3" footer="0.3"/>
  <pageSetup paperSize="9" orientation="portrait"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5" ma:contentTypeDescription="Crée un document." ma:contentTypeScope="" ma:versionID="d61ebabf05edb172a4796a2a26dcc231">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0ecdbb82de15a51058ed3f6676f3dbd1"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ModernAudienceTargetUserField" minOccurs="0"/>
                <xsd:element ref="ns2:_ModernAudienceAadObjectI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ModernAudienceTargetUserField" ma:index="2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AudienceIds" ma:list="{9b001c38-b593-437a-acce-521679d6ec8e}" ma:internalName="_ModernAudienceAadObjectIds" ma:readOnly="true" ma:showField="_AadObjectIdForUser"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_ModernAudienceTargetUserField xmlns="e249ac2a-b211-4fea-a23e-058f661af758">
      <UserInfo>
        <DisplayName/>
        <AccountId xsi:nil="true"/>
        <AccountType/>
      </UserInfo>
    </_ModernAudienceTargetUser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1F18D-CDC2-4269-ABF0-EC3C79DC3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9ac2a-b211-4fea-a23e-058f661af758"/>
    <ds:schemaRef ds:uri="8f1b8a44-2e81-425d-8025-2e5e0436f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BDE4EE-9AA2-46EA-BAAD-C200D44CEC69}">
  <ds:schemaRefs>
    <ds:schemaRef ds:uri="http://schemas.microsoft.com/office/2006/metadata/properties"/>
    <ds:schemaRef ds:uri="http://schemas.microsoft.com/office/infopath/2007/PartnerControls"/>
    <ds:schemaRef ds:uri="e249ac2a-b211-4fea-a23e-058f661af758"/>
    <ds:schemaRef ds:uri="8f1b8a44-2e81-425d-8025-2e5e0436f25e"/>
  </ds:schemaRefs>
</ds:datastoreItem>
</file>

<file path=customXml/itemProps3.xml><?xml version="1.0" encoding="utf-8"?>
<ds:datastoreItem xmlns:ds="http://schemas.openxmlformats.org/officeDocument/2006/customXml" ds:itemID="{860E67A3-B91A-4E0A-A318-739736460A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Lisez-moi</vt:lpstr>
      <vt:lpstr>Filière Ciment</vt:lpstr>
      <vt:lpstr>Filière Béton</vt:lpstr>
      <vt:lpstr>Acier</vt:lpstr>
      <vt:lpstr>Données ACV béton</vt:lpstr>
      <vt:lpstr>Ciments &amp; clinker</vt:lpstr>
      <vt:lpstr>Logement</vt:lpstr>
      <vt:lpstr>Part de marché béton</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TSP</dc:creator>
  <cp:keywords/>
  <dc:description/>
  <cp:lastModifiedBy>TSP_MAX</cp:lastModifiedBy>
  <cp:revision/>
  <dcterms:created xsi:type="dcterms:W3CDTF">2021-12-10T09:09:31Z</dcterms:created>
  <dcterms:modified xsi:type="dcterms:W3CDTF">2026-03-25T14:34:48Z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0x01010059F8D0E12706CA4F88F078CAAF1F0285</vt:lpwstr>
  </property>
  <property fmtid="{D5CDD505-2E9C-101B-9397-08002B2CF9AE}" pid="3" name="MediaServiceImageTags">
    <vt:lpwstr/>
  </property>
</Properties>
</file>