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theshiftpr0ject.sharepoint.com/sites/TSP/Projets/01 - Projets terminés/PTEF/10 - Indus LMR/100 - Mise au propre modèles/Modèles à publier/"/>
    </mc:Choice>
  </mc:AlternateContent>
  <xr:revisionPtr revIDLastSave="142" documentId="13_ncr:1_{17EC2ECF-9827-41D7-93B9-4A4EAE1799CB}" xr6:coauthVersionLast="47" xr6:coauthVersionMax="47" xr10:uidLastSave="{693C79A8-4658-4F71-978E-6DB1237230CA}"/>
  <bookViews>
    <workbookView xWindow="-120" yWindow="-15870" windowWidth="25440" windowHeight="15270" xr2:uid="{C2A3191E-330D-42C2-A70D-5C30E9C8CCE9}"/>
  </bookViews>
  <sheets>
    <sheet name="Lisez-moi" sheetId="16" r:id="rId1"/>
    <sheet name="Secteur Chimie" sheetId="11" r:id="rId2"/>
    <sheet name="Plastiques" sheetId="14" r:id="rId3"/>
    <sheet name="Engrais" sheetId="8" r:id="rId4"/>
    <sheet name="Sources" sheetId="1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6" i="8" l="1"/>
  <c r="J46" i="8"/>
  <c r="E23" i="8"/>
  <c r="H21" i="11"/>
  <c r="J21" i="11" s="1"/>
  <c r="E21" i="11"/>
  <c r="D7" i="14"/>
  <c r="C19" i="8"/>
  <c r="E30" i="8"/>
  <c r="E31" i="8"/>
  <c r="E28" i="8"/>
  <c r="E24" i="8"/>
  <c r="E22" i="8"/>
  <c r="E7" i="8"/>
  <c r="E20" i="8"/>
  <c r="E27" i="8"/>
  <c r="E52" i="8"/>
  <c r="E9" i="8"/>
  <c r="C7" i="8"/>
  <c r="H20" i="8"/>
  <c r="C28" i="14"/>
  <c r="C29" i="14" s="1"/>
  <c r="C25" i="14"/>
  <c r="H16" i="14" l="1"/>
  <c r="E62" i="8" l="1"/>
  <c r="D62" i="8"/>
  <c r="C62" i="8"/>
  <c r="E47" i="8" l="1"/>
  <c r="D47" i="8"/>
  <c r="F47" i="8"/>
  <c r="H22" i="11"/>
  <c r="B18" i="15" l="1"/>
  <c r="B19" i="15" s="1"/>
  <c r="B17" i="15"/>
  <c r="H22" i="8" l="1"/>
  <c r="G22" i="8"/>
  <c r="D22" i="8"/>
  <c r="C22" i="8"/>
  <c r="C52" i="8" l="1"/>
  <c r="C54" i="8" s="1"/>
  <c r="F46" i="8"/>
  <c r="E46" i="8"/>
  <c r="D52" i="8" l="1"/>
  <c r="D54" i="8" s="1"/>
  <c r="E54" i="8"/>
  <c r="F40" i="8"/>
  <c r="F39" i="8"/>
  <c r="F38" i="8"/>
  <c r="F37" i="8"/>
  <c r="E41" i="8"/>
  <c r="C27" i="8" s="1"/>
  <c r="D41" i="8"/>
  <c r="C41" i="8"/>
  <c r="F41" i="8" l="1"/>
  <c r="C28" i="8" l="1"/>
  <c r="G27" i="8"/>
  <c r="H27" i="8"/>
  <c r="D27" i="8"/>
  <c r="C56" i="8" l="1"/>
  <c r="G28" i="8"/>
  <c r="D28" i="8"/>
  <c r="H28" i="8"/>
  <c r="E56" i="8"/>
  <c r="H19" i="8"/>
  <c r="G19" i="8"/>
  <c r="D19" i="8"/>
  <c r="E19" i="8"/>
  <c r="D56" i="8" l="1"/>
  <c r="C38" i="14"/>
  <c r="C37" i="14"/>
  <c r="G35" i="14"/>
  <c r="G38" i="14" s="1"/>
  <c r="G34" i="14"/>
  <c r="D35" i="14"/>
  <c r="D34" i="14"/>
  <c r="E19" i="11" l="1"/>
  <c r="H19" i="11"/>
  <c r="D38" i="14"/>
  <c r="G11" i="14"/>
  <c r="D11" i="14"/>
  <c r="C11" i="14"/>
  <c r="C10" i="14"/>
  <c r="H29" i="14"/>
  <c r="I29" i="14" s="1"/>
  <c r="H28" i="14"/>
  <c r="I28" i="14" s="1"/>
  <c r="I8" i="14" s="1"/>
  <c r="H27" i="14"/>
  <c r="I27" i="14" s="1"/>
  <c r="H26" i="14"/>
  <c r="I26" i="14" s="1"/>
  <c r="H25" i="14"/>
  <c r="I25" i="14" s="1"/>
  <c r="H24" i="14"/>
  <c r="I24" i="14" s="1"/>
  <c r="E29" i="14"/>
  <c r="F29" i="14" s="1"/>
  <c r="E28" i="14"/>
  <c r="E8" i="14" s="1"/>
  <c r="E27" i="14"/>
  <c r="F27" i="14" s="1"/>
  <c r="E26" i="14"/>
  <c r="F26" i="14" s="1"/>
  <c r="E25" i="14"/>
  <c r="F25" i="14" s="1"/>
  <c r="E24" i="14"/>
  <c r="F24" i="14" s="1"/>
  <c r="G30" i="14"/>
  <c r="D30" i="14"/>
  <c r="G31" i="14"/>
  <c r="D31" i="14"/>
  <c r="G8" i="14"/>
  <c r="D8" i="14"/>
  <c r="C31" i="14"/>
  <c r="C8" i="14"/>
  <c r="C7" i="14"/>
  <c r="I20" i="14"/>
  <c r="I19" i="14"/>
  <c r="I18" i="14"/>
  <c r="I17" i="14"/>
  <c r="I15" i="14"/>
  <c r="I14" i="14"/>
  <c r="F14" i="14" s="1"/>
  <c r="E14" i="14" s="1"/>
  <c r="F20" i="14"/>
  <c r="F19" i="14"/>
  <c r="F18" i="14"/>
  <c r="F17" i="14"/>
  <c r="F16" i="14"/>
  <c r="F15" i="14"/>
  <c r="H21" i="14"/>
  <c r="E21" i="14"/>
  <c r="C21" i="14"/>
  <c r="J19" i="11" l="1"/>
  <c r="I21" i="14"/>
  <c r="F21" i="14"/>
  <c r="E11" i="14"/>
  <c r="F11" i="14" s="1"/>
  <c r="C9" i="14"/>
  <c r="C7" i="11" s="1"/>
  <c r="H11" i="14"/>
  <c r="I11" i="14" s="1"/>
  <c r="F28" i="14"/>
  <c r="F8" i="14" s="1"/>
  <c r="C39" i="14"/>
  <c r="H8" i="14"/>
  <c r="C6" i="14"/>
  <c r="D23" i="14"/>
  <c r="E26" i="11" s="1"/>
  <c r="G23" i="14"/>
  <c r="H26" i="11" s="1"/>
  <c r="I16" i="14"/>
  <c r="J26" i="11" l="1"/>
  <c r="H23" i="14"/>
  <c r="H7" i="14" s="1"/>
  <c r="G37" i="14"/>
  <c r="G10" i="14" s="1"/>
  <c r="E23" i="14"/>
  <c r="E7" i="14" s="1"/>
  <c r="D37" i="14"/>
  <c r="D10" i="14" s="1"/>
  <c r="I23" i="14"/>
  <c r="I7" i="14" s="1"/>
  <c r="G7" i="14"/>
  <c r="G39" i="14" l="1"/>
  <c r="F23" i="14"/>
  <c r="F7" i="14" s="1"/>
  <c r="H10" i="14"/>
  <c r="I10" i="14" s="1"/>
  <c r="G9" i="14"/>
  <c r="D9" i="14"/>
  <c r="E10" i="14"/>
  <c r="F10" i="14" s="1"/>
  <c r="D6" i="14"/>
  <c r="E6" i="14" s="1"/>
  <c r="D39" i="14"/>
  <c r="G6" i="14"/>
  <c r="I6" i="14" s="1"/>
  <c r="G7" i="11" l="1"/>
  <c r="J7" i="11" s="1"/>
  <c r="H9" i="14"/>
  <c r="I9" i="14"/>
  <c r="F6" i="14"/>
  <c r="D7" i="11"/>
  <c r="E9" i="14"/>
  <c r="F9" i="14"/>
  <c r="H6" i="14"/>
  <c r="E7" i="11" l="1"/>
  <c r="F7" i="11" s="1"/>
  <c r="H7" i="11"/>
  <c r="I7" i="11" s="1"/>
  <c r="D12" i="11"/>
  <c r="F12" i="11" s="1"/>
  <c r="D11" i="11"/>
  <c r="F11" i="11" l="1"/>
  <c r="I11" i="11" s="1"/>
  <c r="G11" i="11" s="1"/>
  <c r="H11" i="11" s="1"/>
  <c r="J11" i="11" s="1"/>
  <c r="C10" i="11"/>
  <c r="C6" i="11" s="1"/>
  <c r="E10" i="11"/>
  <c r="F16" i="11"/>
  <c r="I16" i="11" s="1"/>
  <c r="F15" i="11"/>
  <c r="I15" i="11" s="1"/>
  <c r="F14" i="11"/>
  <c r="E13" i="11"/>
  <c r="D13" i="11" s="1"/>
  <c r="E17" i="11" l="1"/>
  <c r="H15" i="11"/>
  <c r="H16" i="11"/>
  <c r="J16" i="11" s="1"/>
  <c r="K16" i="11" s="1"/>
  <c r="J15" i="11"/>
  <c r="K15" i="11" s="1"/>
  <c r="K21" i="11"/>
  <c r="K26" i="11"/>
  <c r="K7" i="11"/>
  <c r="K19" i="11"/>
  <c r="K11" i="11"/>
  <c r="D10" i="11"/>
  <c r="F13" i="11"/>
  <c r="F10" i="11" l="1"/>
  <c r="I10" i="11" s="1"/>
  <c r="I12" i="11" s="1"/>
  <c r="G12" i="11" s="1"/>
  <c r="H12" i="11" s="1"/>
  <c r="J12" i="11" s="1"/>
  <c r="K12" i="11" s="1"/>
  <c r="G10" i="11" l="1"/>
  <c r="H10" i="11" s="1"/>
  <c r="J10" i="11" l="1"/>
  <c r="K10" i="11" s="1"/>
  <c r="H9" i="8"/>
  <c r="H7" i="8"/>
  <c r="H10" i="8" l="1"/>
  <c r="H12" i="8" s="1"/>
  <c r="C18" i="8"/>
  <c r="C30" i="8" s="1"/>
  <c r="E20" i="11"/>
  <c r="E24" i="11" s="1"/>
  <c r="H18" i="8"/>
  <c r="H30" i="8" s="1"/>
  <c r="F9" i="8"/>
  <c r="D9" i="8" s="1"/>
  <c r="I7" i="8"/>
  <c r="G7" i="8" s="1"/>
  <c r="H11" i="8"/>
  <c r="I9" i="8"/>
  <c r="C11" i="8"/>
  <c r="H15" i="8"/>
  <c r="D14" i="8" l="1"/>
  <c r="G9" i="8"/>
  <c r="G10" i="8" s="1"/>
  <c r="G12" i="8" s="1"/>
  <c r="E10" i="8"/>
  <c r="E11" i="8" s="1"/>
  <c r="H23" i="8"/>
  <c r="H24" i="8" s="1"/>
  <c r="H31" i="8"/>
  <c r="H32" i="8" s="1"/>
  <c r="F7" i="8"/>
  <c r="D7" i="8" s="1"/>
  <c r="E18" i="8"/>
  <c r="G20" i="8"/>
  <c r="G18" i="8"/>
  <c r="G30" i="8" s="1"/>
  <c r="E16" i="8"/>
  <c r="H16" i="8"/>
  <c r="G15" i="8"/>
  <c r="E15" i="8"/>
  <c r="G14" i="8" l="1"/>
  <c r="D10" i="8"/>
  <c r="D12" i="8" s="1"/>
  <c r="E27" i="11"/>
  <c r="H27" i="11"/>
  <c r="H28" i="11" s="1"/>
  <c r="E12" i="8"/>
  <c r="H20" i="11"/>
  <c r="H24" i="11" s="1"/>
  <c r="G23" i="8"/>
  <c r="G24" i="8" s="1"/>
  <c r="G31" i="8"/>
  <c r="G32" i="8" s="1"/>
  <c r="E32" i="8"/>
  <c r="G8" i="11" s="1"/>
  <c r="D20" i="8"/>
  <c r="D18" i="8"/>
  <c r="D30" i="8" s="1"/>
  <c r="G16" i="8"/>
  <c r="F10" i="8"/>
  <c r="D15" i="8"/>
  <c r="G11" i="8"/>
  <c r="J27" i="11" l="1"/>
  <c r="J28" i="11" s="1"/>
  <c r="E28" i="11"/>
  <c r="K27" i="11"/>
  <c r="K28" i="11" s="1"/>
  <c r="J20" i="11"/>
  <c r="D23" i="8"/>
  <c r="D24" i="8" s="1"/>
  <c r="D31" i="8"/>
  <c r="D32" i="8" s="1"/>
  <c r="D8" i="11" s="1"/>
  <c r="D16" i="8"/>
  <c r="D11" i="8"/>
  <c r="C20" i="8"/>
  <c r="D6" i="11" l="1"/>
  <c r="E6" i="11" s="1"/>
  <c r="H8" i="11"/>
  <c r="I8" i="11" s="1"/>
  <c r="J24" i="11"/>
  <c r="K20" i="11"/>
  <c r="K24" i="11" s="1"/>
  <c r="C23" i="8"/>
  <c r="C24" i="8" s="1"/>
  <c r="C31" i="8"/>
  <c r="C32" i="8" s="1"/>
  <c r="C8" i="11" s="1"/>
  <c r="J8" i="11" s="1"/>
  <c r="K8" i="11" s="1"/>
  <c r="F6" i="11" l="1"/>
  <c r="G6" i="11"/>
  <c r="H6" i="11" s="1"/>
  <c r="E8" i="11"/>
  <c r="F8" i="11" s="1"/>
  <c r="J14" i="11"/>
  <c r="K14" i="11" s="1"/>
  <c r="K17" i="11" s="1"/>
  <c r="I14" i="11"/>
  <c r="I13" i="11" s="1"/>
  <c r="H13" i="11"/>
  <c r="G13" i="11" s="1"/>
  <c r="J13" i="11" s="1"/>
  <c r="H17" i="11" l="1"/>
  <c r="K13" i="11"/>
  <c r="J17" i="11"/>
  <c r="I6" i="11" l="1"/>
  <c r="J6" i="11"/>
  <c r="K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MAX TSP</author>
  </authors>
  <commentList>
    <comment ref="I10" authorId="0" shapeId="0" xr:uid="{85A93C4E-4556-41CD-B150-7E024B9E441D}">
      <text>
        <r>
          <rPr>
            <sz val="9"/>
            <color indexed="81"/>
            <rFont val="Tahoma"/>
            <family val="2"/>
          </rPr>
          <t xml:space="preserve">Hypothèse : prolongation linéaire des hypothèses de France Chimie, avec une divison par 2 des potentiels exploitables
</t>
        </r>
      </text>
    </comment>
    <comment ref="C11" authorId="0" shapeId="0" xr:uid="{7D7384CE-C9E2-413C-90A8-453B733D7F8F}">
      <text>
        <r>
          <rPr>
            <sz val="9"/>
            <color indexed="81"/>
            <rFont val="Tahoma"/>
            <family val="2"/>
          </rPr>
          <t>Source : [13] CITEPA (2020)</t>
        </r>
      </text>
    </comment>
    <comment ref="E11" authorId="0" shapeId="0" xr:uid="{8E17D158-1C98-42BC-A8C7-ECA5B56DF58B}">
      <text>
        <r>
          <rPr>
            <sz val="9"/>
            <color indexed="81"/>
            <rFont val="Tahoma"/>
            <family val="2"/>
          </rPr>
          <t>Hyp. PTEF alignée sur la feuille de route du secteur.
Source : [8] CNI France Chimie (2021), p. 6</t>
        </r>
      </text>
    </comment>
    <comment ref="I11" authorId="0" shapeId="0" xr:uid="{F95BF343-95A8-40F8-9A62-21EE7612392D}">
      <text>
        <r>
          <rPr>
            <sz val="9"/>
            <color indexed="81"/>
            <rFont val="Tahoma"/>
            <family val="2"/>
          </rPr>
          <t>Hypothèse : prolongation linéaire des hypothèses de France Chimie, avec une divison par 2 des potentiels exploitables</t>
        </r>
      </text>
    </comment>
    <comment ref="C12" authorId="0" shapeId="0" xr:uid="{20BA2001-1464-4E60-AB75-246491350138}">
      <text>
        <r>
          <rPr>
            <sz val="9"/>
            <color indexed="81"/>
            <rFont val="Tahoma"/>
            <family val="2"/>
          </rPr>
          <t>Source : [13] CITEPA (2020)</t>
        </r>
      </text>
    </comment>
    <comment ref="E12" authorId="0" shapeId="0" xr:uid="{0AD1D90C-E9CE-4EF7-944F-217EB4F72F25}">
      <text>
        <r>
          <rPr>
            <sz val="9"/>
            <color indexed="81"/>
            <rFont val="Tahoma"/>
            <family val="2"/>
          </rPr>
          <t>Hyp. PTEF alignée sur la feuille de route du secteur.
Source : [8] CNI France Chimie (2021), p. 6</t>
        </r>
      </text>
    </comment>
    <comment ref="C13" authorId="0" shapeId="0" xr:uid="{BF90773C-F262-4D94-9D74-E8DE96FBDEE6}">
      <text>
        <r>
          <rPr>
            <sz val="9"/>
            <color indexed="81"/>
            <rFont val="Tahoma"/>
            <family val="2"/>
          </rPr>
          <t>Source : [13] CITEPA (2020)</t>
        </r>
      </text>
    </comment>
    <comment ref="H13" authorId="0" shapeId="0" xr:uid="{739EBE49-C622-4054-914D-DDB1A3263CB7}">
      <text>
        <r>
          <rPr>
            <sz val="9"/>
            <color indexed="81"/>
            <rFont val="Tahoma"/>
            <family val="2"/>
          </rPr>
          <t>A remplacer par :
=SOMME(H14:H16)</t>
        </r>
      </text>
    </comment>
    <comment ref="E14" authorId="0" shapeId="0" xr:uid="{DBE84A4C-2A79-4586-A3A9-61D5DF1A926A}">
      <text>
        <r>
          <rPr>
            <sz val="9"/>
            <color indexed="81"/>
            <rFont val="Tahoma"/>
            <family val="2"/>
          </rPr>
          <t>Hyp. PTEF alignée sur la feuille de route du secteur.
Source : [8] CNI France Chimie (2021), p. 6</t>
        </r>
      </text>
    </comment>
    <comment ref="H14" authorId="0" shapeId="0" xr:uid="{56C78AEF-1CB4-4F19-B109-011048EA47D6}">
      <text>
        <r>
          <rPr>
            <sz val="9"/>
            <color indexed="81"/>
            <rFont val="Tahoma"/>
            <family val="2"/>
          </rPr>
          <t>Hypothèse : les gisements notables d'efficacité énergétique sont exploités à 2030</t>
        </r>
      </text>
    </comment>
    <comment ref="E15" authorId="0" shapeId="0" xr:uid="{2F255978-6DBC-47D7-9FE0-5DEF7B68F2FE}">
      <text>
        <r>
          <rPr>
            <sz val="9"/>
            <color indexed="81"/>
            <rFont val="Tahoma"/>
            <family val="2"/>
          </rPr>
          <t>Hyp. PTEF alignée sur la feuille de route du secteur.
Source : [8] CNI France Chimie (2021), p. 6</t>
        </r>
      </text>
    </comment>
    <comment ref="I15" authorId="0" shapeId="0" xr:uid="{B6F9FFE8-6607-4283-8B58-5534C6D24453}">
      <text>
        <r>
          <rPr>
            <sz val="9"/>
            <color indexed="81"/>
            <rFont val="Tahoma"/>
            <family val="2"/>
          </rPr>
          <t>Hypothèse : prolongation linéaire des hypothèses de France Chimie, avec une divison par 2 des potentiels exploitables</t>
        </r>
      </text>
    </comment>
    <comment ref="E16" authorId="0" shapeId="0" xr:uid="{0DFE8EEA-B15A-41BE-8403-1D7E2C569746}">
      <text>
        <r>
          <rPr>
            <sz val="9"/>
            <color indexed="81"/>
            <rFont val="Tahoma"/>
            <family val="2"/>
          </rPr>
          <t>Hyp. PTEF alignée sur la feuille de route du secteur.
Source : [8] CNI France Chimie (2021), p. 6</t>
        </r>
      </text>
    </comment>
    <comment ref="I16" authorId="0" shapeId="0" xr:uid="{B0250303-83D0-42AB-B4F5-E5E4901A7A8F}">
      <text>
        <r>
          <rPr>
            <sz val="9"/>
            <color indexed="81"/>
            <rFont val="Tahoma"/>
            <family val="2"/>
          </rPr>
          <t>Hypothèse : prolongation linéaire des hypothèses de France Chimie, avec une divison par 2 des potentiels exploitables</t>
        </r>
      </text>
    </comment>
    <comment ref="E22" authorId="0" shapeId="0" xr:uid="{E9ECE2FD-24A9-419B-86EA-BC3BDB78FFCD}">
      <text>
        <r>
          <rPr>
            <sz val="9"/>
            <color indexed="81"/>
            <rFont val="Tahoma"/>
            <family val="2"/>
          </rPr>
          <t>Potentiel moyen retenu dans la feuille de routre sectorielle du secteur de la chimie.
Source : [8] CNI (2021), p. 11 et 13</t>
        </r>
      </text>
    </comment>
    <comment ref="H22" authorId="0" shapeId="0" xr:uid="{DCCC6355-0E29-4604-B83C-50DE00E4C00A}">
      <text>
        <r>
          <rPr>
            <sz val="9"/>
            <color indexed="81"/>
            <rFont val="Tahoma"/>
            <family val="2"/>
          </rPr>
          <t>Hyp. : 50 % du potentiel maximum hors-engrais.
Source : [19] ADEME (2020), p. 19</t>
        </r>
      </text>
    </comment>
    <comment ref="E23" authorId="0" shapeId="0" xr:uid="{70E3C14E-1696-414C-B591-3E02D158E189}">
      <text>
        <r>
          <rPr>
            <sz val="9"/>
            <color indexed="81"/>
            <rFont val="Tahoma"/>
            <family val="2"/>
          </rPr>
          <t>Hyp. PTEF : industrie des engrais non prioritaires pour le levier CCS (priorisation du levier "décarbonation de l'hydrogène")</t>
        </r>
      </text>
    </comment>
    <comment ref="H23" authorId="0" shapeId="0" xr:uid="{4151F5B4-AB77-4D20-91E7-29208E3F1FBF}">
      <text>
        <r>
          <rPr>
            <sz val="9"/>
            <color indexed="81"/>
            <rFont val="Tahoma"/>
            <family val="2"/>
          </rPr>
          <t>Hyp. PTEF : industrie des engrais non prioritaires pour le levier CCS (priorisation du levier "décarbonation de l'hydrogène")</t>
        </r>
      </text>
    </comment>
    <comment ref="E27" authorId="0" shapeId="0" xr:uid="{B7974DA8-A15D-4CB9-9839-DE1FBDDB137C}">
      <text>
        <r>
          <rPr>
            <sz val="9"/>
            <color indexed="81"/>
            <rFont val="Tahoma"/>
            <family val="2"/>
          </rPr>
          <t>Potentiel plancher de la sobriété, calculé pour une application de la sobriété après comptabilisation des effets des leviers de rupture</t>
        </r>
      </text>
    </comment>
    <comment ref="H27" authorId="0" shapeId="0" xr:uid="{E05FBA59-0500-43CD-AE79-553E0DECE4E5}">
      <text>
        <r>
          <rPr>
            <sz val="9"/>
            <color indexed="81"/>
            <rFont val="Tahoma"/>
            <family val="2"/>
          </rPr>
          <t>Potentiel plancher de la sobriété, calculé pour une application de la sobriété après comptabilisation des effets des leviers de rupture</t>
        </r>
      </text>
    </comment>
    <comment ref="E28" authorId="0" shapeId="0" xr:uid="{92BE9E55-CB7F-4473-9412-48B38955D59F}">
      <text>
        <r>
          <rPr>
            <sz val="9"/>
            <color indexed="81"/>
            <rFont val="Tahoma"/>
            <family val="2"/>
          </rPr>
          <t>Potentiel plancher de la sobriété, calculé pour une application de la sobriété après comptabilisation des effets des leviers technologiques</t>
        </r>
      </text>
    </comment>
    <comment ref="H28" authorId="0" shapeId="0" xr:uid="{B3C7DDF0-1AA8-42FE-B01D-E5A2556D81FA}">
      <text>
        <r>
          <rPr>
            <sz val="9"/>
            <color indexed="81"/>
            <rFont val="Tahoma"/>
            <family val="2"/>
          </rPr>
          <t>Potentiel plancher de la sobriété, calculé pour une application de la sobriété après comptabilisation des effets des leviers technologiques</t>
        </r>
      </text>
    </comment>
    <comment ref="J28" authorId="0" shapeId="0" xr:uid="{3C20D3EF-6B13-4C56-A878-4364F2D22C3A}">
      <text>
        <r>
          <rPr>
            <sz val="9"/>
            <color indexed="81"/>
            <rFont val="Tahoma"/>
            <family val="2"/>
          </rPr>
          <t>Potentiel plancher de la sobriété, calculé pour une application de la sobriété après comptabilisation des effets des leviers technologiques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TSP_MAX</author>
    <author>eric.berge</author>
    <author>MAX TSP</author>
  </authors>
  <commentList>
    <comment ref="C14" authorId="0" shapeId="0" xr:uid="{F5C807D4-21B2-4498-8B67-BF9FEAD85EA0}">
      <text>
        <r>
          <rPr>
            <sz val="9"/>
            <color indexed="81"/>
            <rFont val="Tahoma"/>
            <family val="2"/>
          </rPr>
          <t>Données 2016, pour l'Europe
Source : [11] Plastics Europe, p. 20</t>
        </r>
      </text>
    </comment>
    <comment ref="H14" authorId="1" shapeId="0" xr:uid="{0D41ACF7-BC39-4847-B463-F39D4C6CE76A}">
      <text>
        <r>
          <rPr>
            <sz val="9"/>
            <color indexed="81"/>
            <rFont val="Tahoma"/>
            <family val="2"/>
          </rPr>
          <t>Hypothèse PTEF : nous traduisons la baisse de 100% des emballages à usage unique dits « inutiles » dans le décret 3R par une baisse de 70% à 2050, étant données les définitions du périmètre (exclusion par exemple de certains emballages alimentaires) et l’incertitude sur les décrets d’application à venir.
Source : [16] MTE (2021)</t>
        </r>
      </text>
    </comment>
    <comment ref="C15" authorId="0" shapeId="0" xr:uid="{A2ECB1E8-3E3B-4D88-85F9-6CC62979569E}">
      <text>
        <r>
          <rPr>
            <sz val="9"/>
            <color indexed="81"/>
            <rFont val="Tahoma"/>
            <family val="2"/>
          </rPr>
          <t>Données 2016, pour l'Europe
Source : [11] Plastics Europe, p. 20</t>
        </r>
      </text>
    </comment>
    <comment ref="E15" authorId="2" shapeId="0" xr:uid="{A3495DBF-D42A-4240-AA60-8B5A59A34E21}">
      <text>
        <r>
          <rPr>
            <sz val="9"/>
            <color indexed="81"/>
            <rFont val="Tahoma"/>
            <family val="2"/>
          </rPr>
          <t>Pas de baisse de la construction neuve à 2030 dans le PTEF.
Résultat issu des modélisations du secteur "Logement" du PTEF
Source : [14] The Shift Project (2021)</t>
        </r>
      </text>
    </comment>
    <comment ref="H15" authorId="1" shapeId="0" xr:uid="{0E64FDF5-A500-43CA-A07F-D1E7D40C8CDA}">
      <text>
        <r>
          <rPr>
            <sz val="9"/>
            <color indexed="81"/>
            <rFont val="Tahoma"/>
            <family val="2"/>
          </rPr>
          <t>Résultat issu des modélisations du secteur "Logement" du PTEF
Source : [14] The Shift Project (2021)</t>
        </r>
      </text>
    </comment>
    <comment ref="C16" authorId="0" shapeId="0" xr:uid="{3BB1C532-5ADC-4B82-89D5-1D7F692805B8}">
      <text>
        <r>
          <rPr>
            <sz val="9"/>
            <color indexed="81"/>
            <rFont val="Tahoma"/>
            <family val="2"/>
          </rPr>
          <t>Données 2016, pour l'Europe
Source : [11] Plastics Europe, p. 20</t>
        </r>
      </text>
    </comment>
    <comment ref="E16" authorId="2" shapeId="0" xr:uid="{F4992B68-0A73-4968-B6FD-B6CE0DC28D31}">
      <text>
        <r>
          <rPr>
            <sz val="9"/>
            <color indexed="81"/>
            <rFont val="Tahoma"/>
            <family val="2"/>
          </rPr>
          <t>Résultat issu des modélisations du secteur "Industrie automobile" du PTEF
Source : [17] The Shift Project (2021)</t>
        </r>
      </text>
    </comment>
    <comment ref="H16" authorId="1" shapeId="0" xr:uid="{EB51266D-17B2-4F38-9A45-08BE5BEE8E2E}">
      <text>
        <r>
          <rPr>
            <sz val="9"/>
            <color indexed="81"/>
            <rFont val="Tahoma"/>
            <family val="2"/>
          </rPr>
          <t>Résultat issu des modélisations du secteur "Industrie automobile" du PTEF
Source : [17] The Shift Project (2021), p. 72</t>
        </r>
      </text>
    </comment>
    <comment ref="C17" authorId="0" shapeId="0" xr:uid="{DE43DA39-3809-47A7-B78B-319741DDA235}">
      <text>
        <r>
          <rPr>
            <sz val="9"/>
            <color indexed="81"/>
            <rFont val="Tahoma"/>
            <family val="2"/>
          </rPr>
          <t>Données 2016, pour l'Europe
Source : [11] Plastics Europe, p. 20</t>
        </r>
      </text>
    </comment>
    <comment ref="E17" authorId="2" shapeId="0" xr:uid="{58D54F80-C968-4556-B568-223E7665B3E7}">
      <text>
        <r>
          <rPr>
            <sz val="9"/>
            <color indexed="81"/>
            <rFont val="Tahoma"/>
            <family val="2"/>
          </rPr>
          <t>Hypothèse : constant</t>
        </r>
      </text>
    </comment>
    <comment ref="H17" authorId="2" shapeId="0" xr:uid="{32E52D40-3019-44B5-B29F-8058131F6BDF}">
      <text>
        <r>
          <rPr>
            <sz val="9"/>
            <color indexed="81"/>
            <rFont val="Tahoma"/>
            <family val="2"/>
          </rPr>
          <t>Hypothèse : constant</t>
        </r>
      </text>
    </comment>
    <comment ref="C18" authorId="0" shapeId="0" xr:uid="{5B5BE210-7EEA-42A9-A3F7-1170FB33573D}">
      <text>
        <r>
          <rPr>
            <sz val="9"/>
            <color indexed="81"/>
            <rFont val="Tahoma"/>
            <family val="2"/>
          </rPr>
          <t>Données 2016, pour l'Europe
Source : [11] Plastics Europe, p. 20</t>
        </r>
      </text>
    </comment>
    <comment ref="E18" authorId="2" shapeId="0" xr:uid="{368939F6-5AC8-499C-AE91-025818378919}">
      <text>
        <r>
          <rPr>
            <sz val="9"/>
            <color indexed="81"/>
            <rFont val="Tahoma"/>
            <family val="2"/>
          </rPr>
          <t>Hypothèse : constant</t>
        </r>
      </text>
    </comment>
    <comment ref="H18" authorId="2" shapeId="0" xr:uid="{0DC91718-3EE2-49F8-8C41-FC996DEEF757}">
      <text>
        <r>
          <rPr>
            <sz val="9"/>
            <color indexed="81"/>
            <rFont val="Tahoma"/>
            <family val="2"/>
          </rPr>
          <t>Hypothèse : constant</t>
        </r>
      </text>
    </comment>
    <comment ref="C19" authorId="0" shapeId="0" xr:uid="{E8FB3434-ACC3-4780-8A4A-9E5BF064BEBE}">
      <text>
        <r>
          <rPr>
            <sz val="9"/>
            <color indexed="81"/>
            <rFont val="Tahoma"/>
            <family val="2"/>
          </rPr>
          <t>Données 2016, pour l'Europe
Source : [11] Plastics Europe, p. 20</t>
        </r>
      </text>
    </comment>
    <comment ref="E19" authorId="2" shapeId="0" xr:uid="{43968FC3-7854-4B26-BADB-D1CF552C36D3}">
      <text>
        <r>
          <rPr>
            <sz val="9"/>
            <color indexed="81"/>
            <rFont val="Tahoma"/>
            <family val="2"/>
          </rPr>
          <t>Hypothèse : constant</t>
        </r>
      </text>
    </comment>
    <comment ref="H19" authorId="2" shapeId="0" xr:uid="{ADC78791-6189-46CB-9515-4E1DA2B8B209}">
      <text>
        <r>
          <rPr>
            <sz val="9"/>
            <color indexed="81"/>
            <rFont val="Tahoma"/>
            <family val="2"/>
          </rPr>
          <t>Hypothèse : constant</t>
        </r>
      </text>
    </comment>
    <comment ref="C20" authorId="0" shapeId="0" xr:uid="{AF6C7CD3-47DD-4930-94BD-97C15E1E529B}">
      <text>
        <r>
          <rPr>
            <sz val="9"/>
            <color indexed="81"/>
            <rFont val="Tahoma"/>
            <family val="2"/>
          </rPr>
          <t>Données 2016, pour l'Europe
Source : [11] Plastics Europe, p. 20</t>
        </r>
      </text>
    </comment>
    <comment ref="E20" authorId="2" shapeId="0" xr:uid="{A650F306-2AAB-4E70-8255-B46DF3F44A09}">
      <text>
        <r>
          <rPr>
            <sz val="9"/>
            <color indexed="81"/>
            <rFont val="Tahoma"/>
            <family val="2"/>
          </rPr>
          <t>Hypothèse : constant</t>
        </r>
      </text>
    </comment>
    <comment ref="H20" authorId="2" shapeId="0" xr:uid="{BA4E7CCF-BAB1-461A-8C92-A93C18DCFFB5}">
      <text>
        <r>
          <rPr>
            <sz val="9"/>
            <color indexed="81"/>
            <rFont val="Tahoma"/>
            <family val="2"/>
          </rPr>
          <t>Hypothèse : constant</t>
        </r>
      </text>
    </comment>
    <comment ref="C23" authorId="2" shapeId="0" xr:uid="{245C4832-64EA-4C2A-A1E4-AE655AE98D3C}">
      <text>
        <r>
          <rPr>
            <sz val="9"/>
            <color indexed="81"/>
            <rFont val="Tahoma"/>
            <family val="2"/>
          </rPr>
          <t>Source : [9] ADEME (2020), p. 60</t>
        </r>
      </text>
    </comment>
    <comment ref="C24" authorId="2" shapeId="0" xr:uid="{1CCADAAD-7A19-4460-8F5B-AAD9977557FA}">
      <text>
        <r>
          <rPr>
            <sz val="9"/>
            <color indexed="81"/>
            <rFont val="Tahoma"/>
            <family val="2"/>
          </rPr>
          <t>Source : [9] ADEME (2020), p. 61</t>
        </r>
      </text>
    </comment>
    <comment ref="D24" authorId="2" shapeId="0" xr:uid="{77A0F834-48D4-4CE5-9A02-290DCDD3E94E}">
      <text>
        <r>
          <rPr>
            <sz val="9"/>
            <color indexed="81"/>
            <rFont val="Tahoma"/>
            <family val="2"/>
          </rPr>
          <t>Hypothèse de transformation du PTEF</t>
        </r>
      </text>
    </comment>
    <comment ref="G24" authorId="2" shapeId="0" xr:uid="{8FF1CA04-49C4-4731-BFD3-5B3B807633B0}">
      <text>
        <r>
          <rPr>
            <sz val="9"/>
            <color indexed="81"/>
            <rFont val="Tahoma"/>
            <family val="2"/>
          </rPr>
          <t>Hypothèse de transformation du PTEF</t>
        </r>
      </text>
    </comment>
    <comment ref="C25" authorId="2" shapeId="0" xr:uid="{2D22D58D-AEEA-4337-AEB1-ADAFECCEB4A4}">
      <text>
        <r>
          <rPr>
            <sz val="9"/>
            <color indexed="81"/>
            <rFont val="Tahoma"/>
            <family val="2"/>
          </rPr>
          <t>Source : [9] ADEME (2020), p. 61</t>
        </r>
      </text>
    </comment>
    <comment ref="D25" authorId="2" shapeId="0" xr:uid="{AECB87A7-6533-474E-A254-9705818192F5}">
      <text>
        <r>
          <rPr>
            <sz val="9"/>
            <color indexed="81"/>
            <rFont val="Tahoma"/>
            <family val="2"/>
          </rPr>
          <t>Hypothèse de transformation du PTEF</t>
        </r>
      </text>
    </comment>
    <comment ref="G25" authorId="2" shapeId="0" xr:uid="{AAE83E76-CCD5-4FFA-A04C-7D4F4BB66D2F}">
      <text>
        <r>
          <rPr>
            <sz val="9"/>
            <color indexed="81"/>
            <rFont val="Tahoma"/>
            <family val="2"/>
          </rPr>
          <t>Hypothèse de transformation du PTEF</t>
        </r>
      </text>
    </comment>
    <comment ref="C26" authorId="2" shapeId="0" xr:uid="{65673CAC-6129-438A-9627-E155091546E1}">
      <text>
        <r>
          <rPr>
            <sz val="9"/>
            <color indexed="81"/>
            <rFont val="Tahoma"/>
            <family val="2"/>
          </rPr>
          <t>Source : [9] ADEME (2020), p. 62</t>
        </r>
      </text>
    </comment>
    <comment ref="D26" authorId="2" shapeId="0" xr:uid="{BF1AE951-B76D-4AE7-8ADA-77E1EA771B46}">
      <text>
        <r>
          <rPr>
            <sz val="9"/>
            <color indexed="81"/>
            <rFont val="Tahoma"/>
            <family val="2"/>
          </rPr>
          <t>Hypothèse de transformation du PTEF</t>
        </r>
      </text>
    </comment>
    <comment ref="G26" authorId="2" shapeId="0" xr:uid="{A281D580-F7A2-43B6-8A41-88B37BEAC943}">
      <text>
        <r>
          <rPr>
            <sz val="9"/>
            <color indexed="81"/>
            <rFont val="Tahoma"/>
            <family val="2"/>
          </rPr>
          <t>Hypothèse de transformation du PTEF</t>
        </r>
      </text>
    </comment>
    <comment ref="C27" authorId="2" shapeId="0" xr:uid="{F330ED29-D421-4C52-B99D-B8EF34DCEA2C}">
      <text>
        <r>
          <rPr>
            <sz val="9"/>
            <color indexed="81"/>
            <rFont val="Tahoma"/>
            <family val="2"/>
          </rPr>
          <t>Source : [9] ADEME (2020), p. 62</t>
        </r>
      </text>
    </comment>
    <comment ref="D27" authorId="2" shapeId="0" xr:uid="{115BBC54-B4F9-43BB-80D8-19B01EF2CBA3}">
      <text>
        <r>
          <rPr>
            <sz val="9"/>
            <color indexed="81"/>
            <rFont val="Tahoma"/>
            <family val="2"/>
          </rPr>
          <t>Hypothèse de transformation du PTEF</t>
        </r>
      </text>
    </comment>
    <comment ref="G27" authorId="2" shapeId="0" xr:uid="{81D3C7DC-8948-4C91-A6B3-0EC0414A59E1}">
      <text>
        <r>
          <rPr>
            <sz val="9"/>
            <color indexed="81"/>
            <rFont val="Tahoma"/>
            <family val="2"/>
          </rPr>
          <t>Hypothèse de transformation du PTEF</t>
        </r>
      </text>
    </comment>
    <comment ref="D28" authorId="2" shapeId="0" xr:uid="{A4BE5D3A-EF01-4315-B9E6-ABCC81F845BD}">
      <text>
        <r>
          <rPr>
            <sz val="9"/>
            <color indexed="81"/>
            <rFont val="Tahoma"/>
            <family val="2"/>
          </rPr>
          <t>Hypothèse de transformation du PTEF</t>
        </r>
      </text>
    </comment>
    <comment ref="G28" authorId="2" shapeId="0" xr:uid="{1C194677-196D-4A24-B625-04DBA6F070C6}">
      <text>
        <r>
          <rPr>
            <sz val="9"/>
            <color indexed="81"/>
            <rFont val="Tahoma"/>
            <family val="2"/>
          </rPr>
          <t>Hypothèse de transformation du PTEF</t>
        </r>
      </text>
    </comment>
    <comment ref="C29" authorId="2" shapeId="0" xr:uid="{935199A8-F8CF-4C01-8117-1FD359FC391E}">
      <text>
        <r>
          <rPr>
            <sz val="9"/>
            <color indexed="81"/>
            <rFont val="Tahoma"/>
            <family val="2"/>
          </rPr>
          <t>Hypothèse : la proportion d'emballages est la même dans la consommation de résines recyclées que dans les flux de post-consommation.
Source : [9] ADEME (2020), p. 62</t>
        </r>
      </text>
    </comment>
    <comment ref="D29" authorId="2" shapeId="0" xr:uid="{44444B3D-3169-46DC-B9BF-0F0BB2D03B1C}">
      <text>
        <r>
          <rPr>
            <sz val="9"/>
            <color indexed="81"/>
            <rFont val="Tahoma"/>
            <family val="2"/>
          </rPr>
          <t>Hypothèse de transformation du PTEF</t>
        </r>
      </text>
    </comment>
    <comment ref="G29" authorId="2" shapeId="0" xr:uid="{86F1E485-4301-41D9-AFC7-3C87935C914C}">
      <text>
        <r>
          <rPr>
            <sz val="9"/>
            <color indexed="81"/>
            <rFont val="Tahoma"/>
            <family val="2"/>
          </rPr>
          <t>Hypothèse de transformation du PTEF</t>
        </r>
      </text>
    </comment>
    <comment ref="C30" authorId="0" shapeId="0" xr:uid="{C2E4DF8B-4A2D-41AF-AC8F-975317FB5DB3}">
      <text>
        <r>
          <rPr>
            <sz val="9"/>
            <color indexed="81"/>
            <rFont val="Tahoma"/>
            <family val="2"/>
          </rPr>
          <t>Source : ADEME (2020b), p.63Source : [9] ADEME (2020), p. 63</t>
        </r>
      </text>
    </comment>
    <comment ref="D31" authorId="2" shapeId="0" xr:uid="{8588D371-2BD8-4E6E-9F84-34B269052D29}">
      <text>
        <r>
          <rPr>
            <sz val="9"/>
            <color indexed="81"/>
            <rFont val="Tahoma"/>
            <family val="2"/>
          </rPr>
          <t>Objectif UE : cible de 55 % pour le taux de recyclage des emballages en 2030</t>
        </r>
      </text>
    </comment>
    <comment ref="G31" authorId="2" shapeId="0" xr:uid="{A8F08690-2249-4B80-B8DD-6554C6A529F5}">
      <text>
        <r>
          <rPr>
            <sz val="9"/>
            <color indexed="81"/>
            <rFont val="Tahoma"/>
            <family val="2"/>
          </rPr>
          <t>Objectif UE : cible de 90 % pour le taux de recyclage des emballages en 2050</t>
        </r>
      </text>
    </comment>
    <comment ref="C34" authorId="2" shapeId="0" xr:uid="{52882672-B642-41D1-86FC-C955BFA2655A}">
      <text>
        <r>
          <rPr>
            <sz val="9"/>
            <color indexed="81"/>
            <rFont val="Tahoma"/>
            <family val="2"/>
          </rPr>
          <t>Source : [10] ADEME (2024)</t>
        </r>
      </text>
    </comment>
    <comment ref="D34" authorId="2" shapeId="0" xr:uid="{ABB28A20-6D21-4E9D-A5D0-A28EF50FCF09}">
      <text>
        <r>
          <rPr>
            <sz val="9"/>
            <color indexed="81"/>
            <rFont val="Tahoma"/>
            <family val="2"/>
          </rPr>
          <t>Hypothèse : impact unitaire constant dans le temps</t>
        </r>
      </text>
    </comment>
    <comment ref="G34" authorId="2" shapeId="0" xr:uid="{843D1AFD-D0BC-4097-9CDF-90611AA71F48}">
      <text>
        <r>
          <rPr>
            <sz val="9"/>
            <color indexed="81"/>
            <rFont val="Tahoma"/>
            <family val="2"/>
          </rPr>
          <t>Hypothèse : impact unitaire constant dans le temps</t>
        </r>
      </text>
    </comment>
    <comment ref="C35" authorId="2" shapeId="0" xr:uid="{E4217179-B684-4948-B5E0-9FF61B8BD324}">
      <text>
        <r>
          <rPr>
            <sz val="9"/>
            <color indexed="81"/>
            <rFont val="Tahoma"/>
            <family val="2"/>
          </rPr>
          <t>Source : [10] ADEME (2024)</t>
        </r>
      </text>
    </comment>
    <comment ref="D35" authorId="2" shapeId="0" xr:uid="{389EF025-E32C-492C-BF0C-FBB61DCC5993}">
      <text>
        <r>
          <rPr>
            <sz val="9"/>
            <color indexed="81"/>
            <rFont val="Tahoma"/>
            <family val="2"/>
          </rPr>
          <t>Hypothèse : impact unitaire constant dans le temps</t>
        </r>
      </text>
    </comment>
    <comment ref="G35" authorId="2" shapeId="0" xr:uid="{B0DE7B62-AEB3-478E-86BC-52AEB3E2290E}">
      <text>
        <r>
          <rPr>
            <sz val="9"/>
            <color indexed="81"/>
            <rFont val="Tahoma"/>
            <family val="2"/>
          </rPr>
          <t>Hypothèse : impact unitaire constant dans le temps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MAX TSP</author>
  </authors>
  <commentList>
    <comment ref="D5" authorId="0" shapeId="0" xr:uid="{F5D5236F-07C8-41CB-969B-9BB949428F4F}">
      <text>
        <r>
          <rPr>
            <sz val="9"/>
            <color indexed="81"/>
            <rFont val="Tahoma"/>
            <family val="2"/>
          </rPr>
          <t>Calcul The Shift Project.
Scénario contraint par la disponibilité en électricité décarbonée, permettant de répondre à la demande de l'agriculture sans surplus à exporter.</t>
        </r>
      </text>
    </comment>
    <comment ref="G5" authorId="0" shapeId="0" xr:uid="{1F1EBE08-80DB-422D-9582-A654AC11A4D5}">
      <text>
        <r>
          <rPr>
            <sz val="9"/>
            <color indexed="81"/>
            <rFont val="Tahoma"/>
            <family val="2"/>
          </rPr>
          <t>Calcul The Shift Project.
Scénario permettant de répondre à la demande de l'agriculture à l'état final, tout en structurant une filière en mesure de répondre aux besoins de l'agriculture avant transformation, afin de palier tout manquement aux objectifs agricoles, de structurer une filière suffisamment importante pour déployer le CCS et d'exporter les surplus pour aider à la décarbonation européenne.</t>
        </r>
      </text>
    </comment>
    <comment ref="F6" authorId="0" shapeId="0" xr:uid="{B67A6BD2-B173-49B6-B3EB-A40E6069F755}">
      <text>
        <r>
          <rPr>
            <sz val="9"/>
            <color indexed="81"/>
            <rFont val="Tahoma"/>
            <family val="2"/>
          </rPr>
          <t>Evolution annuelle linéarisée</t>
        </r>
      </text>
    </comment>
    <comment ref="I6" authorId="0" shapeId="0" xr:uid="{68BC48B8-5DAB-4B77-952C-89A08B5B8948}">
      <text>
        <r>
          <rPr>
            <sz val="9"/>
            <color indexed="81"/>
            <rFont val="Tahoma"/>
            <family val="2"/>
          </rPr>
          <t>Evolution annuelle linéarisée</t>
        </r>
      </text>
    </comment>
    <comment ref="B7" authorId="0" shapeId="0" xr:uid="{B9C72E95-86D0-4AB4-AE39-5D173EAF3792}">
      <text>
        <r>
          <rPr>
            <sz val="9"/>
            <color indexed="81"/>
            <rFont val="Tahoma"/>
            <family val="2"/>
          </rPr>
          <t>Données en tonne d'élément nutritif azote "N".</t>
        </r>
      </text>
    </comment>
    <comment ref="D7" authorId="0" shapeId="0" xr:uid="{52125A7D-6FB7-4D16-B8A0-A124C8C52007}">
      <text>
        <r>
          <rPr>
            <sz val="9"/>
            <color indexed="81"/>
            <rFont val="Tahoma"/>
            <family val="2"/>
          </rPr>
          <t>Linéarisation de l'évolution brute entre état final et état initial, avec les assimilations temporelles suivantes : 
¤ Etat initial : 2018
¤ Point de passage : 2030
¤ Etat final : 2050</t>
        </r>
      </text>
    </comment>
    <comment ref="E7" authorId="0" shapeId="0" xr:uid="{0926F43E-944B-402A-A4F2-8520BC004D35}">
      <text>
        <r>
          <rPr>
            <sz val="9"/>
            <color indexed="81"/>
            <rFont val="Tahoma"/>
            <family val="2"/>
          </rPr>
          <t>Hyp. : la production nationale est indexée sur les besoins en consommation nationale.</t>
        </r>
      </text>
    </comment>
    <comment ref="G7" authorId="0" shapeId="0" xr:uid="{8A76B0AB-2A29-40AA-9BBA-120A4AB83EC3}">
      <text>
        <r>
          <rPr>
            <sz val="9"/>
            <color indexed="81"/>
            <rFont val="Tahoma"/>
            <family val="2"/>
          </rPr>
          <t>Linéarisation de l'évolution brute entre état final et état initial, avec les assimilations temporelles suivantes : 
¤ Etat initial : 2018
¤ Point de passage : 2030
¤ Etat final : 2050</t>
        </r>
      </text>
    </comment>
    <comment ref="H7" authorId="0" shapeId="0" xr:uid="{D82CBEF9-EB31-4F80-A366-C73634D24B10}">
      <text>
        <r>
          <rPr>
            <sz val="9"/>
            <color indexed="81"/>
            <rFont val="Tahoma"/>
            <family val="2"/>
          </rPr>
          <t>Hyp. : la politique de réindustrialisation permet de structurer une filière en mesure de répondre à des besoins proches de ceux de l'agriculture avant transformation.</t>
        </r>
      </text>
    </comment>
    <comment ref="B9" authorId="0" shapeId="0" xr:uid="{B6C54684-F896-4F6D-8114-7267CEB4962E}">
      <text>
        <r>
          <rPr>
            <sz val="9"/>
            <color indexed="81"/>
            <rFont val="Tahoma"/>
            <family val="2"/>
          </rPr>
          <t>Données en tonne d'élément nutritif azote "N".</t>
        </r>
      </text>
    </comment>
    <comment ref="C9" authorId="0" shapeId="0" xr:uid="{99A874DB-D139-42DC-81E8-CA981DA2055C}">
      <text>
        <r>
          <rPr>
            <sz val="9"/>
            <color indexed="81"/>
            <rFont val="Tahoma"/>
            <family val="2"/>
          </rPr>
          <t>Données pour 2018
Source : [12] IFASTAT, "Grand total N" pour les paramètres "France" et "All nitrogen products" ; [1] Unifa, p.5</t>
        </r>
      </text>
    </comment>
    <comment ref="D9" authorId="0" shapeId="0" xr:uid="{D10F93B9-A6FA-4E01-A57C-4D4F6875727B}">
      <text>
        <r>
          <rPr>
            <sz val="9"/>
            <color indexed="81"/>
            <rFont val="Tahoma"/>
            <family val="2"/>
          </rPr>
          <t>Linéarisation de l'évolution brute entre état final et état initial, avec les assimilations temporelles suivantes : 
¤ Etat initial : 2018
¤ Point de passage : 2030
¤ Etat final : 2050</t>
        </r>
      </text>
    </comment>
    <comment ref="G9" authorId="0" shapeId="0" xr:uid="{D4226711-335E-4254-8799-52675E292715}">
      <text>
        <r>
          <rPr>
            <sz val="9"/>
            <color indexed="81"/>
            <rFont val="Tahoma"/>
            <family val="2"/>
          </rPr>
          <t>Linéarisation de l'évolution brute entre état final et état initial, avec les assimilations temporelles suivantes : 
¤ Etat initial : 2018
¤ Point de passage : 2030
¤ Etat final : 2050</t>
        </r>
      </text>
    </comment>
    <comment ref="B10" authorId="0" shapeId="0" xr:uid="{0416E1FC-CCA6-4BC2-A7B7-A3B34EED0421}">
      <text>
        <r>
          <rPr>
            <sz val="9"/>
            <color indexed="81"/>
            <rFont val="Tahoma"/>
            <family val="2"/>
          </rPr>
          <t>Données en tonne d'élément nutritif azote "N".</t>
        </r>
      </text>
    </comment>
    <comment ref="C10" authorId="0" shapeId="0" xr:uid="{357DC0B6-DDD4-4BDB-B114-46A3E58BD756}">
      <text>
        <r>
          <rPr>
            <sz val="9"/>
            <color indexed="81"/>
            <rFont val="Tahoma"/>
            <family val="2"/>
          </rPr>
          <t>Données pour 2018
Source : [12] IFASTAT, "Grand total N" pour les paramètres "France" et "All nitrogen products"</t>
        </r>
      </text>
    </comment>
    <comment ref="B12" authorId="0" shapeId="0" xr:uid="{EB443FF4-C2E7-43EB-A341-1DD00434ADFE}">
      <text>
        <r>
          <rPr>
            <sz val="9"/>
            <color indexed="81"/>
            <rFont val="Tahoma"/>
            <family val="2"/>
          </rPr>
          <t>Données en tonne d'élément nutritif azote "N".</t>
        </r>
      </text>
    </comment>
    <comment ref="C12" authorId="0" shapeId="0" xr:uid="{11AE7ECF-58A8-4C35-9E6B-DA0130E11996}">
      <text>
        <r>
          <rPr>
            <sz val="9"/>
            <color indexed="81"/>
            <rFont val="Tahoma"/>
            <family val="2"/>
          </rPr>
          <t>Données pour 2018
Source : [12] IFASTAT, "Grand total N" pour les paramètres "France" et "All nitrogen products"</t>
        </r>
      </text>
    </comment>
    <comment ref="E14" authorId="0" shapeId="0" xr:uid="{727D80EA-1EA5-4327-BD41-27844E2713C6}">
      <text>
        <r>
          <rPr>
            <sz val="9"/>
            <color indexed="81"/>
            <rFont val="Tahoma"/>
            <family val="2"/>
          </rPr>
          <t>Résultat issu des modélisations du secteur Agriculture du PTEF
Source : [2] The Shift Project (2020)</t>
        </r>
      </text>
    </comment>
    <comment ref="H14" authorId="0" shapeId="0" xr:uid="{FEAA1F01-0938-4E0B-A229-BBD5184A16B5}">
      <text>
        <r>
          <rPr>
            <sz val="9"/>
            <color indexed="81"/>
            <rFont val="Tahoma"/>
            <family val="2"/>
          </rPr>
          <t>Résultat issu des modélisations du secteur Agriculture du PTEF
Source : [2] The Shift Project (2020)</t>
        </r>
      </text>
    </comment>
    <comment ref="B18" authorId="0" shapeId="0" xr:uid="{86B75DD7-AD5E-47A1-9B30-7214C95A4F31}">
      <text>
        <r>
          <rPr>
            <sz val="9"/>
            <color indexed="81"/>
            <rFont val="Tahoma"/>
            <family val="2"/>
          </rPr>
          <t>Production de l'hydrogène nécessaire à la production d'ammoniac, par vaporéformage de gaz fossile</t>
        </r>
      </text>
    </comment>
    <comment ref="B20" authorId="0" shapeId="0" xr:uid="{951F050A-5066-4DD7-9436-533DDB365FEA}">
      <text>
        <r>
          <rPr>
            <sz val="9"/>
            <color indexed="81"/>
            <rFont val="Tahoma"/>
            <family val="2"/>
          </rPr>
          <t>Production de l'hydrogène nécessaire à la production d'ammoniac, par électrolyse de l'eau</t>
        </r>
      </text>
    </comment>
    <comment ref="C21" authorId="0" shapeId="0" xr:uid="{76521176-E061-4347-8258-5BECB2756267}">
      <text>
        <r>
          <rPr>
            <sz val="9"/>
            <color indexed="81"/>
            <rFont val="Tahoma"/>
            <family val="2"/>
          </rPr>
          <t>Source : [15] DGEC, CEA (2018), p.28</t>
        </r>
      </text>
    </comment>
    <comment ref="D21" authorId="0" shapeId="0" xr:uid="{C6DD4A47-E1DE-4BF2-BE84-E4EEA90C7192}">
      <text>
        <r>
          <rPr>
            <sz val="9"/>
            <color indexed="81"/>
            <rFont val="Tahoma"/>
            <family val="2"/>
          </rPr>
          <t>Hypothèse de transformation du PTEF Industrie</t>
        </r>
      </text>
    </comment>
    <comment ref="E21" authorId="0" shapeId="0" xr:uid="{F6ABB578-D8A8-47F4-B8AF-8A7042495E73}">
      <text>
        <r>
          <rPr>
            <sz val="9"/>
            <color indexed="81"/>
            <rFont val="Tahoma"/>
            <family val="2"/>
          </rPr>
          <t>Hypothèse de transformation du PTEF Industrie</t>
        </r>
      </text>
    </comment>
    <comment ref="G21" authorId="0" shapeId="0" xr:uid="{C2C84FA3-8547-4FD8-A0F7-4FA30C3ED155}">
      <text>
        <r>
          <rPr>
            <sz val="9"/>
            <color indexed="81"/>
            <rFont val="Tahoma"/>
            <family val="2"/>
          </rPr>
          <t>Hypothèse de transformation du PTEF Industrie</t>
        </r>
      </text>
    </comment>
    <comment ref="H21" authorId="0" shapeId="0" xr:uid="{350C1F64-B2F8-4885-B47C-B8A56F1E6148}">
      <text>
        <r>
          <rPr>
            <sz val="9"/>
            <color indexed="81"/>
            <rFont val="Tahoma"/>
            <family val="2"/>
          </rPr>
          <t>Hypothèse de transformation du PTEF Industrie</t>
        </r>
      </text>
    </comment>
    <comment ref="B27" authorId="0" shapeId="0" xr:uid="{83145505-7E30-44D3-A431-94DCA94667BD}">
      <text>
        <r>
          <rPr>
            <sz val="9"/>
            <color indexed="81"/>
            <rFont val="Tahoma"/>
            <family val="2"/>
          </rPr>
          <t>Données en tonne d'élément nutritif azote "N", pour un engrais azoté moyen.</t>
        </r>
      </text>
    </comment>
    <comment ref="D27" authorId="0" shapeId="0" xr:uid="{619E4417-0652-4F20-8553-967F297A6D23}">
      <text>
        <r>
          <rPr>
            <sz val="9"/>
            <color indexed="81"/>
            <rFont val="Tahoma"/>
            <family val="2"/>
          </rPr>
          <t>Hypothèse : impact unitaire constant dans le temps</t>
        </r>
      </text>
    </comment>
    <comment ref="E27" authorId="0" shapeId="0" xr:uid="{B58E903A-F824-46F2-8D79-21B99474F6EA}">
      <text>
        <r>
          <rPr>
            <sz val="9"/>
            <color indexed="81"/>
            <rFont val="Tahoma"/>
            <family val="2"/>
          </rPr>
          <t>Hypothèse : impact unitaire constant dans le temps</t>
        </r>
      </text>
    </comment>
    <comment ref="G27" authorId="0" shapeId="0" xr:uid="{A2B61ED7-AD70-433D-ABC8-11888A533D62}">
      <text>
        <r>
          <rPr>
            <sz val="9"/>
            <color indexed="81"/>
            <rFont val="Tahoma"/>
            <family val="2"/>
          </rPr>
          <t>Hypothèse : impact unitaire constant dans le temps</t>
        </r>
      </text>
    </comment>
    <comment ref="H27" authorId="0" shapeId="0" xr:uid="{A9894DF9-5363-405A-8C4E-B1F6F7D64169}">
      <text>
        <r>
          <rPr>
            <sz val="9"/>
            <color indexed="81"/>
            <rFont val="Tahoma"/>
            <family val="2"/>
          </rPr>
          <t>Hypothèse : impact unitaire constant dans le temps</t>
        </r>
      </text>
    </comment>
    <comment ref="B28" authorId="0" shapeId="0" xr:uid="{2FF156FD-2A8B-4CE8-AD8C-9D724CAAD4C0}">
      <text>
        <r>
          <rPr>
            <sz val="9"/>
            <color indexed="81"/>
            <rFont val="Tahoma"/>
            <family val="2"/>
          </rPr>
          <t>Données en tonne d'élément nutritif azote "N", pour un engrais azoté moyen.</t>
        </r>
      </text>
    </comment>
    <comment ref="B35" authorId="0" shapeId="0" xr:uid="{8F735063-6A5D-4236-A000-A7E3656DD3D6}">
      <text>
        <r>
          <rPr>
            <sz val="9"/>
            <color indexed="81"/>
            <rFont val="Tahoma"/>
            <family val="2"/>
          </rPr>
          <t>Source : [4] Arvalis (2020), Tableau 1 p. 4</t>
        </r>
      </text>
    </comment>
    <comment ref="F36" authorId="0" shapeId="0" xr:uid="{5862C4A8-29EC-4261-A407-B0B96425DFFF}">
      <text>
        <r>
          <rPr>
            <sz val="9"/>
            <color indexed="81"/>
            <rFont val="Tahoma"/>
            <family val="2"/>
          </rPr>
          <t>Données GES recalculée par kg de produit "engrais".</t>
        </r>
      </text>
    </comment>
    <comment ref="D46" authorId="0" shapeId="0" xr:uid="{EB69C0EF-A653-4AB0-BF8B-296CCED0183B}">
      <text>
        <r>
          <rPr>
            <sz val="9"/>
            <color indexed="81"/>
            <rFont val="Tahoma"/>
            <family val="2"/>
          </rPr>
          <t>Données 2020.
Source : [7] ADEME (2020)</t>
        </r>
      </text>
    </comment>
    <comment ref="E46" authorId="0" shapeId="0" xr:uid="{1465A25F-642A-4D47-98EF-47EE909E1CA7}">
      <text>
        <r>
          <rPr>
            <sz val="9"/>
            <color indexed="81"/>
            <rFont val="Tahoma"/>
            <family val="2"/>
          </rPr>
          <t>Hypothèse : impact unitaire constant dans le temps</t>
        </r>
      </text>
    </comment>
    <comment ref="F46" authorId="0" shapeId="0" xr:uid="{3AA67223-F0F2-412D-AEF4-ED317B3F30EF}">
      <text>
        <r>
          <rPr>
            <sz val="9"/>
            <color indexed="81"/>
            <rFont val="Tahoma"/>
            <family val="2"/>
          </rPr>
          <t>Hypothèse : impact unitaire constant dans le temps</t>
        </r>
      </text>
    </comment>
    <comment ref="G46" authorId="0" shapeId="0" xr:uid="{6D968041-BA95-43C0-84BD-E21E098F3F22}">
      <text>
        <r>
          <rPr>
            <sz val="9"/>
            <color indexed="81"/>
            <rFont val="Tahoma"/>
            <family val="2"/>
          </rPr>
          <t>Données 2019.
Source : [5] IEA (2019), p. 99</t>
        </r>
      </text>
    </comment>
    <comment ref="H46" authorId="0" shapeId="0" xr:uid="{7990ECC0-D242-4A89-8266-EDDC588694C6}">
      <text>
        <r>
          <rPr>
            <sz val="9"/>
            <color indexed="81"/>
            <rFont val="Tahoma"/>
            <family val="2"/>
          </rPr>
          <t>Données 2019.
Source : [5] IEA (2021), p. 19</t>
        </r>
      </text>
    </comment>
    <comment ref="I46" authorId="0" shapeId="0" xr:uid="{55314195-B042-4C69-B980-FB37E961BA6E}">
      <text>
        <r>
          <rPr>
            <sz val="9"/>
            <color indexed="81"/>
            <rFont val="Tahoma"/>
            <family val="2"/>
          </rPr>
          <t>Données 2019.
Source : [5] IEA (2021), p. 19</t>
        </r>
      </text>
    </comment>
    <comment ref="C47" authorId="0" shapeId="0" xr:uid="{0F3E83EC-61C7-40EB-B5DF-20E5A7BC312C}">
      <text>
        <r>
          <rPr>
            <sz val="9"/>
            <color indexed="81"/>
            <rFont val="Tahoma"/>
            <family val="2"/>
          </rPr>
          <t>Source : [11] ADEME (2020), p. 4</t>
        </r>
      </text>
    </comment>
    <comment ref="B54" authorId="0" shapeId="0" xr:uid="{F9417027-A62B-4540-8E65-4B0DE76C1FC0}">
      <text>
        <r>
          <rPr>
            <sz val="9"/>
            <color indexed="81"/>
            <rFont val="Tahoma"/>
            <family val="2"/>
          </rPr>
          <t>Donnée par tonne d'ammoniac NH3.</t>
        </r>
      </text>
    </comment>
    <comment ref="B56" authorId="0" shapeId="0" xr:uid="{DA420A24-B1F6-440A-9350-FC3D258CF869}">
      <text>
        <r>
          <rPr>
            <sz val="9"/>
            <color indexed="81"/>
            <rFont val="Tahoma"/>
            <family val="2"/>
          </rPr>
          <t>Donnée par tonne de produit "engrais".</t>
        </r>
      </text>
    </comment>
    <comment ref="C60" authorId="0" shapeId="0" xr:uid="{BAC5CD4C-18E8-4BD7-B99D-6701E7E774AC}">
      <text>
        <r>
          <rPr>
            <sz val="9"/>
            <color indexed="81"/>
            <rFont val="Tahoma"/>
            <family val="2"/>
          </rPr>
          <t>Données 2019
Source : [18] RTE (2022), p. 903</t>
        </r>
      </text>
    </comment>
    <comment ref="D60" authorId="0" shapeId="0" xr:uid="{862AEAD0-5031-43D8-B273-3A49E0FAEE3B}">
      <text>
        <r>
          <rPr>
            <sz val="9"/>
            <color indexed="81"/>
            <rFont val="Tahoma"/>
            <family val="2"/>
          </rPr>
          <t>Source : [18] RTE (2022), p. 903</t>
        </r>
      </text>
    </comment>
    <comment ref="E60" authorId="0" shapeId="0" xr:uid="{B194D3A5-E1C0-4936-9109-7C258685C776}">
      <text>
        <r>
          <rPr>
            <sz val="9"/>
            <color indexed="81"/>
            <rFont val="Tahoma"/>
            <family val="2"/>
          </rPr>
          <t>Source : [18] RTE (2022), p. 903</t>
        </r>
      </text>
    </comment>
    <comment ref="C61" authorId="0" shapeId="0" xr:uid="{D3C062EF-FF2E-4566-A0F7-13B4D1CC7893}">
      <text>
        <r>
          <rPr>
            <sz val="9"/>
            <color indexed="81"/>
            <rFont val="Tahoma"/>
            <family val="2"/>
          </rPr>
          <t>Données 2019
Source : [18] RTE (2022), p. 652, 656</t>
        </r>
      </text>
    </comment>
    <comment ref="D61" authorId="0" shapeId="0" xr:uid="{C5CF5ABD-7B83-4D68-87B4-434289E0D740}">
      <text>
        <r>
          <rPr>
            <sz val="9"/>
            <color indexed="81"/>
            <rFont val="Tahoma"/>
            <family val="2"/>
          </rPr>
          <t>Source : [18] RTE (2022), p. 656, lecture graphique</t>
        </r>
      </text>
    </comment>
    <comment ref="E61" authorId="0" shapeId="0" xr:uid="{4771EF2D-2683-4346-8F83-838F54AEC6AF}">
      <text>
        <r>
          <rPr>
            <sz val="9"/>
            <color indexed="81"/>
            <rFont val="Tahoma"/>
            <family val="2"/>
          </rPr>
          <t>Source : [18] RTE (2022), p. 656, lecture graphique</t>
        </r>
      </text>
    </comment>
  </commentList>
</comments>
</file>

<file path=xl/sharedStrings.xml><?xml version="1.0" encoding="utf-8"?>
<sst xmlns="http://schemas.openxmlformats.org/spreadsheetml/2006/main" count="191" uniqueCount="175">
  <si>
    <t>Code couleur</t>
  </si>
  <si>
    <t>Référence</t>
  </si>
  <si>
    <t xml:space="preserve"> Cellules dont le résultat est obtenu par calcul à partir d'autres cellules du tableur</t>
  </si>
  <si>
    <t>Les cellules blanches contiennent des données soit issues d'une source, soit issues d'une hypothèse faite dans le cadre du PTEF de The Shift Project</t>
  </si>
  <si>
    <t>Sources</t>
  </si>
  <si>
    <t>Les sources sont indiquées en commentaire pour chaque cellule contenant une donnée n'étant ni un calcul ni une hypothèse. L'indication en commentaire renvoie vers les références complètes listées dans l'onglet "Sources".</t>
  </si>
  <si>
    <t>Le présent document tient compte des hypothèses prises dans la version finale du PTEF, dont les différents rapports ont été publiés entre 2021 et 2022. Des corrections mineures ont pu être apportées pour s'appuyer sur la littérature la plus consolidée possible pour éclairer les hypothèses, point de départ et projections sur lesquelles s'appuient les travaux. Cela explique des écarts pouvant exister entre les résultats présentés dans ce tableur et la publication du rapport "Décarboner l'industrie sans la saborder" de janvier 2022. Ces écarts restent mineurs, et ne remettent pas en cause les conclusions et recommandations du rapport.</t>
  </si>
  <si>
    <t>: par calcul</t>
  </si>
  <si>
    <r>
      <t>en MtCO</t>
    </r>
    <r>
      <rPr>
        <vertAlign val="subscript"/>
        <sz val="8"/>
        <color theme="1"/>
        <rFont val="Arial"/>
        <family val="2"/>
      </rPr>
      <t>2</t>
    </r>
    <r>
      <rPr>
        <sz val="8"/>
        <color theme="1"/>
        <rFont val="Arial"/>
        <family val="2"/>
      </rPr>
      <t>e</t>
    </r>
  </si>
  <si>
    <t>Etat inital</t>
  </si>
  <si>
    <t>Feuille de route CNI-France Chimie (2021)</t>
  </si>
  <si>
    <t>Trajectoire PTEF</t>
  </si>
  <si>
    <t>2015 - 2030</t>
  </si>
  <si>
    <t>CAGR 15-30</t>
  </si>
  <si>
    <t>2030 - 2050</t>
  </si>
  <si>
    <t>CAGR 30-50</t>
  </si>
  <si>
    <t>2050-2015</t>
  </si>
  <si>
    <t>% cascade</t>
  </si>
  <si>
    <t>GES secteur</t>
  </si>
  <si>
    <t>GES Plastiques</t>
  </si>
  <si>
    <t>GES Engrais</t>
  </si>
  <si>
    <t>Leviers de progrès continu</t>
  </si>
  <si>
    <r>
      <t>GES hors-CO</t>
    </r>
    <r>
      <rPr>
        <b/>
        <vertAlign val="subscript"/>
        <sz val="8"/>
        <color theme="1"/>
        <rFont val="Arial"/>
        <family val="2"/>
      </rPr>
      <t>2</t>
    </r>
  </si>
  <si>
    <r>
      <t>N</t>
    </r>
    <r>
      <rPr>
        <vertAlign val="subscript"/>
        <sz val="8"/>
        <color theme="1"/>
        <rFont val="Arial"/>
        <family val="2"/>
      </rPr>
      <t>2</t>
    </r>
    <r>
      <rPr>
        <sz val="8"/>
        <color theme="1"/>
        <rFont val="Arial"/>
        <family val="2"/>
      </rPr>
      <t>O</t>
    </r>
  </si>
  <si>
    <t>HFC</t>
  </si>
  <si>
    <r>
      <t>CO</t>
    </r>
    <r>
      <rPr>
        <b/>
        <vertAlign val="subscript"/>
        <sz val="8"/>
        <color theme="1"/>
        <rFont val="Arial"/>
        <family val="2"/>
      </rPr>
      <t>2</t>
    </r>
  </si>
  <si>
    <t>Effet EE</t>
  </si>
  <si>
    <t>Effet Biomasse</t>
  </si>
  <si>
    <t>Effet CSR</t>
  </si>
  <si>
    <t>TOTAL effet leviers de progrès continu</t>
  </si>
  <si>
    <t>Leviers de rupture</t>
  </si>
  <si>
    <t>Recyclage - plastiques</t>
  </si>
  <si>
    <r>
      <t>H</t>
    </r>
    <r>
      <rPr>
        <vertAlign val="subscript"/>
        <sz val="8"/>
        <color theme="1"/>
        <rFont val="Arial"/>
        <family val="2"/>
      </rPr>
      <t>2</t>
    </r>
    <r>
      <rPr>
        <sz val="8"/>
        <color theme="1"/>
        <rFont val="Arial"/>
        <family val="2"/>
      </rPr>
      <t xml:space="preserve"> par électrolyse - engrais azotés</t>
    </r>
  </si>
  <si>
    <t>CCS</t>
  </si>
  <si>
    <t>Hors engrais</t>
  </si>
  <si>
    <t>Pour engrais</t>
  </si>
  <si>
    <t>TOTAL effet leviers de rupture</t>
  </si>
  <si>
    <t>Sobriété</t>
  </si>
  <si>
    <t>Plastiques</t>
  </si>
  <si>
    <t>Engrais</t>
  </si>
  <si>
    <t>TOTAL effet sobriété</t>
  </si>
  <si>
    <t>Filières plastiques</t>
  </si>
  <si>
    <t>2016 - 2030</t>
  </si>
  <si>
    <t>CAGR 16-30</t>
  </si>
  <si>
    <t>2016 - 2050</t>
  </si>
  <si>
    <t>CAGR 16-50</t>
  </si>
  <si>
    <t>Consommation plastiques en France (Mt)</t>
  </si>
  <si>
    <t>Résines vierges (Mt)</t>
  </si>
  <si>
    <t>Résines recyclées (Mt)</t>
  </si>
  <si>
    <r>
      <t>Emmissions filières plastiques (MtCO</t>
    </r>
    <r>
      <rPr>
        <b/>
        <vertAlign val="subscript"/>
        <sz val="8"/>
        <color theme="1"/>
        <rFont val="Arial"/>
        <family val="2"/>
      </rPr>
      <t>2</t>
    </r>
    <r>
      <rPr>
        <b/>
        <sz val="8"/>
        <color theme="1"/>
        <rFont val="Arial"/>
        <family val="2"/>
      </rPr>
      <t>e)</t>
    </r>
  </si>
  <si>
    <r>
      <t>Résines vierges (MtCO</t>
    </r>
    <r>
      <rPr>
        <vertAlign val="subscript"/>
        <sz val="8"/>
        <color theme="1"/>
        <rFont val="Arial"/>
        <family val="2"/>
      </rPr>
      <t>2</t>
    </r>
    <r>
      <rPr>
        <sz val="8"/>
        <color theme="1"/>
        <rFont val="Arial"/>
        <family val="2"/>
      </rPr>
      <t>e)</t>
    </r>
  </si>
  <si>
    <r>
      <t>Résines recyclées (MtCO</t>
    </r>
    <r>
      <rPr>
        <vertAlign val="subscript"/>
        <sz val="8"/>
        <color theme="1"/>
        <rFont val="Arial"/>
        <family val="2"/>
      </rPr>
      <t>2</t>
    </r>
    <r>
      <rPr>
        <sz val="8"/>
        <color theme="1"/>
        <rFont val="Arial"/>
        <family val="2"/>
      </rPr>
      <t>e)</t>
    </r>
  </si>
  <si>
    <t>Evolution demandes des secteurs avals</t>
  </si>
  <si>
    <t>Répartition initiale de la demande aval :</t>
  </si>
  <si>
    <t>Evolution demande sectorielle aval</t>
  </si>
  <si>
    <t>Emballage</t>
  </si>
  <si>
    <t>Construction</t>
  </si>
  <si>
    <t>Automobile</t>
  </si>
  <si>
    <t>Electronique</t>
  </si>
  <si>
    <t>Maison, loisirs</t>
  </si>
  <si>
    <t>Agriculture</t>
  </si>
  <si>
    <t>Autres</t>
  </si>
  <si>
    <t>TOTAL demande aval</t>
  </si>
  <si>
    <t>Recyclage plastiques</t>
  </si>
  <si>
    <t>Cons. résines vierges (Mt)</t>
  </si>
  <si>
    <t>Collecte brute (Mt)</t>
  </si>
  <si>
    <t>dont emballages (Mt)</t>
  </si>
  <si>
    <t>Collecte orientée (Mt)</t>
  </si>
  <si>
    <t>Cons. résines recyclées (Mt)</t>
  </si>
  <si>
    <t>Taux de recyclage des résines</t>
  </si>
  <si>
    <t>Taux de recyclage des emballages</t>
  </si>
  <si>
    <t>Emissions GES</t>
  </si>
  <si>
    <r>
      <t>Emissions unitaires (tCO</t>
    </r>
    <r>
      <rPr>
        <b/>
        <vertAlign val="subscript"/>
        <sz val="8"/>
        <color theme="1"/>
        <rFont val="Arial"/>
        <family val="2"/>
      </rPr>
      <t>2</t>
    </r>
    <r>
      <rPr>
        <b/>
        <sz val="8"/>
        <color theme="1"/>
        <rFont val="Arial"/>
        <family val="2"/>
      </rPr>
      <t>e/t)</t>
    </r>
  </si>
  <si>
    <t>Prod. résines vierges</t>
  </si>
  <si>
    <t>Prod. résines recyclées</t>
  </si>
  <si>
    <r>
      <t>Emissions du secteur (MtCO</t>
    </r>
    <r>
      <rPr>
        <b/>
        <vertAlign val="subscript"/>
        <sz val="8"/>
        <color theme="1"/>
        <rFont val="Arial"/>
        <family val="2"/>
      </rPr>
      <t>2</t>
    </r>
    <r>
      <rPr>
        <b/>
        <sz val="8"/>
        <color theme="1"/>
        <rFont val="Arial"/>
        <family val="2"/>
      </rPr>
      <t>e)</t>
    </r>
  </si>
  <si>
    <t>TOTAL</t>
  </si>
  <si>
    <t>Filière engrais azotés</t>
  </si>
  <si>
    <t>Scénario de PTEF de référence</t>
  </si>
  <si>
    <t>Scénario de réindustrialisation</t>
  </si>
  <si>
    <t>CAGR 18-50</t>
  </si>
  <si>
    <r>
      <t>Production en France (en Mt</t>
    </r>
    <r>
      <rPr>
        <b/>
        <vertAlign val="subscript"/>
        <sz val="8"/>
        <color theme="1"/>
        <rFont val="Arial"/>
        <family val="2"/>
      </rPr>
      <t>N</t>
    </r>
    <r>
      <rPr>
        <b/>
        <sz val="8"/>
        <color theme="1"/>
        <rFont val="Arial"/>
        <family val="2"/>
      </rPr>
      <t>/an)</t>
    </r>
  </si>
  <si>
    <t>Structuration de la filière engrais azotés</t>
  </si>
  <si>
    <r>
      <t>Consommation en France (en Mt</t>
    </r>
    <r>
      <rPr>
        <vertAlign val="subscript"/>
        <sz val="8"/>
        <color theme="1"/>
        <rFont val="Arial"/>
        <family val="2"/>
      </rPr>
      <t>N</t>
    </r>
    <r>
      <rPr>
        <sz val="8"/>
        <color theme="1"/>
        <rFont val="Arial"/>
        <family val="2"/>
      </rPr>
      <t>/an)</t>
    </r>
  </si>
  <si>
    <r>
      <t>Importations (en Mt</t>
    </r>
    <r>
      <rPr>
        <vertAlign val="subscript"/>
        <sz val="8"/>
        <color theme="1"/>
        <rFont val="Arial"/>
        <family val="2"/>
      </rPr>
      <t>N</t>
    </r>
    <r>
      <rPr>
        <sz val="8"/>
        <color theme="1"/>
        <rFont val="Arial"/>
        <family val="2"/>
      </rPr>
      <t>/an)</t>
    </r>
  </si>
  <si>
    <t>Part des importations dans conso. (en %)</t>
  </si>
  <si>
    <r>
      <t>Exportations (en Mt</t>
    </r>
    <r>
      <rPr>
        <vertAlign val="subscript"/>
        <sz val="8"/>
        <color theme="1"/>
        <rFont val="Arial"/>
        <family val="2"/>
      </rPr>
      <t>N</t>
    </r>
    <r>
      <rPr>
        <sz val="8"/>
        <color theme="1"/>
        <rFont val="Arial"/>
        <family val="2"/>
      </rPr>
      <t>/an)</t>
    </r>
  </si>
  <si>
    <t>Evolutions depuis l'état initial</t>
  </si>
  <si>
    <t>Demande en engrais de l'agri. (en % d'évolution)</t>
  </si>
  <si>
    <t>Production en France (en % d'évolution)</t>
  </si>
  <si>
    <t>Importations (en % d'évolution)</t>
  </si>
  <si>
    <t>Production d'hydrogène par électrolyse</t>
  </si>
  <si>
    <r>
      <t>Prod. d'engrais par appro. en H</t>
    </r>
    <r>
      <rPr>
        <vertAlign val="subscript"/>
        <sz val="8"/>
        <color theme="1"/>
        <rFont val="Arial"/>
        <family val="2"/>
      </rPr>
      <t>2</t>
    </r>
    <r>
      <rPr>
        <sz val="8"/>
        <color theme="1"/>
        <rFont val="Arial"/>
        <family val="2"/>
      </rPr>
      <t xml:space="preserve"> fossile (en Mt</t>
    </r>
    <r>
      <rPr>
        <vertAlign val="subscript"/>
        <sz val="8"/>
        <color theme="1"/>
        <rFont val="Arial"/>
        <family val="2"/>
      </rPr>
      <t>N</t>
    </r>
    <r>
      <rPr>
        <sz val="8"/>
        <color theme="1"/>
        <rFont val="Arial"/>
        <family val="2"/>
      </rPr>
      <t>)</t>
    </r>
  </si>
  <si>
    <t>Part de la production (en %)</t>
  </si>
  <si>
    <r>
      <t>Prod. d'engrais par appro. en H</t>
    </r>
    <r>
      <rPr>
        <vertAlign val="subscript"/>
        <sz val="8"/>
        <color theme="1"/>
        <rFont val="Arial"/>
        <family val="2"/>
      </rPr>
      <t>2</t>
    </r>
    <r>
      <rPr>
        <sz val="8"/>
        <color theme="1"/>
        <rFont val="Arial"/>
        <family val="2"/>
      </rPr>
      <t xml:space="preserve"> décarboné (en Mt</t>
    </r>
    <r>
      <rPr>
        <vertAlign val="subscript"/>
        <sz val="8"/>
        <color theme="1"/>
        <rFont val="Arial"/>
        <family val="2"/>
      </rPr>
      <t>N</t>
    </r>
    <r>
      <rPr>
        <sz val="8"/>
        <color theme="1"/>
        <rFont val="Arial"/>
        <family val="2"/>
      </rPr>
      <t>)</t>
    </r>
  </si>
  <si>
    <r>
      <t>Besoins en H</t>
    </r>
    <r>
      <rPr>
        <vertAlign val="subscript"/>
        <sz val="8"/>
        <color theme="1"/>
        <rFont val="Arial"/>
        <family val="2"/>
      </rPr>
      <t>2</t>
    </r>
    <r>
      <rPr>
        <sz val="8"/>
        <color theme="1"/>
        <rFont val="Arial"/>
        <family val="2"/>
      </rPr>
      <t xml:space="preserve"> pour prod. NH</t>
    </r>
    <r>
      <rPr>
        <vertAlign val="subscript"/>
        <sz val="8"/>
        <color theme="1"/>
        <rFont val="Arial"/>
        <family val="2"/>
      </rPr>
      <t>3</t>
    </r>
    <r>
      <rPr>
        <sz val="8"/>
        <color theme="1"/>
        <rFont val="Arial"/>
        <family val="2"/>
      </rPr>
      <t xml:space="preserve"> (en t</t>
    </r>
    <r>
      <rPr>
        <vertAlign val="subscript"/>
        <sz val="8"/>
        <color theme="1"/>
        <rFont val="Arial"/>
        <family val="2"/>
      </rPr>
      <t>H2</t>
    </r>
    <r>
      <rPr>
        <sz val="8"/>
        <color theme="1"/>
        <rFont val="Arial"/>
        <family val="2"/>
      </rPr>
      <t>/t</t>
    </r>
    <r>
      <rPr>
        <vertAlign val="subscript"/>
        <sz val="8"/>
        <color theme="1"/>
        <rFont val="Arial"/>
        <family val="2"/>
      </rPr>
      <t>NH3</t>
    </r>
    <r>
      <rPr>
        <sz val="8"/>
        <color theme="1"/>
        <rFont val="Arial"/>
        <family val="2"/>
      </rPr>
      <t>)</t>
    </r>
  </si>
  <si>
    <r>
      <t>Quantité d'H</t>
    </r>
    <r>
      <rPr>
        <vertAlign val="subscript"/>
        <sz val="8"/>
        <color theme="1"/>
        <rFont val="Arial"/>
        <family val="2"/>
      </rPr>
      <t xml:space="preserve">2 </t>
    </r>
    <r>
      <rPr>
        <sz val="8"/>
        <color theme="1"/>
        <rFont val="Arial"/>
        <family val="2"/>
      </rPr>
      <t>consommée par la filière (Mt)</t>
    </r>
  </si>
  <si>
    <r>
      <t>Besoins en élec. pour prod. H</t>
    </r>
    <r>
      <rPr>
        <vertAlign val="subscript"/>
        <sz val="8"/>
        <color theme="1"/>
        <rFont val="Arial"/>
        <family val="2"/>
      </rPr>
      <t>2</t>
    </r>
    <r>
      <rPr>
        <sz val="8"/>
        <color theme="1"/>
        <rFont val="Arial"/>
        <family val="2"/>
      </rPr>
      <t xml:space="preserve"> (en TWh)</t>
    </r>
  </si>
  <si>
    <r>
      <t>Emissions unitaires (tCO</t>
    </r>
    <r>
      <rPr>
        <b/>
        <vertAlign val="subscript"/>
        <sz val="8"/>
        <color theme="1"/>
        <rFont val="Arial"/>
        <family val="2"/>
      </rPr>
      <t>2</t>
    </r>
    <r>
      <rPr>
        <b/>
        <sz val="8"/>
        <color theme="1"/>
        <rFont val="Arial"/>
        <family val="2"/>
      </rPr>
      <t>e/t</t>
    </r>
    <r>
      <rPr>
        <b/>
        <vertAlign val="subscript"/>
        <sz val="8"/>
        <color theme="1"/>
        <rFont val="Arial"/>
        <family val="2"/>
      </rPr>
      <t>N</t>
    </r>
    <r>
      <rPr>
        <b/>
        <sz val="8"/>
        <color theme="1"/>
        <rFont val="Arial"/>
        <family val="2"/>
      </rPr>
      <t>)</t>
    </r>
  </si>
  <si>
    <t>Par appro. en hydrogène issu du gaz naturel</t>
  </si>
  <si>
    <t>Par appro. en hydrogène issu d'électrolyse de l'eau</t>
  </si>
  <si>
    <t>Par approvisionnement en hydrogène fossile</t>
  </si>
  <si>
    <t>Par approvisionnement en hydrogène décarboné</t>
  </si>
  <si>
    <t>Données brutes du Guide GES'TIM+</t>
  </si>
  <si>
    <t>Type d'engrais</t>
  </si>
  <si>
    <t>Part dans l'engrais azoté moyen</t>
  </si>
  <si>
    <r>
      <t xml:space="preserve">Composition
</t>
    </r>
    <r>
      <rPr>
        <sz val="8"/>
        <color theme="9" tint="-0.499984740745262"/>
        <rFont val="Arial"/>
        <family val="2"/>
      </rPr>
      <t>(en % massique de N)</t>
    </r>
  </si>
  <si>
    <r>
      <t xml:space="preserve">Impact GES
</t>
    </r>
    <r>
      <rPr>
        <sz val="8"/>
        <color theme="9" tint="-0.499984740745262"/>
        <rFont val="Arial"/>
        <family val="2"/>
      </rPr>
      <t>(en kgCO</t>
    </r>
    <r>
      <rPr>
        <vertAlign val="subscript"/>
        <sz val="8"/>
        <color theme="9" tint="-0.499984740745262"/>
        <rFont val="Arial"/>
        <family val="2"/>
      </rPr>
      <t>2</t>
    </r>
    <r>
      <rPr>
        <sz val="8"/>
        <color theme="9" tint="-0.499984740745262"/>
        <rFont val="Arial"/>
        <family val="2"/>
      </rPr>
      <t>e / kg</t>
    </r>
    <r>
      <rPr>
        <vertAlign val="subscript"/>
        <sz val="8"/>
        <color theme="9" tint="-0.499984740745262"/>
        <rFont val="Arial"/>
        <family val="2"/>
      </rPr>
      <t>N</t>
    </r>
    <r>
      <rPr>
        <sz val="8"/>
        <color theme="9" tint="-0.499984740745262"/>
        <rFont val="Arial"/>
        <family val="2"/>
      </rPr>
      <t>)</t>
    </r>
  </si>
  <si>
    <r>
      <t xml:space="preserve">Impact GES
</t>
    </r>
    <r>
      <rPr>
        <sz val="8"/>
        <color theme="9" tint="-0.499984740745262"/>
        <rFont val="Arial"/>
        <family val="2"/>
      </rPr>
      <t>(en kgCO</t>
    </r>
    <r>
      <rPr>
        <vertAlign val="subscript"/>
        <sz val="8"/>
        <color theme="9" tint="-0.499984740745262"/>
        <rFont val="Arial"/>
        <family val="2"/>
      </rPr>
      <t>2</t>
    </r>
    <r>
      <rPr>
        <sz val="8"/>
        <color theme="9" tint="-0.499984740745262"/>
        <rFont val="Arial"/>
        <family val="2"/>
      </rPr>
      <t>e / kg)</t>
    </r>
  </si>
  <si>
    <t>Ammonitrates</t>
  </si>
  <si>
    <t>Ammonitrates calcaire</t>
  </si>
  <si>
    <t>Solution azotée</t>
  </si>
  <si>
    <t>Urée</t>
  </si>
  <si>
    <t>Engrais azoté moyen</t>
  </si>
  <si>
    <t>Filière hydrogène pour les engrais en France</t>
  </si>
  <si>
    <t>Filière</t>
  </si>
  <si>
    <r>
      <t xml:space="preserve">Conso. élec.
</t>
    </r>
    <r>
      <rPr>
        <sz val="8"/>
        <color theme="9" tint="-0.499984740745262"/>
        <rFont val="Arial"/>
        <family val="2"/>
      </rPr>
      <t>(en kWh/kg</t>
    </r>
    <r>
      <rPr>
        <vertAlign val="subscript"/>
        <sz val="8"/>
        <color theme="9" tint="-0.499984740745262"/>
        <rFont val="Arial"/>
        <family val="2"/>
      </rPr>
      <t>H2</t>
    </r>
    <r>
      <rPr>
        <sz val="8"/>
        <color theme="9" tint="-0.499984740745262"/>
        <rFont val="Arial"/>
        <family val="2"/>
      </rPr>
      <t>)</t>
    </r>
  </si>
  <si>
    <r>
      <t>Facteur d'émissions GES pour la production de H</t>
    </r>
    <r>
      <rPr>
        <b/>
        <vertAlign val="subscript"/>
        <sz val="8"/>
        <color theme="9" tint="-0.499984740745262"/>
        <rFont val="Arial"/>
        <family val="2"/>
      </rPr>
      <t>2</t>
    </r>
    <r>
      <rPr>
        <b/>
        <sz val="8"/>
        <color theme="9" tint="-0.499984740745262"/>
        <rFont val="Arial"/>
        <family val="2"/>
      </rPr>
      <t xml:space="preserve"> en France
</t>
    </r>
    <r>
      <rPr>
        <sz val="8"/>
        <color theme="9" tint="-0.499984740745262"/>
        <rFont val="Arial"/>
        <family val="2"/>
      </rPr>
      <t>(en tCO</t>
    </r>
    <r>
      <rPr>
        <vertAlign val="subscript"/>
        <sz val="8"/>
        <color theme="9" tint="-0.499984740745262"/>
        <rFont val="Arial"/>
        <family val="2"/>
      </rPr>
      <t>2</t>
    </r>
    <r>
      <rPr>
        <sz val="8"/>
        <color theme="9" tint="-0.499984740745262"/>
        <rFont val="Arial"/>
        <family val="2"/>
      </rPr>
      <t>e/t</t>
    </r>
    <r>
      <rPr>
        <vertAlign val="subscript"/>
        <sz val="8"/>
        <color theme="9" tint="-0.499984740745262"/>
        <rFont val="Arial"/>
        <family val="2"/>
      </rPr>
      <t>H2</t>
    </r>
    <r>
      <rPr>
        <sz val="8"/>
        <color theme="9" tint="-0.499984740745262"/>
        <rFont val="Arial"/>
        <family val="2"/>
      </rPr>
      <t>)</t>
    </r>
  </si>
  <si>
    <r>
      <t>Masse de H</t>
    </r>
    <r>
      <rPr>
        <b/>
        <vertAlign val="subscript"/>
        <sz val="8"/>
        <color theme="9" tint="-0.499984740745262"/>
        <rFont val="Arial"/>
        <family val="2"/>
      </rPr>
      <t>2</t>
    </r>
    <r>
      <rPr>
        <b/>
        <sz val="8"/>
        <color theme="9" tint="-0.499984740745262"/>
        <rFont val="Arial"/>
        <family val="2"/>
      </rPr>
      <t xml:space="preserve"> pour prod. NH</t>
    </r>
    <r>
      <rPr>
        <b/>
        <vertAlign val="subscript"/>
        <sz val="8"/>
        <color theme="9" tint="-0.499984740745262"/>
        <rFont val="Arial"/>
        <family val="2"/>
      </rPr>
      <t>3</t>
    </r>
    <r>
      <rPr>
        <b/>
        <sz val="8"/>
        <color theme="9" tint="-0.499984740745262"/>
        <rFont val="Arial"/>
        <family val="2"/>
      </rPr>
      <t xml:space="preserve"> dans le Monde </t>
    </r>
    <r>
      <rPr>
        <sz val="8"/>
        <color theme="9" tint="-0.499984740745262"/>
        <rFont val="Arial"/>
        <family val="2"/>
      </rPr>
      <t>(en Mt</t>
    </r>
    <r>
      <rPr>
        <vertAlign val="subscript"/>
        <sz val="8"/>
        <color theme="9" tint="-0.499984740745262"/>
        <rFont val="Arial"/>
        <family val="2"/>
      </rPr>
      <t>H2</t>
    </r>
    <r>
      <rPr>
        <sz val="8"/>
        <color theme="9" tint="-0.499984740745262"/>
        <rFont val="Arial"/>
        <family val="2"/>
      </rPr>
      <t>)</t>
    </r>
  </si>
  <si>
    <r>
      <t>Masse de NH</t>
    </r>
    <r>
      <rPr>
        <b/>
        <vertAlign val="subscript"/>
        <sz val="8"/>
        <color theme="9" tint="-0.499984740745262"/>
        <rFont val="Arial"/>
        <family val="2"/>
      </rPr>
      <t>3</t>
    </r>
    <r>
      <rPr>
        <b/>
        <sz val="8"/>
        <color theme="9" tint="-0.499984740745262"/>
        <rFont val="Arial"/>
        <family val="2"/>
      </rPr>
      <t xml:space="preserve"> produite dans le Monde </t>
    </r>
    <r>
      <rPr>
        <sz val="8"/>
        <color theme="9" tint="-0.499984740745262"/>
        <rFont val="Arial"/>
        <family val="2"/>
      </rPr>
      <t>(en Mt</t>
    </r>
    <r>
      <rPr>
        <vertAlign val="subscript"/>
        <sz val="8"/>
        <color theme="9" tint="-0.499984740745262"/>
        <rFont val="Arial"/>
        <family val="2"/>
      </rPr>
      <t>NH3</t>
    </r>
    <r>
      <rPr>
        <sz val="8"/>
        <color theme="9" tint="-0.499984740745262"/>
        <rFont val="Arial"/>
        <family val="2"/>
      </rPr>
      <t>)</t>
    </r>
  </si>
  <si>
    <r>
      <t>Masse de N dans NH</t>
    </r>
    <r>
      <rPr>
        <b/>
        <vertAlign val="subscript"/>
        <sz val="8"/>
        <color theme="9" tint="-0.499984740745262"/>
        <rFont val="Arial"/>
        <family val="2"/>
      </rPr>
      <t>3</t>
    </r>
    <r>
      <rPr>
        <b/>
        <sz val="8"/>
        <color theme="9" tint="-0.499984740745262"/>
        <rFont val="Arial"/>
        <family val="2"/>
      </rPr>
      <t xml:space="preserve">
</t>
    </r>
    <r>
      <rPr>
        <sz val="8"/>
        <color theme="9" tint="-0.499984740745262"/>
        <rFont val="Arial"/>
        <family val="2"/>
      </rPr>
      <t>(en t</t>
    </r>
    <r>
      <rPr>
        <vertAlign val="subscript"/>
        <sz val="8"/>
        <color theme="9" tint="-0.499984740745262"/>
        <rFont val="Arial"/>
        <family val="2"/>
      </rPr>
      <t>N</t>
    </r>
    <r>
      <rPr>
        <sz val="8"/>
        <color theme="9" tint="-0.499984740745262"/>
        <rFont val="Arial"/>
        <family val="2"/>
      </rPr>
      <t>/t</t>
    </r>
    <r>
      <rPr>
        <vertAlign val="subscript"/>
        <sz val="8"/>
        <color theme="9" tint="-0.499984740745262"/>
        <rFont val="Arial"/>
        <family val="2"/>
      </rPr>
      <t>NH3</t>
    </r>
    <r>
      <rPr>
        <sz val="8"/>
        <color theme="9" tint="-0.499984740745262"/>
        <rFont val="Arial"/>
        <family val="2"/>
      </rPr>
      <t>)</t>
    </r>
  </si>
  <si>
    <r>
      <t>Masse de H</t>
    </r>
    <r>
      <rPr>
        <b/>
        <vertAlign val="subscript"/>
        <sz val="8"/>
        <color theme="9" tint="-0.499984740745262"/>
        <rFont val="Arial"/>
        <family val="2"/>
      </rPr>
      <t>2</t>
    </r>
    <r>
      <rPr>
        <b/>
        <sz val="8"/>
        <color theme="9" tint="-0.499984740745262"/>
        <rFont val="Arial"/>
        <family val="2"/>
      </rPr>
      <t xml:space="preserve"> pour prod. NH</t>
    </r>
    <r>
      <rPr>
        <b/>
        <vertAlign val="subscript"/>
        <sz val="8"/>
        <color theme="9" tint="-0.499984740745262"/>
        <rFont val="Arial"/>
        <family val="2"/>
      </rPr>
      <t>3</t>
    </r>
    <r>
      <rPr>
        <b/>
        <sz val="8"/>
        <color theme="9" tint="-0.499984740745262"/>
        <rFont val="Arial"/>
        <family val="2"/>
      </rPr>
      <t xml:space="preserve"> 
</t>
    </r>
    <r>
      <rPr>
        <sz val="8"/>
        <color theme="9" tint="-0.499984740745262"/>
        <rFont val="Arial"/>
        <family val="2"/>
      </rPr>
      <t>(en t</t>
    </r>
    <r>
      <rPr>
        <vertAlign val="subscript"/>
        <sz val="8"/>
        <color theme="9" tint="-0.499984740745262"/>
        <rFont val="Arial"/>
        <family val="2"/>
      </rPr>
      <t>H2</t>
    </r>
    <r>
      <rPr>
        <sz val="8"/>
        <color theme="9" tint="-0.499984740745262"/>
        <rFont val="Arial"/>
        <family val="2"/>
      </rPr>
      <t>/t</t>
    </r>
    <r>
      <rPr>
        <vertAlign val="subscript"/>
        <sz val="8"/>
        <color theme="9" tint="-0.499984740745262"/>
        <rFont val="Arial"/>
        <family val="2"/>
      </rPr>
      <t>NH3</t>
    </r>
    <r>
      <rPr>
        <sz val="8"/>
        <color theme="9" tint="-0.499984740745262"/>
        <rFont val="Arial"/>
        <family val="2"/>
      </rPr>
      <t>)</t>
    </r>
  </si>
  <si>
    <r>
      <t>Masse de H</t>
    </r>
    <r>
      <rPr>
        <b/>
        <vertAlign val="subscript"/>
        <sz val="8"/>
        <color theme="9" tint="-0.499984740745262"/>
        <rFont val="Arial"/>
        <family val="2"/>
      </rPr>
      <t>2</t>
    </r>
    <r>
      <rPr>
        <b/>
        <sz val="8"/>
        <color theme="9" tint="-0.499984740745262"/>
        <rFont val="Arial"/>
        <family val="2"/>
      </rPr>
      <t xml:space="preserve"> pour prod. engrais azotés </t>
    </r>
    <r>
      <rPr>
        <sz val="8"/>
        <color theme="9" tint="-0.499984740745262"/>
        <rFont val="Arial"/>
        <family val="2"/>
      </rPr>
      <t>(t</t>
    </r>
    <r>
      <rPr>
        <vertAlign val="subscript"/>
        <sz val="8"/>
        <color theme="9" tint="-0.499984740745262"/>
        <rFont val="Arial"/>
        <family val="2"/>
      </rPr>
      <t>H2</t>
    </r>
    <r>
      <rPr>
        <sz val="8"/>
        <color theme="9" tint="-0.499984740745262"/>
        <rFont val="Arial"/>
        <family val="2"/>
      </rPr>
      <t>/t</t>
    </r>
    <r>
      <rPr>
        <vertAlign val="subscript"/>
        <sz val="8"/>
        <color theme="9" tint="-0.499984740745262"/>
        <rFont val="Arial"/>
        <family val="2"/>
      </rPr>
      <t>N</t>
    </r>
    <r>
      <rPr>
        <sz val="8"/>
        <color theme="9" tint="-0.499984740745262"/>
        <rFont val="Arial"/>
        <family val="2"/>
      </rPr>
      <t>)</t>
    </r>
  </si>
  <si>
    <r>
      <t>Prod. de H</t>
    </r>
    <r>
      <rPr>
        <vertAlign val="subscript"/>
        <sz val="8"/>
        <color theme="1"/>
        <rFont val="Arial"/>
        <family val="2"/>
      </rPr>
      <t>2</t>
    </r>
    <r>
      <rPr>
        <sz val="8"/>
        <color theme="1"/>
        <rFont val="Arial"/>
        <family val="2"/>
      </rPr>
      <t xml:space="preserve"> par vaporeformage de gaz naturel</t>
    </r>
  </si>
  <si>
    <r>
      <t>Prod. de H</t>
    </r>
    <r>
      <rPr>
        <vertAlign val="subscript"/>
        <sz val="8"/>
        <color theme="1"/>
        <rFont val="Arial"/>
        <family val="2"/>
      </rPr>
      <t>2</t>
    </r>
    <r>
      <rPr>
        <sz val="8"/>
        <color theme="1"/>
        <rFont val="Arial"/>
        <family val="2"/>
      </rPr>
      <t xml:space="preserve"> par électrolyse de l'eau</t>
    </r>
  </si>
  <si>
    <r>
      <t>Gains GES grâce à production du H</t>
    </r>
    <r>
      <rPr>
        <b/>
        <vertAlign val="subscript"/>
        <sz val="8"/>
        <color rgb="FFFFFFFF"/>
        <rFont val="Arial"/>
        <family val="2"/>
      </rPr>
      <t xml:space="preserve">2 </t>
    </r>
    <r>
      <rPr>
        <b/>
        <sz val="8"/>
        <color rgb="FFFFFFFF"/>
        <rFont val="Arial"/>
        <family val="2"/>
      </rPr>
      <t>par électrolyse</t>
    </r>
  </si>
  <si>
    <r>
      <t>Emissions unitaires (tCO</t>
    </r>
    <r>
      <rPr>
        <b/>
        <vertAlign val="subscript"/>
        <sz val="8"/>
        <color theme="1"/>
        <rFont val="Arial"/>
        <family val="2"/>
      </rPr>
      <t>2</t>
    </r>
    <r>
      <rPr>
        <b/>
        <sz val="8"/>
        <color theme="1"/>
        <rFont val="Arial"/>
        <family val="2"/>
      </rPr>
      <t>e/t</t>
    </r>
    <r>
      <rPr>
        <b/>
        <vertAlign val="subscript"/>
        <sz val="8"/>
        <color theme="1"/>
        <rFont val="Arial"/>
        <family val="2"/>
      </rPr>
      <t>H2</t>
    </r>
    <r>
      <rPr>
        <b/>
        <sz val="8"/>
        <color theme="1"/>
        <rFont val="Arial"/>
        <family val="2"/>
      </rPr>
      <t>)</t>
    </r>
  </si>
  <si>
    <r>
      <t>Gain GES par appro. en H</t>
    </r>
    <r>
      <rPr>
        <vertAlign val="subscript"/>
        <sz val="8"/>
        <color theme="1"/>
        <rFont val="Arial"/>
        <family val="2"/>
      </rPr>
      <t>2</t>
    </r>
    <r>
      <rPr>
        <sz val="8"/>
        <color theme="1"/>
        <rFont val="Arial"/>
        <family val="2"/>
      </rPr>
      <t xml:space="preserve"> issu de l'électrolyse</t>
    </r>
  </si>
  <si>
    <r>
      <t>Emissions unitaires (tCO</t>
    </r>
    <r>
      <rPr>
        <b/>
        <vertAlign val="subscript"/>
        <sz val="8"/>
        <color theme="1"/>
        <rFont val="Arial"/>
        <family val="2"/>
      </rPr>
      <t>2</t>
    </r>
    <r>
      <rPr>
        <b/>
        <sz val="8"/>
        <color theme="1"/>
        <rFont val="Arial"/>
        <family val="2"/>
      </rPr>
      <t>e/t</t>
    </r>
    <r>
      <rPr>
        <b/>
        <vertAlign val="subscript"/>
        <sz val="8"/>
        <color theme="1"/>
        <rFont val="Arial"/>
        <family val="2"/>
      </rPr>
      <t>NH3</t>
    </r>
    <r>
      <rPr>
        <b/>
        <sz val="8"/>
        <color theme="1"/>
        <rFont val="Arial"/>
        <family val="2"/>
      </rPr>
      <t>)</t>
    </r>
  </si>
  <si>
    <r>
      <t>Emissions unitaires (tCO</t>
    </r>
    <r>
      <rPr>
        <b/>
        <vertAlign val="subscript"/>
        <sz val="8"/>
        <color theme="1"/>
        <rFont val="Arial"/>
        <family val="2"/>
      </rPr>
      <t>2</t>
    </r>
    <r>
      <rPr>
        <b/>
        <sz val="8"/>
        <color theme="1"/>
        <rFont val="Arial"/>
        <family val="2"/>
      </rPr>
      <t>e/t</t>
    </r>
    <r>
      <rPr>
        <b/>
        <vertAlign val="subscript"/>
        <sz val="8"/>
        <color theme="1"/>
        <rFont val="Arial"/>
        <family val="2"/>
      </rPr>
      <t>engrais</t>
    </r>
    <r>
      <rPr>
        <b/>
        <sz val="8"/>
        <color theme="1"/>
        <rFont val="Arial"/>
        <family val="2"/>
      </rPr>
      <t>)</t>
    </r>
  </si>
  <si>
    <t>Facteurs d'émission électricité en France - par approche macro [scénario N03 - référence]</t>
  </si>
  <si>
    <t>Production (en TWh)</t>
  </si>
  <si>
    <r>
      <t>GES élec. territorial (en MtCO</t>
    </r>
    <r>
      <rPr>
        <vertAlign val="subscript"/>
        <sz val="8"/>
        <color theme="1"/>
        <rFont val="Arial"/>
        <family val="2"/>
      </rPr>
      <t>2</t>
    </r>
    <r>
      <rPr>
        <sz val="8"/>
        <color theme="1"/>
        <rFont val="Arial"/>
        <family val="2"/>
      </rPr>
      <t>e)</t>
    </r>
  </si>
  <si>
    <t>FE territorial (en gCO2e/kWh)</t>
  </si>
  <si>
    <t>n°</t>
  </si>
  <si>
    <t>Nom</t>
  </si>
  <si>
    <t>Lien</t>
  </si>
  <si>
    <t>UNIFA (2018). Les livraisons d'engrais minéraux en France Métropolitiaine - Campagne 2017-2018</t>
  </si>
  <si>
    <t>https://www.unifa.fr/sites/default/files/2023-03/Livraisons-des-engrais-en-France-metropolitaine_2017-2018_Regions.pdf</t>
  </si>
  <si>
    <t>The Shift Project (2020). Vers un plan de transformation de l'économie française en faveur du climat et de la résilience - Vision gloable v1 "Agriculture et alimentation". Document de travail, état d'avancement.</t>
  </si>
  <si>
    <t>https://theshiftproject.org/plan-de-transformation-de-leconomie-francaise-agriculture-et-alimentation/</t>
  </si>
  <si>
    <t>Avalis et al. (2020). Guide GES'TIM+ - 4.2.3 Flux indirects : Intrants des cultures. Aurélie Tailleur (Arvalis-Institut du Végétal), Sylvie Dauguet (Terres Inovia), Dominique
Grassely (CTIFL).</t>
  </si>
  <si>
    <t>https://www.arvalis.fr/sites/default/files/imported_files/4-2-9003634964277032789.pdf</t>
  </si>
  <si>
    <t>Arvalis (2020). Guide GES’TIM+</t>
  </si>
  <si>
    <t>https://www.arvalis.fr/sites/default/files/imported_files/gestim7645230857668885746.pdf</t>
  </si>
  <si>
    <t>IEA (2019). The Future of Hydrogen - Seizing today's opportunities. G20 Japan.</t>
  </si>
  <si>
    <t>https://www.iea.org/reports/the-future-of-hydrogen</t>
  </si>
  <si>
    <t>IEA (2021). Ammonia Technology Roadmap - Towards more sustainable nitrogen fertiliser production.</t>
  </si>
  <si>
    <t>https://www.iea.org/reports/ammonia-technology-roadmap</t>
  </si>
  <si>
    <t>ADEME (2020). Base Empreinte - Production d'hydrogène. Documentation des jeux de données monocritères issus de la Base Carbone®. Consulté en 05/2023.</t>
  </si>
  <si>
    <t>https://base-empreinte.ademe.fr/documentation/base-carbone?docLink=Production-dhydrogene</t>
  </si>
  <si>
    <t>CNI France Chimie (2021). Décarbonation de l'industrie - Feuille de route de la filière chimie. Avril 2021.</t>
  </si>
  <si>
    <t>https://www.conseil-national-industrie.gouv.fr/files_cni/files/csf/chimie-et-materiaux/feuille_de_route_de_decarbonation_de_la_filiere_chimie.pdf</t>
  </si>
  <si>
    <t>ADEME (2020). Évolutions du recyclage en France de différents matériaux : métaux ferreux et non ferreux, papiers-cartons, verre, plastiques, inertes du BTP et bois. Bilan national du recyclage 2008-2017. Mars 2020</t>
  </si>
  <si>
    <t>https://librairie.ademe.fr/dechets-economie-circulaire/3860-bilan-national-du-recyclage-bnr-2008-2017-et-acv-des-flux-de-dechets-recycles.html#/44-type_de_produit-format_electronique</t>
  </si>
  <si>
    <t>ADEME, base empreinte. "Produits en caoutchouc et en plastiques". Consulté en 02/2024</t>
  </si>
  <si>
    <t>https://base-empreinte.ademe.fr/documentation/base-carbone?docLink=Produits_en_caoutchouc_et_en_p</t>
  </si>
  <si>
    <t>Plastics europe (2019). Plastics - The Facts</t>
  </si>
  <si>
    <t>https://plasticseurope.org/fr/wp-content/uploads/sites/2/2021/11/Plastics_the_facts_2019.pdf</t>
  </si>
  <si>
    <t>IFASTAT. International fertilizer association databse, 09/06/2023</t>
  </si>
  <si>
    <t>https://www.ifastat.org/databases/plant-nutrition</t>
  </si>
  <si>
    <t>CITEPA (2020). Secten édition 2020. Données 1990-2018</t>
  </si>
  <si>
    <t>https://www.citepa.org/fr/secten/</t>
  </si>
  <si>
    <t>The Shift Project (2021). Habiter dans une société bas carbone - Dans le cadre du Plan de transformation de l'économie française</t>
  </si>
  <si>
    <t>https://theshiftproject.org/article/rapport-final-habiter-dans-une-societe-bas-carbone-7-octobre-2021/</t>
  </si>
  <si>
    <t>DGEC, CEA (2018). Plan de déploiement de l’hydrogène pour la transition énergétique. Ministère de la transition écologique et solidaire</t>
  </si>
  <si>
    <t>https://www.ecologie.gouv.fr/nicolas-hulot-annonce-plan-deploiement-lhydrogene-transition-energetique</t>
  </si>
  <si>
    <t>MTE (2021). Loi anti-gaspillage : vers la fin des emballages en plastique à usage unique. Ministère de la transition écologique</t>
  </si>
  <si>
    <t>https://www.ecologie.gouv.fr/emballages-en-plastique-usage-unique</t>
  </si>
  <si>
    <t>The Shift Project (2021). La transition bas carbone, une opportunité pour l'industrie automobile française ? - Dans le cadre du Plan de transformation de l'économie française</t>
  </si>
  <si>
    <t>RTE (2022). Futurs énergétiques 2050 - Rapport complet</t>
  </si>
  <si>
    <t>https://rte-futursenergetiques2050.com/</t>
  </si>
  <si>
    <r>
      <t>ADEME (2020). Le Captage et Stockage géologique du CO</t>
    </r>
    <r>
      <rPr>
        <vertAlign val="subscript"/>
        <sz val="8"/>
        <color theme="1"/>
        <rFont val="Arial"/>
        <family val="2"/>
      </rPr>
      <t>2</t>
    </r>
    <r>
      <rPr>
        <sz val="8"/>
        <color theme="1"/>
        <rFont val="Arial"/>
        <family val="2"/>
      </rPr>
      <t xml:space="preserve"> (CSC) en France - Avis technique</t>
    </r>
  </si>
  <si>
    <t>https://presse.ademe.fr/wp-content/uploads/2020/07/captage-stockage-geologique-co2_csc_avis-technique_2020.pdf</t>
  </si>
  <si>
    <t>Avertissement : écarts mineurs à la publication "Décarboner l'industrie sans la saborder"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</si>
</sst>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_-* #,##0_-;\-* #,##0_-;_-* &quot;-&quot;??_-;_-@_-"/>
    <numFmt numFmtId="167" formatCode="_-* #,##0.0_-;\-* #,##0.0_-;_-* &quot;-&quot;??_-;_-@_-"/>
    <numFmt numFmtId="168" formatCode="0.000"/>
  </numFmts>
  <fonts count="22" x14ac:knownFonts="1">
    <font>
      <sz val="11"/>
      <color theme="1"/>
      <name val="Calibri"/>
      <family val="2"/>
      <scheme val="minor"/>
    </font>
    <font>
      <b/>
      <sz val="8"/>
      <color rgb="FFFFFFFF"/>
      <name val="Arial"/>
      <family val="2"/>
    </font>
    <font>
      <sz val="8"/>
      <color rgb="FF00005A"/>
      <name val="Arial"/>
      <family val="2"/>
    </font>
    <font>
      <b/>
      <sz val="8"/>
      <color rgb="FF00005A"/>
      <name val="Arial"/>
      <family val="2"/>
    </font>
    <font>
      <b/>
      <sz val="8"/>
      <color theme="1"/>
      <name val="Arial"/>
      <family val="2"/>
    </font>
    <font>
      <sz val="8"/>
      <color theme="1"/>
      <name val="Arial"/>
      <family val="2"/>
    </font>
    <font>
      <sz val="11"/>
      <color theme="1"/>
      <name val="Calibri"/>
      <family val="2"/>
      <scheme val="minor"/>
    </font>
    <font>
      <sz val="9"/>
      <color indexed="81"/>
      <name val="Tahoma"/>
      <family val="2"/>
    </font>
    <font>
      <b/>
      <sz val="8"/>
      <color theme="9" tint="-0.499984740745262"/>
      <name val="Arial"/>
      <family val="2"/>
    </font>
    <font>
      <b/>
      <vertAlign val="subscript"/>
      <sz val="8"/>
      <color theme="1"/>
      <name val="Arial"/>
      <family val="2"/>
    </font>
    <font>
      <vertAlign val="subscript"/>
      <sz val="8"/>
      <color theme="1"/>
      <name val="Arial"/>
      <family val="2"/>
    </font>
    <font>
      <i/>
      <sz val="8"/>
      <color theme="1"/>
      <name val="Arial"/>
      <family val="2"/>
    </font>
    <font>
      <u/>
      <sz val="11"/>
      <color theme="10"/>
      <name val="Calibri"/>
      <family val="2"/>
      <scheme val="minor"/>
    </font>
    <font>
      <b/>
      <vertAlign val="subscript"/>
      <sz val="8"/>
      <color theme="9" tint="-0.499984740745262"/>
      <name val="Arial"/>
      <family val="2"/>
    </font>
    <font>
      <sz val="8"/>
      <color theme="9" tint="-0.499984740745262"/>
      <name val="Arial"/>
      <family val="2"/>
    </font>
    <font>
      <vertAlign val="subscript"/>
      <sz val="8"/>
      <color theme="9" tint="-0.499984740745262"/>
      <name val="Arial"/>
      <family val="2"/>
    </font>
    <font>
      <u/>
      <sz val="8"/>
      <color theme="9"/>
      <name val="Arial"/>
      <family val="2"/>
    </font>
    <font>
      <b/>
      <vertAlign val="subscript"/>
      <sz val="8"/>
      <color rgb="FFFFFFFF"/>
      <name val="Arial"/>
      <family val="2"/>
    </font>
    <font>
      <u/>
      <sz val="9"/>
      <color theme="9"/>
      <name val="Calibri"/>
      <family val="2"/>
      <scheme val="minor"/>
    </font>
    <font>
      <sz val="10"/>
      <color rgb="FFFFFFFF"/>
      <name val="Arial"/>
      <family val="2"/>
    </font>
    <font>
      <sz val="11"/>
      <color rgb="FFFFFFFF"/>
      <name val="Arial"/>
      <family val="2"/>
    </font>
    <font>
      <sz val="10"/>
      <color rgb="FF000000"/>
      <name val="Arial"/>
      <family val="2"/>
    </font>
  </fonts>
  <fills count="9">
    <fill>
      <patternFill patternType="none"/>
    </fill>
    <fill>
      <patternFill patternType="gray125"/>
    </fill>
    <fill>
      <patternFill patternType="solid">
        <fgColor theme="9"/>
        <bgColor indexed="64"/>
      </patternFill>
    </fill>
    <fill>
      <patternFill patternType="solid">
        <fgColor theme="9" tint="0.79998168889431442"/>
        <bgColor indexed="64"/>
      </patternFill>
    </fill>
    <fill>
      <patternFill patternType="solid">
        <fgColor theme="1"/>
        <bgColor indexed="64"/>
      </patternFill>
    </fill>
    <fill>
      <patternFill patternType="solid">
        <fgColor theme="1" tint="0.89999084444715716"/>
        <bgColor indexed="64"/>
      </patternFill>
    </fill>
    <fill>
      <patternFill patternType="solid">
        <fgColor rgb="FFEEF8E4"/>
        <bgColor indexed="64"/>
      </patternFill>
    </fill>
    <fill>
      <patternFill patternType="solid">
        <fgColor rgb="FFF0F9E7"/>
        <bgColor indexed="64"/>
      </patternFill>
    </fill>
    <fill>
      <patternFill patternType="solid">
        <fgColor rgb="FF00005A"/>
        <bgColor rgb="FF000000"/>
      </patternFill>
    </fill>
  </fills>
  <borders count="133">
    <border>
      <left/>
      <right/>
      <top/>
      <bottom/>
      <diagonal/>
    </border>
    <border>
      <left/>
      <right/>
      <top/>
      <bottom style="dotted">
        <color rgb="FF00005A"/>
      </bottom>
      <diagonal/>
    </border>
    <border>
      <left/>
      <right/>
      <top style="dotted">
        <color rgb="FF00005A"/>
      </top>
      <bottom style="dotted">
        <color rgb="FF00005A"/>
      </bottom>
      <diagonal/>
    </border>
    <border>
      <left style="dotted">
        <color rgb="FF00005A"/>
      </left>
      <right/>
      <top style="dotted">
        <color rgb="FF00005A"/>
      </top>
      <bottom style="dotted">
        <color rgb="FF00005A"/>
      </bottom>
      <diagonal/>
    </border>
    <border diagonalUp="1">
      <left style="dashed">
        <color rgb="FF00005A"/>
      </left>
      <right/>
      <top style="dotted">
        <color rgb="FF00005A"/>
      </top>
      <bottom style="dashed">
        <color rgb="FF00005A"/>
      </bottom>
      <diagonal style="dotted">
        <color rgb="FF00005A"/>
      </diagonal>
    </border>
    <border diagonalUp="1">
      <left style="dashed">
        <color rgb="FF00005A"/>
      </left>
      <right/>
      <top style="dashed">
        <color rgb="FF00005A"/>
      </top>
      <bottom style="dashed">
        <color rgb="FF00005A"/>
      </bottom>
      <diagonal style="dotted">
        <color rgb="FF00005A"/>
      </diagonal>
    </border>
    <border>
      <left style="thin">
        <color rgb="FF00005A"/>
      </left>
      <right/>
      <top/>
      <bottom/>
      <diagonal/>
    </border>
    <border>
      <left/>
      <right style="thin">
        <color rgb="FF00005A"/>
      </right>
      <top/>
      <bottom/>
      <diagonal/>
    </border>
    <border>
      <left style="dotted">
        <color rgb="FF00005A"/>
      </left>
      <right style="thin">
        <color rgb="FF00005A"/>
      </right>
      <top style="dotted">
        <color rgb="FF00005A"/>
      </top>
      <bottom style="dotted">
        <color rgb="FF00005A"/>
      </bottom>
      <diagonal/>
    </border>
    <border>
      <left/>
      <right style="thin">
        <color auto="1"/>
      </right>
      <top/>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diagonalUp="1">
      <left style="dotted">
        <color auto="1"/>
      </left>
      <right style="thin">
        <color auto="1"/>
      </right>
      <top style="dotted">
        <color auto="1"/>
      </top>
      <bottom style="dotted">
        <color auto="1"/>
      </bottom>
      <diagonal style="dotted">
        <color auto="1"/>
      </diagonal>
    </border>
    <border>
      <left style="thin">
        <color rgb="FF00005A"/>
      </left>
      <right style="dotted">
        <color auto="1"/>
      </right>
      <top style="dotted">
        <color auto="1"/>
      </top>
      <bottom style="dotted">
        <color auto="1"/>
      </bottom>
      <diagonal/>
    </border>
    <border>
      <left style="thin">
        <color rgb="FF00005A"/>
      </left>
      <right style="dotted">
        <color auto="1"/>
      </right>
      <top style="dotted">
        <color rgb="FF00005A"/>
      </top>
      <bottom style="dotted">
        <color auto="1"/>
      </bottom>
      <diagonal/>
    </border>
    <border>
      <left style="dotted">
        <color auto="1"/>
      </left>
      <right style="dotted">
        <color auto="1"/>
      </right>
      <top style="dotted">
        <color rgb="FF00005A"/>
      </top>
      <bottom style="dotted">
        <color auto="1"/>
      </bottom>
      <diagonal/>
    </border>
    <border>
      <left style="dotted">
        <color auto="1"/>
      </left>
      <right style="thin">
        <color auto="1"/>
      </right>
      <top style="dotted">
        <color rgb="FF00005A"/>
      </top>
      <bottom style="dotted">
        <color auto="1"/>
      </bottom>
      <diagonal/>
    </border>
    <border>
      <left style="thin">
        <color auto="1"/>
      </left>
      <right style="dotted">
        <color auto="1"/>
      </right>
      <top style="dotted">
        <color rgb="FF00005A"/>
      </top>
      <bottom style="dotted">
        <color auto="1"/>
      </bottom>
      <diagonal/>
    </border>
    <border>
      <left/>
      <right style="thin">
        <color rgb="FF00005A"/>
      </right>
      <top/>
      <bottom style="dotted">
        <color rgb="FF00005A"/>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dotted">
        <color indexed="64"/>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auto="1"/>
      </left>
      <right style="dotted">
        <color auto="1"/>
      </right>
      <top style="dotted">
        <color auto="1"/>
      </top>
      <bottom/>
      <diagonal/>
    </border>
    <border>
      <left style="dotted">
        <color auto="1"/>
      </left>
      <right style="thin">
        <color auto="1"/>
      </right>
      <top style="dotted">
        <color auto="1"/>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auto="1"/>
      </top>
      <bottom style="dotted">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bottom style="dotted">
        <color indexed="64"/>
      </bottom>
      <diagonal style="dotted">
        <color indexed="64"/>
      </diagonal>
    </border>
    <border>
      <left style="dotted">
        <color indexed="64"/>
      </left>
      <right style="dotted">
        <color indexed="64"/>
      </right>
      <top/>
      <bottom style="dotted">
        <color indexed="64"/>
      </bottom>
      <diagonal/>
    </border>
    <border>
      <left style="dotted">
        <color indexed="64"/>
      </left>
      <right style="thin">
        <color auto="1"/>
      </right>
      <top/>
      <bottom style="dotted">
        <color indexed="64"/>
      </bottom>
      <diagonal/>
    </border>
    <border diagonalUp="1">
      <left style="thin">
        <color indexed="64"/>
      </left>
      <right style="dotted">
        <color indexed="64"/>
      </right>
      <top style="dotted">
        <color indexed="64"/>
      </top>
      <bottom style="dotted">
        <color indexed="64"/>
      </bottom>
      <diagonal style="dotted">
        <color indexed="64"/>
      </diagonal>
    </border>
    <border diagonalUp="1">
      <left style="thin">
        <color indexed="64"/>
      </left>
      <right style="dotted">
        <color indexed="64"/>
      </right>
      <top style="dotted">
        <color indexed="64"/>
      </top>
      <bottom style="thin">
        <color indexed="64"/>
      </bottom>
      <diagonal style="dotted">
        <color indexed="64"/>
      </diagonal>
    </border>
    <border>
      <left style="thin">
        <color indexed="64"/>
      </left>
      <right style="dotted">
        <color indexed="64"/>
      </right>
      <top/>
      <bottom style="dotted">
        <color indexed="64"/>
      </bottom>
      <diagonal/>
    </border>
    <border>
      <left style="thin">
        <color indexed="64"/>
      </left>
      <right style="dashed">
        <color indexed="64"/>
      </right>
      <top style="dotted">
        <color auto="1"/>
      </top>
      <bottom style="dotted">
        <color auto="1"/>
      </bottom>
      <diagonal/>
    </border>
    <border diagonalUp="1">
      <left style="dashed">
        <color indexed="64"/>
      </left>
      <right style="dashed">
        <color indexed="64"/>
      </right>
      <top style="dotted">
        <color indexed="64"/>
      </top>
      <bottom style="dotted">
        <color auto="1"/>
      </bottom>
      <diagonal style="dotted">
        <color indexed="64"/>
      </diagonal>
    </border>
    <border diagonalUp="1">
      <left style="dashed">
        <color indexed="64"/>
      </left>
      <right style="thin">
        <color indexed="64"/>
      </right>
      <top style="dotted">
        <color indexed="64"/>
      </top>
      <bottom style="dotted">
        <color auto="1"/>
      </bottom>
      <diagonal style="dotted">
        <color indexed="64"/>
      </diagonal>
    </border>
    <border>
      <left style="thin">
        <color indexed="64"/>
      </left>
      <right style="dashed">
        <color indexed="64"/>
      </right>
      <top style="dotted">
        <color auto="1"/>
      </top>
      <bottom style="thin">
        <color indexed="64"/>
      </bottom>
      <diagonal/>
    </border>
    <border diagonalUp="1">
      <left style="dashed">
        <color indexed="64"/>
      </left>
      <right style="dashed">
        <color indexed="64"/>
      </right>
      <top style="dotted">
        <color auto="1"/>
      </top>
      <bottom style="thin">
        <color indexed="64"/>
      </bottom>
      <diagonal style="dotted">
        <color indexed="64"/>
      </diagonal>
    </border>
    <border diagonalUp="1">
      <left style="dashed">
        <color indexed="64"/>
      </left>
      <right style="thin">
        <color indexed="64"/>
      </right>
      <top style="dotted">
        <color auto="1"/>
      </top>
      <bottom style="thin">
        <color indexed="64"/>
      </bottom>
      <diagonal style="dotted">
        <color indexed="64"/>
      </diagonal>
    </border>
    <border>
      <left style="thin">
        <color indexed="64"/>
      </left>
      <right style="dashed">
        <color indexed="64"/>
      </right>
      <top style="thin">
        <color indexed="64"/>
      </top>
      <bottom style="dotted">
        <color auto="1"/>
      </bottom>
      <diagonal/>
    </border>
    <border diagonalUp="1">
      <left style="dashed">
        <color indexed="64"/>
      </left>
      <right style="dashed">
        <color indexed="64"/>
      </right>
      <top style="thin">
        <color indexed="64"/>
      </top>
      <bottom style="dotted">
        <color auto="1"/>
      </bottom>
      <diagonal style="dotted">
        <color indexed="64"/>
      </diagonal>
    </border>
    <border diagonalUp="1">
      <left style="dashed">
        <color indexed="64"/>
      </left>
      <right style="thin">
        <color indexed="64"/>
      </right>
      <top style="thin">
        <color indexed="64"/>
      </top>
      <bottom style="dotted">
        <color auto="1"/>
      </bottom>
      <diagonal style="dotted">
        <color indexed="64"/>
      </diagonal>
    </border>
    <border>
      <left style="dashed">
        <color indexed="64"/>
      </left>
      <right style="thin">
        <color indexed="64"/>
      </right>
      <top style="thin">
        <color indexed="64"/>
      </top>
      <bottom style="dotted">
        <color auto="1"/>
      </bottom>
      <diagonal/>
    </border>
    <border>
      <left style="dashed">
        <color indexed="64"/>
      </left>
      <right style="thin">
        <color indexed="64"/>
      </right>
      <top style="dotted">
        <color auto="1"/>
      </top>
      <bottom style="thin">
        <color indexed="64"/>
      </bottom>
      <diagonal/>
    </border>
    <border>
      <left style="dashed">
        <color indexed="64"/>
      </left>
      <right style="thin">
        <color indexed="64"/>
      </right>
      <top style="dotted">
        <color indexed="64"/>
      </top>
      <bottom style="dotted">
        <color auto="1"/>
      </bottom>
      <diagonal/>
    </border>
    <border>
      <left style="dashed">
        <color indexed="64"/>
      </left>
      <right style="dashed">
        <color indexed="64"/>
      </right>
      <top style="dotted">
        <color auto="1"/>
      </top>
      <bottom style="dotted">
        <color auto="1"/>
      </bottom>
      <diagonal/>
    </border>
    <border>
      <left style="dashed">
        <color indexed="64"/>
      </left>
      <right style="dashed">
        <color indexed="64"/>
      </right>
      <top style="dotted">
        <color auto="1"/>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Up="1">
      <left style="thin">
        <color indexed="64"/>
      </left>
      <right style="thin">
        <color indexed="64"/>
      </right>
      <top style="thin">
        <color indexed="64"/>
      </top>
      <bottom style="dotted">
        <color indexed="64"/>
      </bottom>
      <diagonal style="dotted">
        <color indexed="64"/>
      </diagonal>
    </border>
    <border diagonalUp="1">
      <left style="thin">
        <color indexed="64"/>
      </left>
      <right style="dotted">
        <color indexed="64"/>
      </right>
      <top style="thin">
        <color indexed="64"/>
      </top>
      <bottom style="dotted">
        <color indexed="64"/>
      </bottom>
      <diagonal style="dotted">
        <color indexed="64"/>
      </diagonal>
    </border>
    <border diagonalUp="1">
      <left style="thin">
        <color indexed="64"/>
      </left>
      <right style="thin">
        <color indexed="64"/>
      </right>
      <top style="dotted">
        <color indexed="64"/>
      </top>
      <bottom style="dotted">
        <color indexed="64"/>
      </bottom>
      <diagonal style="dotted">
        <color indexed="64"/>
      </diagonal>
    </border>
    <border diagonalUp="1">
      <left style="thin">
        <color indexed="64"/>
      </left>
      <right style="thin">
        <color indexed="64"/>
      </right>
      <top style="dotted">
        <color indexed="64"/>
      </top>
      <bottom style="thin">
        <color indexed="64"/>
      </bottom>
      <diagonal style="dotted">
        <color indexed="64"/>
      </diagonal>
    </border>
    <border diagonalUp="1">
      <left style="dotted">
        <color indexed="64"/>
      </left>
      <right style="thin">
        <color indexed="64"/>
      </right>
      <top style="thin">
        <color indexed="64"/>
      </top>
      <bottom style="dotted">
        <color indexed="64"/>
      </bottom>
      <diagonal style="dotted">
        <color indexed="64"/>
      </diagonal>
    </border>
    <border diagonalUp="1">
      <left style="dotted">
        <color indexed="64"/>
      </left>
      <right style="thin">
        <color indexed="64"/>
      </right>
      <top style="dotted">
        <color indexed="64"/>
      </top>
      <bottom style="thin">
        <color indexed="64"/>
      </bottom>
      <diagonal style="dotted">
        <color indexed="64"/>
      </diagonal>
    </border>
    <border>
      <left style="dashed">
        <color rgb="FF00005A"/>
      </left>
      <right/>
      <top style="dashed">
        <color rgb="FF00005A"/>
      </top>
      <bottom style="dashed">
        <color rgb="FF00005A"/>
      </bottom>
      <diagonal/>
    </border>
    <border>
      <left/>
      <right/>
      <top/>
      <bottom style="dotted">
        <color auto="1"/>
      </bottom>
      <diagonal/>
    </border>
    <border>
      <left style="dotted">
        <color indexed="64"/>
      </left>
      <right style="dotted">
        <color indexed="64"/>
      </right>
      <top style="dotted">
        <color indexed="64"/>
      </top>
      <bottom/>
      <diagonal/>
    </border>
    <border>
      <left style="thin">
        <color indexed="64"/>
      </left>
      <right style="dashed">
        <color indexed="64"/>
      </right>
      <top style="dotted">
        <color auto="1"/>
      </top>
      <bottom/>
      <diagonal/>
    </border>
    <border>
      <left style="dashed">
        <color indexed="64"/>
      </left>
      <right style="thin">
        <color indexed="64"/>
      </right>
      <top style="dotted">
        <color auto="1"/>
      </top>
      <bottom/>
      <diagonal/>
    </border>
    <border diagonalUp="1">
      <left style="dashed">
        <color indexed="64"/>
      </left>
      <right style="dashed">
        <color indexed="64"/>
      </right>
      <top style="dotted">
        <color auto="1"/>
      </top>
      <bottom/>
      <diagonal style="dotted">
        <color indexed="64"/>
      </diagonal>
    </border>
    <border diagonalUp="1">
      <left style="dashed">
        <color indexed="64"/>
      </left>
      <right style="thin">
        <color indexed="64"/>
      </right>
      <top style="dotted">
        <color auto="1"/>
      </top>
      <bottom/>
      <diagonal style="dotted">
        <color indexed="64"/>
      </diagonal>
    </border>
    <border>
      <left style="thin">
        <color indexed="64"/>
      </left>
      <right style="dashed">
        <color indexed="64"/>
      </right>
      <top/>
      <bottom style="dotted">
        <color auto="1"/>
      </bottom>
      <diagonal/>
    </border>
    <border>
      <left style="dashed">
        <color indexed="64"/>
      </left>
      <right style="thin">
        <color indexed="64"/>
      </right>
      <top/>
      <bottom style="dotted">
        <color auto="1"/>
      </bottom>
      <diagonal/>
    </border>
    <border>
      <left style="dashed">
        <color indexed="64"/>
      </left>
      <right style="dashed">
        <color indexed="64"/>
      </right>
      <top/>
      <bottom style="dotted">
        <color auto="1"/>
      </bottom>
      <diagonal/>
    </border>
    <border>
      <left style="thin">
        <color indexed="64"/>
      </left>
      <right/>
      <top/>
      <bottom style="dotted">
        <color indexed="64"/>
      </bottom>
      <diagonal/>
    </border>
    <border>
      <left/>
      <right style="thin">
        <color indexed="64"/>
      </right>
      <top/>
      <bottom style="dotted">
        <color indexed="64"/>
      </bottom>
      <diagonal/>
    </border>
    <border diagonalUp="1">
      <left style="thin">
        <color indexed="64"/>
      </left>
      <right style="dotted">
        <color indexed="64"/>
      </right>
      <top style="dotted">
        <color indexed="64"/>
      </top>
      <bottom/>
      <diagonal style="dotted">
        <color indexed="64"/>
      </diagonal>
    </border>
    <border diagonalUp="1">
      <left style="thin">
        <color indexed="64"/>
      </left>
      <right style="dashed">
        <color indexed="64"/>
      </right>
      <top style="dotted">
        <color indexed="64"/>
      </top>
      <bottom style="dotted">
        <color indexed="64"/>
      </bottom>
      <diagonal style="dotted">
        <color indexed="64"/>
      </diagonal>
    </border>
    <border diagonalUp="1">
      <left style="dashed">
        <color rgb="FF00005A"/>
      </left>
      <right/>
      <top style="dashed">
        <color rgb="FF00005A"/>
      </top>
      <bottom/>
      <diagonal style="dotted">
        <color rgb="FF00005A"/>
      </diagonal>
    </border>
    <border>
      <left style="thin">
        <color rgb="FF00005A"/>
      </left>
      <right style="dotted">
        <color auto="1"/>
      </right>
      <top style="dotted">
        <color auto="1"/>
      </top>
      <bottom/>
      <diagonal/>
    </border>
    <border diagonalUp="1">
      <left style="dotted">
        <color auto="1"/>
      </left>
      <right style="thin">
        <color auto="1"/>
      </right>
      <top style="dotted">
        <color auto="1"/>
      </top>
      <bottom/>
      <diagonal style="dotted">
        <color auto="1"/>
      </diagonal>
    </border>
    <border>
      <left/>
      <right/>
      <top style="dotted">
        <color rgb="FF00005A"/>
      </top>
      <bottom/>
      <diagonal/>
    </border>
    <border>
      <left style="thin">
        <color indexed="64"/>
      </left>
      <right style="dotted">
        <color rgb="FF00005A"/>
      </right>
      <top style="dotted">
        <color rgb="FF00005A"/>
      </top>
      <bottom style="dotted">
        <color rgb="FF00005A"/>
      </bottom>
      <diagonal/>
    </border>
    <border>
      <left style="thin">
        <color indexed="64"/>
      </left>
      <right/>
      <top style="dotted">
        <color rgb="FF00005A"/>
      </top>
      <bottom style="dotted">
        <color rgb="FF00005A"/>
      </bottom>
      <diagonal/>
    </border>
    <border>
      <left style="thin">
        <color indexed="64"/>
      </left>
      <right style="dotted">
        <color rgb="FF00005A"/>
      </right>
      <top/>
      <bottom style="dotted">
        <color rgb="FF00005A"/>
      </bottom>
      <diagonal/>
    </border>
    <border>
      <left style="thin">
        <color indexed="64"/>
      </left>
      <right/>
      <top/>
      <bottom style="dotted">
        <color rgb="FF00005A"/>
      </bottom>
      <diagonal/>
    </border>
    <border>
      <left style="thin">
        <color indexed="64"/>
      </left>
      <right style="dashed">
        <color rgb="FF00005A"/>
      </right>
      <top style="dotted">
        <color rgb="FF00005A"/>
      </top>
      <bottom style="dashed">
        <color rgb="FF00005A"/>
      </bottom>
      <diagonal/>
    </border>
    <border>
      <left style="thin">
        <color indexed="64"/>
      </left>
      <right style="dashed">
        <color rgb="FF00005A"/>
      </right>
      <top style="dashed">
        <color rgb="FF00005A"/>
      </top>
      <bottom style="dashed">
        <color rgb="FF00005A"/>
      </bottom>
      <diagonal/>
    </border>
    <border>
      <left style="thin">
        <color indexed="64"/>
      </left>
      <right style="dashed">
        <color rgb="FF00005A"/>
      </right>
      <top style="dashed">
        <color rgb="FF00005A"/>
      </top>
      <bottom/>
      <diagonal/>
    </border>
    <border>
      <left style="thin">
        <color indexed="64"/>
      </left>
      <right/>
      <top style="dotted">
        <color rgb="FF00005A"/>
      </top>
      <bottom/>
      <diagonal/>
    </border>
    <border>
      <left/>
      <right style="thin">
        <color indexed="64"/>
      </right>
      <top style="dotted">
        <color rgb="FF00005A"/>
      </top>
      <bottom/>
      <diagonal/>
    </border>
    <border>
      <left style="dotted">
        <color auto="1"/>
      </left>
      <right style="dotted">
        <color auto="1"/>
      </right>
      <top style="dotted">
        <color auto="1"/>
      </top>
      <bottom style="dashed">
        <color rgb="FF00005A"/>
      </bottom>
      <diagonal/>
    </border>
    <border>
      <left style="thin">
        <color rgb="FF00005A"/>
      </left>
      <right/>
      <top style="dotted">
        <color auto="1"/>
      </top>
      <bottom style="dotted">
        <color auto="1"/>
      </bottom>
      <diagonal/>
    </border>
    <border>
      <left style="dotted">
        <color rgb="FF00005A"/>
      </left>
      <right style="dotted">
        <color auto="1"/>
      </right>
      <top style="dotted">
        <color auto="1"/>
      </top>
      <bottom style="dotted">
        <color auto="1"/>
      </bottom>
      <diagonal/>
    </border>
    <border>
      <left style="dotted">
        <color indexed="64"/>
      </left>
      <right style="dashed">
        <color indexed="64"/>
      </right>
      <top style="dotted">
        <color auto="1"/>
      </top>
      <bottom style="thin">
        <color indexed="64"/>
      </bottom>
      <diagonal/>
    </border>
    <border>
      <left style="dashed">
        <color indexed="64"/>
      </left>
      <right/>
      <top style="dotted">
        <color auto="1"/>
      </top>
      <bottom style="thin">
        <color indexed="64"/>
      </bottom>
      <diagonal/>
    </border>
    <border>
      <left style="thin">
        <color indexed="64"/>
      </left>
      <right/>
      <top style="dotted">
        <color rgb="FF00005A"/>
      </top>
      <bottom style="dotted">
        <color indexed="64"/>
      </bottom>
      <diagonal/>
    </border>
    <border>
      <left/>
      <right/>
      <top style="dotted">
        <color rgb="FF00005A"/>
      </top>
      <bottom style="dotted">
        <color indexed="64"/>
      </bottom>
      <diagonal/>
    </border>
    <border>
      <left/>
      <right style="thin">
        <color indexed="64"/>
      </right>
      <top style="dotted">
        <color rgb="FF00005A"/>
      </top>
      <bottom style="dotted">
        <color indexed="64"/>
      </bottom>
      <diagonal/>
    </border>
    <border diagonalUp="1">
      <left style="dotted">
        <color indexed="64"/>
      </left>
      <right style="dotted">
        <color indexed="64"/>
      </right>
      <top style="dotted">
        <color indexed="64"/>
      </top>
      <bottom style="dotted">
        <color indexed="64"/>
      </bottom>
      <diagonal style="dotted">
        <color auto="1"/>
      </diagonal>
    </border>
    <border>
      <left style="dotted">
        <color auto="1"/>
      </left>
      <right style="thin">
        <color indexed="64"/>
      </right>
      <top/>
      <bottom style="thin">
        <color indexed="64"/>
      </bottom>
      <diagonal/>
    </border>
    <border>
      <left style="dotted">
        <color auto="1"/>
      </left>
      <right style="dotted">
        <color auto="1"/>
      </right>
      <top/>
      <bottom style="thin">
        <color indexed="64"/>
      </bottom>
      <diagonal/>
    </border>
    <border>
      <left style="dotted">
        <color indexed="64"/>
      </left>
      <right style="dashed">
        <color indexed="64"/>
      </right>
      <top style="dotted">
        <color auto="1"/>
      </top>
      <bottom style="dotted">
        <color auto="1"/>
      </bottom>
      <diagonal/>
    </border>
    <border diagonalUp="1">
      <left style="thin">
        <color indexed="64"/>
      </left>
      <right style="dotted">
        <color indexed="64"/>
      </right>
      <top style="thin">
        <color indexed="64"/>
      </top>
      <bottom style="thin">
        <color indexed="64"/>
      </bottom>
      <diagonal style="dotted">
        <color indexed="64"/>
      </diagonal>
    </border>
    <border diagonalUp="1">
      <left style="dotted">
        <color indexed="64"/>
      </left>
      <right style="thin">
        <color indexed="64"/>
      </right>
      <top style="thin">
        <color indexed="64"/>
      </top>
      <bottom style="thin">
        <color indexed="64"/>
      </bottom>
      <diagonal style="dotted">
        <color indexed="64"/>
      </diagonal>
    </border>
    <border diagonalUp="1">
      <left style="thin">
        <color indexed="64"/>
      </left>
      <right style="thin">
        <color indexed="64"/>
      </right>
      <top/>
      <bottom style="thin">
        <color indexed="64"/>
      </bottom>
      <diagonal style="dotted">
        <color indexed="64"/>
      </diagonal>
    </border>
    <border diagonalUp="1">
      <left style="thin">
        <color indexed="64"/>
      </left>
      <right style="dotted">
        <color indexed="64"/>
      </right>
      <top/>
      <bottom style="thin">
        <color indexed="64"/>
      </bottom>
      <diagonal style="dotted">
        <color indexed="64"/>
      </diagonal>
    </border>
    <border diagonalUp="1">
      <left style="dotted">
        <color indexed="64"/>
      </left>
      <right style="thin">
        <color indexed="64"/>
      </right>
      <top/>
      <bottom style="thin">
        <color indexed="64"/>
      </bottom>
      <diagonal style="dotted">
        <color indexed="64"/>
      </diagonal>
    </border>
    <border diagonalUp="1">
      <left/>
      <right style="thin">
        <color indexed="64"/>
      </right>
      <top style="thin">
        <color indexed="64"/>
      </top>
      <bottom style="thin">
        <color indexed="64"/>
      </bottom>
      <diagonal style="dotted">
        <color indexed="64"/>
      </diagonal>
    </border>
    <border diagonalUp="1">
      <left/>
      <right style="thin">
        <color indexed="64"/>
      </right>
      <top/>
      <bottom style="thin">
        <color indexed="64"/>
      </bottom>
      <diagonal style="dotted">
        <color indexed="64"/>
      </diagonal>
    </border>
    <border>
      <left style="dotted">
        <color indexed="64"/>
      </left>
      <right style="dotted">
        <color indexed="64"/>
      </right>
      <top/>
      <bottom/>
      <diagonal/>
    </border>
    <border>
      <left/>
      <right/>
      <top style="thin">
        <color indexed="64"/>
      </top>
      <bottom/>
      <diagonal/>
    </border>
    <border>
      <left/>
      <right style="thin">
        <color indexed="64"/>
      </right>
      <top style="thin">
        <color indexed="64"/>
      </top>
      <bottom/>
      <diagonal/>
    </border>
    <border>
      <left style="dotted">
        <color auto="1"/>
      </left>
      <right/>
      <top/>
      <bottom/>
      <diagonal/>
    </border>
    <border>
      <left style="dotted">
        <color indexed="64"/>
      </left>
      <right/>
      <top/>
      <bottom style="dotted">
        <color indexed="64"/>
      </bottom>
      <diagonal/>
    </border>
    <border>
      <left style="dotted">
        <color rgb="FF00005A"/>
      </left>
      <right style="thin">
        <color indexed="64"/>
      </right>
      <top style="dotted">
        <color rgb="FF00005A"/>
      </top>
      <bottom style="dotted">
        <color rgb="FF00005A"/>
      </bottom>
      <diagonal/>
    </border>
    <border>
      <left style="thin">
        <color indexed="64"/>
      </left>
      <right style="dotted">
        <color rgb="FF00005A"/>
      </right>
      <top/>
      <bottom style="thin">
        <color indexed="64"/>
      </bottom>
      <diagonal/>
    </border>
    <border>
      <left/>
      <right/>
      <top/>
      <bottom style="thin">
        <color indexed="64"/>
      </bottom>
      <diagonal/>
    </border>
    <border>
      <left style="dotted">
        <color rgb="FF00005A"/>
      </left>
      <right style="thin">
        <color indexed="64"/>
      </right>
      <top style="dotted">
        <color rgb="FF00005A"/>
      </top>
      <bottom style="thin">
        <color indexed="64"/>
      </bottom>
      <diagonal/>
    </border>
  </borders>
  <cellStyleXfs count="4">
    <xf numFmtId="0" fontId="0" fillId="0" borderId="0"/>
    <xf numFmtId="9" fontId="6" fillId="0" borderId="0" applyFont="0" applyFill="0" applyBorder="0" applyAlignment="0" applyProtection="0"/>
    <xf numFmtId="43" fontId="6" fillId="0" borderId="0" applyFont="0" applyFill="0" applyBorder="0" applyAlignment="0" applyProtection="0"/>
    <xf numFmtId="0" fontId="12" fillId="0" borderId="0" applyNumberFormat="0" applyFill="0" applyBorder="0" applyAlignment="0" applyProtection="0"/>
  </cellStyleXfs>
  <cellXfs count="378">
    <xf numFmtId="0" fontId="0" fillId="0" borderId="0" xfId="0"/>
    <xf numFmtId="0" fontId="5" fillId="0" borderId="1" xfId="0" applyFont="1" applyBorder="1" applyAlignment="1">
      <alignment horizontal="left" vertical="center" wrapText="1" indent="1"/>
    </xf>
    <xf numFmtId="0" fontId="4" fillId="5" borderId="1" xfId="0" applyFont="1" applyFill="1" applyBorder="1" applyAlignment="1">
      <alignment horizontal="left" vertical="center" wrapText="1" indent="1"/>
    </xf>
    <xf numFmtId="0" fontId="4" fillId="3" borderId="2" xfId="0" applyFont="1" applyFill="1" applyBorder="1" applyAlignment="1">
      <alignment vertical="center" wrapText="1"/>
    </xf>
    <xf numFmtId="164" fontId="0" fillId="0" borderId="0" xfId="0" applyNumberFormat="1"/>
    <xf numFmtId="164" fontId="4" fillId="3" borderId="2" xfId="0" applyNumberFormat="1" applyFont="1" applyFill="1" applyBorder="1" applyAlignment="1">
      <alignment vertical="center" wrapText="1"/>
    </xf>
    <xf numFmtId="1" fontId="2" fillId="0" borderId="4"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9" fontId="2" fillId="0" borderId="13" xfId="1" applyFont="1" applyFill="1" applyBorder="1" applyAlignment="1">
      <alignment horizontal="center" vertical="center" wrapText="1"/>
    </xf>
    <xf numFmtId="164" fontId="2" fillId="0" borderId="16" xfId="0" applyNumberFormat="1" applyFont="1" applyBorder="1" applyAlignment="1">
      <alignment horizontal="center" vertical="center" wrapText="1"/>
    </xf>
    <xf numFmtId="164" fontId="4" fillId="3" borderId="20" xfId="0" applyNumberFormat="1" applyFont="1" applyFill="1" applyBorder="1" applyAlignment="1">
      <alignment vertical="center" wrapText="1"/>
    </xf>
    <xf numFmtId="0" fontId="4" fillId="3" borderId="20" xfId="0" applyFont="1" applyFill="1" applyBorder="1" applyAlignment="1">
      <alignment vertical="center" wrapText="1"/>
    </xf>
    <xf numFmtId="9" fontId="2" fillId="6" borderId="8" xfId="1" applyFont="1" applyFill="1" applyBorder="1" applyAlignment="1">
      <alignment horizontal="center" vertical="center" wrapText="1"/>
    </xf>
    <xf numFmtId="9" fontId="2" fillId="6" borderId="14" xfId="1" applyFont="1" applyFill="1" applyBorder="1" applyAlignment="1">
      <alignment horizontal="center" vertical="center" wrapText="1"/>
    </xf>
    <xf numFmtId="9" fontId="2" fillId="6" borderId="11" xfId="1" applyFont="1" applyFill="1" applyBorder="1" applyAlignment="1">
      <alignment horizontal="center" vertical="center" wrapText="1"/>
    </xf>
    <xf numFmtId="9" fontId="2" fillId="6" borderId="10" xfId="1" applyFont="1" applyFill="1" applyBorder="1" applyAlignment="1">
      <alignment horizontal="center" vertical="center" wrapText="1"/>
    </xf>
    <xf numFmtId="2" fontId="2" fillId="6" borderId="11" xfId="1" applyNumberFormat="1" applyFont="1" applyFill="1" applyBorder="1" applyAlignment="1">
      <alignment horizontal="center" vertical="center" wrapText="1"/>
    </xf>
    <xf numFmtId="164" fontId="2" fillId="6" borderId="10" xfId="1" applyNumberFormat="1" applyFont="1" applyFill="1" applyBorder="1" applyAlignment="1">
      <alignment horizontal="center" vertical="center" wrapText="1"/>
    </xf>
    <xf numFmtId="164" fontId="2" fillId="6" borderId="14" xfId="1" applyNumberFormat="1" applyFont="1" applyFill="1" applyBorder="1" applyAlignment="1">
      <alignment horizontal="center" vertical="center" wrapText="1"/>
    </xf>
    <xf numFmtId="165" fontId="2" fillId="6" borderId="12" xfId="1" applyNumberFormat="1" applyFont="1" applyFill="1" applyBorder="1" applyAlignment="1">
      <alignment horizontal="center" vertical="center" wrapText="1"/>
    </xf>
    <xf numFmtId="165" fontId="2" fillId="6" borderId="17" xfId="1" applyNumberFormat="1" applyFont="1" applyFill="1" applyBorder="1" applyAlignment="1">
      <alignment horizontal="center" vertical="center" wrapText="1"/>
    </xf>
    <xf numFmtId="0" fontId="5" fillId="0" borderId="0" xfId="0" applyFont="1" applyAlignment="1">
      <alignment vertical="center"/>
    </xf>
    <xf numFmtId="0" fontId="5" fillId="0" borderId="10" xfId="0" applyFont="1" applyBorder="1" applyAlignment="1">
      <alignment vertical="center" wrapText="1"/>
    </xf>
    <xf numFmtId="0" fontId="1" fillId="2" borderId="32" xfId="0" applyFont="1" applyFill="1" applyBorder="1" applyAlignment="1">
      <alignment horizontal="center" vertical="center"/>
    </xf>
    <xf numFmtId="0" fontId="4" fillId="0" borderId="21" xfId="0" applyFont="1" applyBorder="1" applyAlignment="1">
      <alignment horizontal="left" vertical="center"/>
    </xf>
    <xf numFmtId="164" fontId="5" fillId="0" borderId="0" xfId="0" applyNumberFormat="1" applyFont="1" applyAlignment="1">
      <alignment vertical="center"/>
    </xf>
    <xf numFmtId="0" fontId="4" fillId="0" borderId="21" xfId="0" applyFont="1" applyBorder="1" applyAlignment="1">
      <alignment horizontal="center" vertical="center" wrapText="1"/>
    </xf>
    <xf numFmtId="164" fontId="4" fillId="0" borderId="35" xfId="0" applyNumberFormat="1" applyFont="1" applyBorder="1" applyAlignment="1">
      <alignment horizontal="center" vertical="center"/>
    </xf>
    <xf numFmtId="0" fontId="5" fillId="0" borderId="0" xfId="0" applyFont="1" applyAlignment="1">
      <alignment vertical="center" wrapText="1"/>
    </xf>
    <xf numFmtId="0" fontId="8" fillId="3" borderId="6"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9" xfId="0" applyFont="1" applyFill="1" applyBorder="1" applyAlignment="1">
      <alignment horizontal="center" vertical="center" wrapText="1"/>
    </xf>
    <xf numFmtId="0" fontId="5" fillId="0" borderId="0" xfId="0" applyFont="1" applyAlignment="1">
      <alignment horizontal="center" vertical="center" wrapText="1"/>
    </xf>
    <xf numFmtId="0" fontId="5" fillId="0" borderId="32" xfId="0" applyFont="1" applyBorder="1" applyAlignment="1">
      <alignment horizontal="left" vertical="center" wrapText="1"/>
    </xf>
    <xf numFmtId="9" fontId="5" fillId="0" borderId="0" xfId="1" applyFont="1" applyAlignment="1">
      <alignment vertical="center"/>
    </xf>
    <xf numFmtId="0" fontId="8" fillId="3" borderId="21"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34" xfId="0" applyFont="1" applyFill="1" applyBorder="1" applyAlignment="1">
      <alignment horizontal="center" vertical="center"/>
    </xf>
    <xf numFmtId="0" fontId="8" fillId="3" borderId="33" xfId="0" applyFont="1" applyFill="1" applyBorder="1" applyAlignment="1">
      <alignment horizontal="center" vertical="center"/>
    </xf>
    <xf numFmtId="0" fontId="5" fillId="6" borderId="0" xfId="0" applyFont="1" applyFill="1" applyAlignment="1">
      <alignment vertical="center" wrapText="1"/>
    </xf>
    <xf numFmtId="164" fontId="4" fillId="6" borderId="32" xfId="0" applyNumberFormat="1" applyFont="1" applyFill="1" applyBorder="1" applyAlignment="1">
      <alignment horizontal="center" vertical="center"/>
    </xf>
    <xf numFmtId="164" fontId="4" fillId="6" borderId="34" xfId="0" applyNumberFormat="1" applyFont="1" applyFill="1" applyBorder="1" applyAlignment="1">
      <alignment horizontal="center" vertical="center"/>
    </xf>
    <xf numFmtId="9" fontId="4" fillId="6" borderId="34" xfId="1" applyFont="1" applyFill="1" applyBorder="1" applyAlignment="1">
      <alignment horizontal="center" vertical="center"/>
    </xf>
    <xf numFmtId="164" fontId="4" fillId="6" borderId="21" xfId="0" applyNumberFormat="1" applyFont="1" applyFill="1" applyBorder="1" applyAlignment="1">
      <alignment horizontal="center" vertical="center"/>
    </xf>
    <xf numFmtId="0" fontId="5" fillId="6" borderId="0" xfId="0" applyFont="1" applyFill="1" applyAlignment="1">
      <alignment vertical="center"/>
    </xf>
    <xf numFmtId="0" fontId="5" fillId="0" borderId="44" xfId="0" applyFont="1" applyBorder="1" applyAlignment="1">
      <alignment vertical="center" wrapText="1"/>
    </xf>
    <xf numFmtId="164" fontId="5" fillId="6" borderId="28" xfId="0" applyNumberFormat="1" applyFont="1" applyFill="1" applyBorder="1" applyAlignment="1">
      <alignment horizontal="center" vertical="center" wrapText="1"/>
    </xf>
    <xf numFmtId="9" fontId="5" fillId="6" borderId="29" xfId="1" applyFont="1" applyFill="1" applyBorder="1" applyAlignment="1">
      <alignment horizontal="center" vertical="center" wrapText="1"/>
    </xf>
    <xf numFmtId="165" fontId="5" fillId="6" borderId="30" xfId="1" applyNumberFormat="1" applyFont="1" applyFill="1" applyBorder="1" applyAlignment="1">
      <alignment horizontal="center" vertical="center" wrapText="1"/>
    </xf>
    <xf numFmtId="9" fontId="5" fillId="0" borderId="49" xfId="1" applyFont="1" applyBorder="1" applyAlignment="1">
      <alignment horizontal="center" vertical="center" wrapText="1"/>
    </xf>
    <xf numFmtId="165" fontId="5" fillId="6" borderId="51" xfId="1" applyNumberFormat="1" applyFont="1" applyFill="1" applyBorder="1" applyAlignment="1">
      <alignment horizontal="center" vertical="center" wrapText="1"/>
    </xf>
    <xf numFmtId="9" fontId="5" fillId="0" borderId="52" xfId="1" applyFont="1" applyBorder="1" applyAlignment="1">
      <alignment horizontal="center" vertical="center" wrapText="1"/>
    </xf>
    <xf numFmtId="165" fontId="5" fillId="6" borderId="12" xfId="1" applyNumberFormat="1" applyFont="1" applyFill="1" applyBorder="1" applyAlignment="1">
      <alignment horizontal="center" vertical="center" wrapText="1"/>
    </xf>
    <xf numFmtId="0" fontId="5" fillId="0" borderId="54" xfId="0" applyFont="1" applyBorder="1" applyAlignment="1">
      <alignment vertical="center" wrapText="1"/>
    </xf>
    <xf numFmtId="0" fontId="5" fillId="0" borderId="36" xfId="0" applyFont="1" applyBorder="1" applyAlignment="1">
      <alignment vertical="center" wrapText="1"/>
    </xf>
    <xf numFmtId="0" fontId="5" fillId="0" borderId="56" xfId="0" applyFont="1" applyBorder="1" applyAlignment="1">
      <alignment vertical="center" wrapText="1"/>
    </xf>
    <xf numFmtId="0" fontId="5" fillId="0" borderId="57" xfId="0" applyFont="1" applyBorder="1" applyAlignment="1">
      <alignment vertical="center" wrapText="1"/>
    </xf>
    <xf numFmtId="0" fontId="5" fillId="0" borderId="59" xfId="0" applyFont="1" applyBorder="1" applyAlignment="1">
      <alignment vertical="center" wrapText="1"/>
    </xf>
    <xf numFmtId="0" fontId="5" fillId="0" borderId="60" xfId="0" applyFont="1" applyBorder="1" applyAlignment="1">
      <alignment vertical="center" wrapText="1"/>
    </xf>
    <xf numFmtId="0" fontId="4" fillId="0" borderId="59" xfId="0" applyFont="1" applyBorder="1" applyAlignment="1">
      <alignment vertical="center" wrapText="1"/>
    </xf>
    <xf numFmtId="0" fontId="4" fillId="0" borderId="60" xfId="0" applyFont="1" applyBorder="1" applyAlignment="1">
      <alignment vertical="center" wrapText="1"/>
    </xf>
    <xf numFmtId="9" fontId="5" fillId="6" borderId="61" xfId="1" applyFont="1" applyFill="1" applyBorder="1" applyAlignment="1">
      <alignment horizontal="center" vertical="center" wrapText="1"/>
    </xf>
    <xf numFmtId="165" fontId="5" fillId="0" borderId="62" xfId="1" applyNumberFormat="1" applyFont="1" applyBorder="1" applyAlignment="1">
      <alignment horizontal="center" vertical="center" wrapText="1"/>
    </xf>
    <xf numFmtId="165" fontId="5" fillId="0" borderId="63" xfId="1" applyNumberFormat="1" applyFont="1" applyBorder="1" applyAlignment="1">
      <alignment horizontal="center" vertical="center" wrapText="1"/>
    </xf>
    <xf numFmtId="0" fontId="5" fillId="0" borderId="61" xfId="0" applyFont="1" applyBorder="1" applyAlignment="1">
      <alignment vertical="center" wrapText="1"/>
    </xf>
    <xf numFmtId="0" fontId="5" fillId="0" borderId="55" xfId="0" applyFont="1" applyBorder="1" applyAlignment="1">
      <alignment horizontal="right" vertical="center" wrapText="1"/>
    </xf>
    <xf numFmtId="0" fontId="5" fillId="0" borderId="58" xfId="0" applyFont="1" applyBorder="1" applyAlignment="1">
      <alignment horizontal="right" vertical="center" wrapText="1"/>
    </xf>
    <xf numFmtId="0" fontId="5" fillId="0" borderId="55" xfId="0" applyFont="1" applyBorder="1" applyAlignment="1">
      <alignment vertical="center" wrapText="1"/>
    </xf>
    <xf numFmtId="0" fontId="11" fillId="0" borderId="55" xfId="0" applyFont="1" applyBorder="1" applyAlignment="1">
      <alignment horizontal="right" vertical="center" wrapText="1"/>
    </xf>
    <xf numFmtId="0" fontId="11" fillId="0" borderId="58" xfId="0" applyFont="1" applyBorder="1" applyAlignment="1">
      <alignment horizontal="right" vertical="center" wrapText="1"/>
    </xf>
    <xf numFmtId="9" fontId="5" fillId="6" borderId="67" xfId="1" applyFont="1" applyFill="1" applyBorder="1" applyAlignment="1">
      <alignment horizontal="center" vertical="center" wrapText="1"/>
    </xf>
    <xf numFmtId="165" fontId="5" fillId="6" borderId="66" xfId="1" applyNumberFormat="1" applyFont="1" applyFill="1" applyBorder="1" applyAlignment="1">
      <alignment horizontal="center" vertical="center" wrapText="1"/>
    </xf>
    <xf numFmtId="9" fontId="5" fillId="6" borderId="68" xfId="1" applyFont="1" applyFill="1" applyBorder="1" applyAlignment="1">
      <alignment horizontal="center" vertical="center" wrapText="1"/>
    </xf>
    <xf numFmtId="165" fontId="5" fillId="6" borderId="65" xfId="1" applyNumberFormat="1" applyFont="1" applyFill="1" applyBorder="1" applyAlignment="1">
      <alignment horizontal="center" vertical="center" wrapText="1"/>
    </xf>
    <xf numFmtId="164" fontId="4" fillId="6" borderId="46" xfId="0" applyNumberFormat="1" applyFont="1" applyFill="1" applyBorder="1" applyAlignment="1">
      <alignment horizontal="center" vertical="center"/>
    </xf>
    <xf numFmtId="165" fontId="4" fillId="6" borderId="48" xfId="1" applyNumberFormat="1" applyFont="1" applyFill="1" applyBorder="1" applyAlignment="1">
      <alignment horizontal="center" vertical="center"/>
    </xf>
    <xf numFmtId="1" fontId="4" fillId="6" borderId="46" xfId="0" applyNumberFormat="1" applyFont="1" applyFill="1" applyBorder="1" applyAlignment="1">
      <alignment horizontal="center" vertical="center"/>
    </xf>
    <xf numFmtId="9" fontId="4" fillId="6" borderId="47" xfId="1" applyFont="1" applyFill="1" applyBorder="1" applyAlignment="1">
      <alignment horizontal="center" vertical="center"/>
    </xf>
    <xf numFmtId="165" fontId="4" fillId="0" borderId="48" xfId="1" applyNumberFormat="1" applyFont="1" applyFill="1" applyBorder="1" applyAlignment="1">
      <alignment horizontal="center" vertical="center"/>
    </xf>
    <xf numFmtId="164" fontId="4" fillId="6" borderId="47" xfId="0" applyNumberFormat="1" applyFont="1" applyFill="1" applyBorder="1" applyAlignment="1">
      <alignment horizontal="center" vertical="center"/>
    </xf>
    <xf numFmtId="0" fontId="4" fillId="6" borderId="46" xfId="0" applyFont="1" applyFill="1" applyBorder="1" applyAlignment="1">
      <alignment horizontal="center" vertical="center"/>
    </xf>
    <xf numFmtId="0" fontId="4" fillId="6" borderId="47" xfId="0" applyFont="1" applyFill="1" applyBorder="1" applyAlignment="1">
      <alignment horizontal="center" vertical="center"/>
    </xf>
    <xf numFmtId="0" fontId="5" fillId="0" borderId="40" xfId="0" applyFont="1" applyBorder="1" applyAlignment="1">
      <alignment vertical="center"/>
    </xf>
    <xf numFmtId="164" fontId="5" fillId="6" borderId="25" xfId="0" applyNumberFormat="1" applyFont="1" applyFill="1" applyBorder="1" applyAlignment="1">
      <alignment horizontal="center" vertical="center"/>
    </xf>
    <xf numFmtId="165" fontId="5" fillId="6" borderId="27" xfId="1" applyNumberFormat="1" applyFont="1" applyFill="1" applyBorder="1" applyAlignment="1">
      <alignment horizontal="center" vertical="center"/>
    </xf>
    <xf numFmtId="9" fontId="5" fillId="6" borderId="43" xfId="1" applyFont="1" applyFill="1" applyBorder="1" applyAlignment="1">
      <alignment horizontal="center" vertical="center"/>
    </xf>
    <xf numFmtId="0" fontId="5" fillId="0" borderId="42" xfId="0" applyFont="1" applyBorder="1" applyAlignment="1">
      <alignment vertical="center"/>
    </xf>
    <xf numFmtId="164" fontId="5" fillId="6" borderId="28" xfId="0" applyNumberFormat="1" applyFont="1" applyFill="1" applyBorder="1" applyAlignment="1">
      <alignment horizontal="center" vertical="center"/>
    </xf>
    <xf numFmtId="165" fontId="5" fillId="6" borderId="30" xfId="1" applyNumberFormat="1" applyFont="1" applyFill="1" applyBorder="1" applyAlignment="1">
      <alignment horizontal="center" vertical="center"/>
    </xf>
    <xf numFmtId="0" fontId="5" fillId="6" borderId="45" xfId="0" applyFont="1" applyFill="1" applyBorder="1" applyAlignment="1">
      <alignment horizontal="center" vertical="center"/>
    </xf>
    <xf numFmtId="9" fontId="5" fillId="6" borderId="45" xfId="1" applyFont="1" applyFill="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164" fontId="5" fillId="6" borderId="43" xfId="0" applyNumberFormat="1" applyFont="1" applyFill="1" applyBorder="1" applyAlignment="1">
      <alignment horizontal="center" vertical="center"/>
    </xf>
    <xf numFmtId="0" fontId="5" fillId="0" borderId="41" xfId="0" applyFont="1" applyBorder="1" applyAlignment="1">
      <alignment vertical="center"/>
    </xf>
    <xf numFmtId="0" fontId="5" fillId="0" borderId="74" xfId="0" applyFont="1" applyBorder="1" applyAlignment="1">
      <alignment horizontal="center" vertical="center"/>
    </xf>
    <xf numFmtId="0" fontId="5" fillId="0" borderId="52" xfId="0" applyFont="1" applyBorder="1" applyAlignment="1">
      <alignment horizontal="center" vertical="center"/>
    </xf>
    <xf numFmtId="165" fontId="5" fillId="6" borderId="12" xfId="1" applyNumberFormat="1" applyFont="1" applyFill="1" applyBorder="1" applyAlignment="1">
      <alignment horizontal="center" vertical="center"/>
    </xf>
    <xf numFmtId="164" fontId="5" fillId="6" borderId="41" xfId="0" applyNumberFormat="1" applyFont="1" applyFill="1" applyBorder="1" applyAlignment="1">
      <alignment horizontal="center" vertical="center"/>
    </xf>
    <xf numFmtId="9" fontId="5" fillId="6" borderId="41" xfId="1" applyFont="1" applyFill="1" applyBorder="1" applyAlignment="1">
      <alignment horizontal="center" vertical="center"/>
    </xf>
    <xf numFmtId="0" fontId="5" fillId="0" borderId="75" xfId="0" applyFont="1" applyBorder="1" applyAlignment="1">
      <alignment horizontal="center" vertical="center"/>
    </xf>
    <xf numFmtId="0" fontId="5" fillId="0" borderId="53" xfId="0" applyFont="1" applyBorder="1" applyAlignment="1">
      <alignment horizontal="center" vertical="center"/>
    </xf>
    <xf numFmtId="164" fontId="5" fillId="6" borderId="42" xfId="0" applyNumberFormat="1" applyFont="1" applyFill="1" applyBorder="1" applyAlignment="1">
      <alignment horizontal="center" vertical="center"/>
    </xf>
    <xf numFmtId="9" fontId="5" fillId="6" borderId="42" xfId="1" applyFont="1" applyFill="1" applyBorder="1" applyAlignment="1">
      <alignment horizontal="center" vertical="center"/>
    </xf>
    <xf numFmtId="164" fontId="5" fillId="0" borderId="72" xfId="0" applyNumberFormat="1" applyFont="1" applyBorder="1" applyAlignment="1">
      <alignment horizontal="center" vertical="center"/>
    </xf>
    <xf numFmtId="1" fontId="5" fillId="6" borderId="26" xfId="1" applyNumberFormat="1" applyFont="1" applyFill="1" applyBorder="1" applyAlignment="1">
      <alignment horizontal="center" vertical="center"/>
    </xf>
    <xf numFmtId="165" fontId="5" fillId="0" borderId="76" xfId="1" applyNumberFormat="1" applyFont="1" applyFill="1" applyBorder="1" applyAlignment="1">
      <alignment horizontal="center" vertical="center"/>
    </xf>
    <xf numFmtId="1" fontId="5" fillId="6" borderId="43" xfId="0" applyNumberFormat="1" applyFont="1" applyFill="1" applyBorder="1" applyAlignment="1">
      <alignment horizontal="center" vertical="center"/>
    </xf>
    <xf numFmtId="164" fontId="5" fillId="0" borderId="74" xfId="0" applyNumberFormat="1" applyFont="1" applyBorder="1" applyAlignment="1">
      <alignment horizontal="center" vertical="center"/>
    </xf>
    <xf numFmtId="165" fontId="5" fillId="0" borderId="13" xfId="1" applyNumberFormat="1" applyFont="1" applyFill="1" applyBorder="1" applyAlignment="1">
      <alignment horizontal="center" vertical="center"/>
    </xf>
    <xf numFmtId="9" fontId="5" fillId="6" borderId="37" xfId="1" applyFont="1" applyFill="1" applyBorder="1" applyAlignment="1">
      <alignment horizontal="center" vertical="center"/>
    </xf>
    <xf numFmtId="164" fontId="5" fillId="0" borderId="75" xfId="0" applyNumberFormat="1" applyFont="1" applyBorder="1" applyAlignment="1">
      <alignment horizontal="center" vertical="center"/>
    </xf>
    <xf numFmtId="165" fontId="5" fillId="0" borderId="77" xfId="1" applyNumberFormat="1" applyFont="1" applyFill="1" applyBorder="1" applyAlignment="1">
      <alignment horizontal="center" vertical="center"/>
    </xf>
    <xf numFmtId="1" fontId="5" fillId="6" borderId="43" xfId="1" applyNumberFormat="1" applyFont="1" applyFill="1" applyBorder="1" applyAlignment="1">
      <alignment horizontal="center" vertical="center"/>
    </xf>
    <xf numFmtId="0" fontId="4" fillId="0" borderId="21" xfId="0" applyFont="1" applyBorder="1" applyAlignment="1">
      <alignment horizontal="left" vertical="center" wrapText="1"/>
    </xf>
    <xf numFmtId="0" fontId="8" fillId="3" borderId="23" xfId="0" applyFont="1" applyFill="1" applyBorder="1" applyAlignment="1">
      <alignment horizontal="center" vertical="center"/>
    </xf>
    <xf numFmtId="0" fontId="8" fillId="3" borderId="0" xfId="0" applyFont="1" applyFill="1" applyAlignment="1">
      <alignment horizontal="center" vertical="center"/>
    </xf>
    <xf numFmtId="0" fontId="8" fillId="3" borderId="9" xfId="0" applyFont="1" applyFill="1" applyBorder="1" applyAlignment="1">
      <alignment horizontal="center" vertical="center"/>
    </xf>
    <xf numFmtId="164" fontId="2" fillId="6" borderId="18" xfId="1" applyNumberFormat="1" applyFont="1" applyFill="1" applyBorder="1" applyAlignment="1">
      <alignment horizontal="center" vertical="center" wrapText="1"/>
    </xf>
    <xf numFmtId="164" fontId="2" fillId="6" borderId="15" xfId="1" applyNumberFormat="1" applyFont="1" applyFill="1" applyBorder="1" applyAlignment="1">
      <alignment horizontal="center" vertical="center" wrapText="1"/>
    </xf>
    <xf numFmtId="165" fontId="5" fillId="6" borderId="39" xfId="1" applyNumberFormat="1" applyFont="1" applyFill="1" applyBorder="1" applyAlignment="1">
      <alignment horizontal="center" vertical="center" wrapText="1"/>
    </xf>
    <xf numFmtId="0" fontId="5" fillId="0" borderId="81" xfId="0" applyFont="1" applyBorder="1" applyAlignment="1">
      <alignment vertical="center" wrapText="1"/>
    </xf>
    <xf numFmtId="9" fontId="5" fillId="6" borderId="82" xfId="1" applyFont="1" applyFill="1" applyBorder="1" applyAlignment="1">
      <alignment horizontal="center" vertical="center" wrapText="1"/>
    </xf>
    <xf numFmtId="9" fontId="5" fillId="6" borderId="81" xfId="1" applyFont="1" applyFill="1" applyBorder="1" applyAlignment="1">
      <alignment horizontal="center" vertical="center" wrapText="1"/>
    </xf>
    <xf numFmtId="165" fontId="5" fillId="0" borderId="83" xfId="1" applyNumberFormat="1" applyFont="1" applyBorder="1" applyAlignment="1">
      <alignment horizontal="center" vertical="center" wrapText="1"/>
    </xf>
    <xf numFmtId="165" fontId="5" fillId="0" borderId="84" xfId="1" applyNumberFormat="1" applyFont="1" applyBorder="1" applyAlignment="1">
      <alignment horizontal="center" vertical="center" wrapText="1"/>
    </xf>
    <xf numFmtId="0" fontId="5" fillId="0" borderId="85" xfId="0" applyFont="1" applyBorder="1" applyAlignment="1">
      <alignment vertical="center" wrapText="1"/>
    </xf>
    <xf numFmtId="164" fontId="5" fillId="6" borderId="85" xfId="0" applyNumberFormat="1" applyFont="1" applyFill="1" applyBorder="1" applyAlignment="1">
      <alignment horizontal="center" vertical="center" wrapText="1"/>
    </xf>
    <xf numFmtId="9" fontId="5" fillId="6" borderId="87" xfId="1" applyFont="1" applyFill="1" applyBorder="1" applyAlignment="1">
      <alignment horizontal="center" vertical="center" wrapText="1"/>
    </xf>
    <xf numFmtId="165" fontId="5" fillId="6" borderId="86" xfId="1" applyNumberFormat="1" applyFont="1" applyFill="1" applyBorder="1" applyAlignment="1">
      <alignment horizontal="center" vertical="center" wrapText="1"/>
    </xf>
    <xf numFmtId="0" fontId="5" fillId="0" borderId="38" xfId="0" applyFont="1" applyBorder="1" applyAlignment="1">
      <alignment vertical="center" wrapText="1"/>
    </xf>
    <xf numFmtId="9" fontId="5" fillId="0" borderId="90" xfId="1" applyFont="1" applyBorder="1" applyAlignment="1">
      <alignment horizontal="center" vertical="center" wrapText="1"/>
    </xf>
    <xf numFmtId="0" fontId="4" fillId="0" borderId="55" xfId="0" applyFont="1" applyBorder="1" applyAlignment="1">
      <alignment vertical="center" wrapText="1"/>
    </xf>
    <xf numFmtId="9" fontId="4" fillId="6" borderId="66" xfId="1" applyFont="1" applyFill="1" applyBorder="1" applyAlignment="1">
      <alignment horizontal="center" vertical="center" wrapText="1"/>
    </xf>
    <xf numFmtId="9" fontId="4" fillId="0" borderId="91" xfId="1" applyFont="1" applyBorder="1" applyAlignment="1">
      <alignment horizontal="center" vertical="center" wrapText="1"/>
    </xf>
    <xf numFmtId="9" fontId="4" fillId="6" borderId="67" xfId="1" applyFont="1" applyFill="1" applyBorder="1" applyAlignment="1">
      <alignment horizontal="center" vertical="center" wrapText="1"/>
    </xf>
    <xf numFmtId="165" fontId="4" fillId="6" borderId="66" xfId="1" applyNumberFormat="1" applyFont="1" applyFill="1" applyBorder="1" applyAlignment="1">
      <alignment horizontal="center" vertical="center" wrapText="1"/>
    </xf>
    <xf numFmtId="1" fontId="2" fillId="0" borderId="92" xfId="0" applyNumberFormat="1" applyFont="1" applyBorder="1" applyAlignment="1">
      <alignment horizontal="center" vertical="center" wrapText="1"/>
    </xf>
    <xf numFmtId="9" fontId="2" fillId="6" borderId="93" xfId="1" applyFont="1" applyFill="1" applyBorder="1" applyAlignment="1">
      <alignment horizontal="center" vertical="center" wrapText="1"/>
    </xf>
    <xf numFmtId="9" fontId="2" fillId="6" borderId="80" xfId="1" applyFont="1" applyFill="1" applyBorder="1" applyAlignment="1">
      <alignment horizontal="center" vertical="center" wrapText="1"/>
    </xf>
    <xf numFmtId="9" fontId="2" fillId="0" borderId="94" xfId="1" applyFont="1" applyFill="1" applyBorder="1" applyAlignment="1">
      <alignment horizontal="center" vertical="center" wrapText="1"/>
    </xf>
    <xf numFmtId="9" fontId="2" fillId="6" borderId="38" xfId="1" applyFont="1" applyFill="1" applyBorder="1" applyAlignment="1">
      <alignment horizontal="center" vertical="center" wrapText="1"/>
    </xf>
    <xf numFmtId="164" fontId="5" fillId="6" borderId="30" xfId="0" applyNumberFormat="1" applyFont="1" applyFill="1" applyBorder="1" applyAlignment="1">
      <alignment horizontal="center" vertical="center" wrapText="1"/>
    </xf>
    <xf numFmtId="166" fontId="5" fillId="6" borderId="12" xfId="2" applyNumberFormat="1" applyFont="1" applyFill="1" applyBorder="1" applyAlignment="1">
      <alignment horizontal="center" vertical="center" wrapText="1"/>
    </xf>
    <xf numFmtId="0" fontId="4" fillId="0" borderId="22" xfId="0" applyFont="1" applyBorder="1" applyAlignment="1">
      <alignment vertical="center" wrapText="1"/>
    </xf>
    <xf numFmtId="166" fontId="4" fillId="6" borderId="71" xfId="2" applyNumberFormat="1" applyFont="1" applyFill="1" applyBorder="1" applyAlignment="1">
      <alignment horizontal="center" vertical="center" wrapText="1"/>
    </xf>
    <xf numFmtId="166" fontId="4" fillId="6" borderId="69" xfId="2" applyNumberFormat="1" applyFont="1" applyFill="1" applyBorder="1" applyAlignment="1">
      <alignment horizontal="center" vertical="center" wrapText="1"/>
    </xf>
    <xf numFmtId="9" fontId="4" fillId="6" borderId="70" xfId="1" applyFont="1" applyFill="1" applyBorder="1" applyAlignment="1">
      <alignment horizontal="center" vertical="center" wrapText="1"/>
    </xf>
    <xf numFmtId="165" fontId="4" fillId="6" borderId="71" xfId="1" applyNumberFormat="1" applyFont="1" applyFill="1" applyBorder="1" applyAlignment="1">
      <alignment horizontal="center" vertical="center" wrapText="1"/>
    </xf>
    <xf numFmtId="166" fontId="5" fillId="6" borderId="10" xfId="2" applyNumberFormat="1" applyFont="1" applyFill="1" applyBorder="1" applyAlignment="1">
      <alignment horizontal="center" vertical="center" wrapText="1"/>
    </xf>
    <xf numFmtId="9" fontId="5" fillId="6" borderId="11" xfId="1" applyFont="1" applyFill="1" applyBorder="1" applyAlignment="1">
      <alignment horizontal="center" vertical="center" wrapText="1"/>
    </xf>
    <xf numFmtId="164" fontId="4" fillId="6" borderId="69" xfId="0" applyNumberFormat="1" applyFont="1" applyFill="1" applyBorder="1" applyAlignment="1">
      <alignment horizontal="center" vertical="center" wrapText="1"/>
    </xf>
    <xf numFmtId="164" fontId="5" fillId="6" borderId="12" xfId="0" applyNumberFormat="1" applyFont="1" applyFill="1" applyBorder="1" applyAlignment="1">
      <alignment horizontal="center" vertical="center" wrapText="1"/>
    </xf>
    <xf numFmtId="164" fontId="5" fillId="6" borderId="10" xfId="0" applyNumberFormat="1" applyFont="1" applyFill="1" applyBorder="1" applyAlignment="1">
      <alignment horizontal="center" vertical="center" wrapText="1"/>
    </xf>
    <xf numFmtId="1" fontId="5" fillId="0" borderId="57" xfId="0" applyNumberFormat="1" applyFont="1" applyBorder="1" applyAlignment="1">
      <alignment horizontal="center" vertical="center" wrapText="1"/>
    </xf>
    <xf numFmtId="1" fontId="4" fillId="0" borderId="60" xfId="0" applyNumberFormat="1" applyFont="1" applyBorder="1" applyAlignment="1">
      <alignment horizontal="center" vertical="center" wrapText="1"/>
    </xf>
    <xf numFmtId="0" fontId="1" fillId="3" borderId="23" xfId="0" applyFont="1" applyFill="1" applyBorder="1" applyAlignment="1">
      <alignment horizontal="center" vertical="center" wrapText="1"/>
    </xf>
    <xf numFmtId="0" fontId="4" fillId="0" borderId="96" xfId="0" applyFont="1" applyBorder="1" applyAlignment="1">
      <alignment horizontal="left" vertical="center" wrapText="1" indent="1"/>
    </xf>
    <xf numFmtId="0" fontId="4" fillId="3" borderId="97" xfId="0" applyFont="1" applyFill="1" applyBorder="1" applyAlignment="1">
      <alignment vertical="center" wrapText="1"/>
    </xf>
    <xf numFmtId="0" fontId="4" fillId="3" borderId="37" xfId="0" applyFont="1" applyFill="1" applyBorder="1" applyAlignment="1">
      <alignment vertical="center" wrapText="1"/>
    </xf>
    <xf numFmtId="0" fontId="5" fillId="0" borderId="98" xfId="0" applyFont="1" applyBorder="1" applyAlignment="1">
      <alignment horizontal="left" vertical="center" wrapText="1" indent="1"/>
    </xf>
    <xf numFmtId="0" fontId="5" fillId="0" borderId="99" xfId="0" applyFont="1" applyBorder="1" applyAlignment="1">
      <alignment horizontal="left" vertical="center" wrapText="1" indent="1"/>
    </xf>
    <xf numFmtId="0" fontId="5" fillId="0" borderId="100" xfId="0" applyFont="1" applyBorder="1" applyAlignment="1">
      <alignment horizontal="left" vertical="center" wrapText="1" indent="1"/>
    </xf>
    <xf numFmtId="0" fontId="5" fillId="0" borderId="101" xfId="0" applyFont="1" applyBorder="1" applyAlignment="1">
      <alignment horizontal="left" vertical="center" wrapText="1" indent="1"/>
    </xf>
    <xf numFmtId="0" fontId="5" fillId="0" borderId="102" xfId="0" applyFont="1" applyBorder="1" applyAlignment="1">
      <alignment horizontal="left" vertical="center" wrapText="1" indent="1"/>
    </xf>
    <xf numFmtId="0" fontId="11" fillId="0" borderId="101" xfId="0" applyFont="1" applyBorder="1" applyAlignment="1">
      <alignment horizontal="right" vertical="center" wrapText="1" indent="1"/>
    </xf>
    <xf numFmtId="9" fontId="2" fillId="0" borderId="106" xfId="1" applyFont="1" applyFill="1" applyBorder="1" applyAlignment="1">
      <alignment horizontal="center" vertical="center" wrapText="1"/>
    </xf>
    <xf numFmtId="9" fontId="2" fillId="0" borderId="105" xfId="1" applyFont="1" applyFill="1" applyBorder="1" applyAlignment="1">
      <alignment horizontal="center" vertical="center" wrapText="1"/>
    </xf>
    <xf numFmtId="164" fontId="2" fillId="6" borderId="78" xfId="0" applyNumberFormat="1" applyFont="1" applyFill="1" applyBorder="1" applyAlignment="1">
      <alignment horizontal="center" vertical="center" wrapText="1"/>
    </xf>
    <xf numFmtId="164" fontId="2" fillId="6" borderId="11" xfId="1" applyNumberFormat="1" applyFont="1" applyFill="1" applyBorder="1" applyAlignment="1">
      <alignment horizontal="center" vertical="center" wrapText="1"/>
    </xf>
    <xf numFmtId="164" fontId="2" fillId="6" borderId="106" xfId="1" applyNumberFormat="1" applyFont="1" applyFill="1" applyBorder="1" applyAlignment="1">
      <alignment horizontal="center" vertical="center" wrapText="1"/>
    </xf>
    <xf numFmtId="164" fontId="2" fillId="6" borderId="107" xfId="1" applyNumberFormat="1" applyFont="1" applyFill="1" applyBorder="1" applyAlignment="1">
      <alignment horizontal="center" vertical="center" wrapText="1"/>
    </xf>
    <xf numFmtId="9" fontId="2" fillId="6" borderId="106" xfId="1" applyFont="1" applyFill="1" applyBorder="1" applyAlignment="1">
      <alignment horizontal="center" vertical="center" wrapText="1"/>
    </xf>
    <xf numFmtId="2" fontId="2" fillId="6" borderId="106" xfId="1" applyNumberFormat="1" applyFont="1" applyFill="1" applyBorder="1" applyAlignment="1">
      <alignment horizontal="center" vertical="center" wrapText="1"/>
    </xf>
    <xf numFmtId="9" fontId="2" fillId="6" borderId="78" xfId="1" applyFont="1" applyFill="1" applyBorder="1" applyAlignment="1">
      <alignment horizontal="center" vertical="center" wrapText="1"/>
    </xf>
    <xf numFmtId="165" fontId="5" fillId="0" borderId="11" xfId="1" applyNumberFormat="1" applyFont="1" applyBorder="1" applyAlignment="1">
      <alignment horizontal="center"/>
    </xf>
    <xf numFmtId="9" fontId="5" fillId="0" borderId="11" xfId="1" applyFont="1" applyBorder="1" applyAlignment="1">
      <alignment horizontal="center"/>
    </xf>
    <xf numFmtId="0" fontId="5" fillId="0" borderId="11" xfId="0" applyFont="1" applyBorder="1" applyAlignment="1">
      <alignment horizontal="center"/>
    </xf>
    <xf numFmtId="0" fontId="5" fillId="0" borderId="10" xfId="0" applyFont="1" applyBorder="1" applyAlignment="1">
      <alignment horizontal="right" vertical="center" wrapText="1"/>
    </xf>
    <xf numFmtId="0" fontId="1" fillId="4" borderId="28" xfId="0" applyFont="1" applyFill="1" applyBorder="1" applyAlignment="1">
      <alignment horizontal="right" vertical="center" wrapText="1"/>
    </xf>
    <xf numFmtId="164" fontId="5" fillId="6" borderId="66" xfId="2" applyNumberFormat="1" applyFont="1" applyFill="1" applyBorder="1" applyAlignment="1">
      <alignment horizontal="center" vertical="center" wrapText="1"/>
    </xf>
    <xf numFmtId="164" fontId="5" fillId="6" borderId="55" xfId="2" applyNumberFormat="1" applyFont="1" applyFill="1" applyBorder="1" applyAlignment="1">
      <alignment horizontal="center" vertical="center" wrapText="1"/>
    </xf>
    <xf numFmtId="164" fontId="5" fillId="0" borderId="57" xfId="0" applyNumberFormat="1" applyFont="1" applyBorder="1" applyAlignment="1">
      <alignment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5" fillId="0" borderId="0" xfId="0" applyFont="1"/>
    <xf numFmtId="0" fontId="5" fillId="0" borderId="10" xfId="0" applyFont="1" applyBorder="1" applyAlignment="1">
      <alignment horizontal="right"/>
    </xf>
    <xf numFmtId="0" fontId="5" fillId="0" borderId="28" xfId="0" applyFont="1" applyBorder="1" applyAlignment="1">
      <alignment horizontal="right"/>
    </xf>
    <xf numFmtId="0" fontId="5" fillId="0" borderId="113" xfId="0" applyFont="1" applyBorder="1" applyAlignment="1">
      <alignment horizontal="center"/>
    </xf>
    <xf numFmtId="0" fontId="5" fillId="6" borderId="11" xfId="0" applyFont="1" applyFill="1" applyBorder="1" applyAlignment="1">
      <alignment horizontal="center"/>
    </xf>
    <xf numFmtId="164" fontId="5" fillId="6" borderId="67" xfId="0" applyNumberFormat="1" applyFont="1" applyFill="1" applyBorder="1" applyAlignment="1">
      <alignment horizontal="center" vertical="center" wrapText="1"/>
    </xf>
    <xf numFmtId="164" fontId="5" fillId="0" borderId="57" xfId="0" applyNumberFormat="1" applyFont="1" applyBorder="1" applyAlignment="1">
      <alignment horizontal="center" vertical="center" wrapText="1"/>
    </xf>
    <xf numFmtId="164" fontId="5" fillId="6" borderId="65" xfId="2" applyNumberFormat="1" applyFont="1" applyFill="1" applyBorder="1" applyAlignment="1">
      <alignment horizontal="center" vertical="center" wrapText="1"/>
    </xf>
    <xf numFmtId="164" fontId="5" fillId="6" borderId="109" xfId="2" applyNumberFormat="1" applyFont="1" applyFill="1" applyBorder="1" applyAlignment="1">
      <alignment horizontal="center" vertical="center" wrapText="1"/>
    </xf>
    <xf numFmtId="164" fontId="5" fillId="6" borderId="108" xfId="0" applyNumberFormat="1" applyFont="1" applyFill="1" applyBorder="1" applyAlignment="1">
      <alignment horizontal="center" vertical="center" wrapText="1"/>
    </xf>
    <xf numFmtId="164" fontId="5" fillId="0" borderId="60" xfId="0" applyNumberFormat="1" applyFont="1" applyBorder="1" applyAlignment="1">
      <alignment horizontal="center" vertical="center" wrapText="1"/>
    </xf>
    <xf numFmtId="9" fontId="4" fillId="6" borderId="29" xfId="1" applyFont="1" applyFill="1" applyBorder="1" applyAlignment="1">
      <alignment horizontal="center"/>
    </xf>
    <xf numFmtId="9" fontId="4" fillId="6" borderId="29" xfId="0" applyNumberFormat="1" applyFont="1" applyFill="1" applyBorder="1" applyAlignment="1">
      <alignment horizontal="center"/>
    </xf>
    <xf numFmtId="2" fontId="4" fillId="6" borderId="29" xfId="0" applyNumberFormat="1" applyFont="1" applyFill="1" applyBorder="1" applyAlignment="1">
      <alignment horizontal="center"/>
    </xf>
    <xf numFmtId="2" fontId="4" fillId="6" borderId="30" xfId="0" applyNumberFormat="1" applyFont="1" applyFill="1" applyBorder="1" applyAlignment="1">
      <alignment horizontal="center"/>
    </xf>
    <xf numFmtId="2" fontId="5" fillId="6" borderId="12" xfId="0" applyNumberFormat="1" applyFont="1" applyFill="1" applyBorder="1" applyAlignment="1">
      <alignment horizontal="center"/>
    </xf>
    <xf numFmtId="164" fontId="2" fillId="6" borderId="101" xfId="0" applyNumberFormat="1" applyFont="1" applyFill="1" applyBorder="1" applyAlignment="1">
      <alignment horizontal="center" vertical="center" wrapText="1"/>
    </xf>
    <xf numFmtId="164" fontId="5" fillId="6" borderId="36" xfId="2" applyNumberFormat="1" applyFont="1" applyFill="1" applyBorder="1" applyAlignment="1">
      <alignment horizontal="center" vertical="center" wrapText="1"/>
    </xf>
    <xf numFmtId="164" fontId="5" fillId="6" borderId="116" xfId="2" applyNumberFormat="1" applyFont="1" applyFill="1" applyBorder="1" applyAlignment="1">
      <alignment horizontal="center" vertical="center" wrapText="1"/>
    </xf>
    <xf numFmtId="0" fontId="1"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164" fontId="5" fillId="6" borderId="11" xfId="2" applyNumberFormat="1" applyFont="1" applyFill="1" applyBorder="1" applyAlignment="1">
      <alignment horizontal="center" vertical="center" wrapText="1"/>
    </xf>
    <xf numFmtId="164" fontId="5" fillId="6" borderId="12" xfId="2" applyNumberFormat="1" applyFont="1" applyFill="1" applyBorder="1" applyAlignment="1">
      <alignment horizontal="center" vertical="center" wrapText="1"/>
    </xf>
    <xf numFmtId="0" fontId="5" fillId="0" borderId="28" xfId="0" applyFont="1" applyBorder="1" applyAlignment="1">
      <alignment horizontal="right" vertical="center" wrapText="1"/>
    </xf>
    <xf numFmtId="164" fontId="5" fillId="6" borderId="29" xfId="2" applyNumberFormat="1" applyFont="1" applyFill="1" applyBorder="1" applyAlignment="1">
      <alignment horizontal="center" vertical="center" wrapText="1"/>
    </xf>
    <xf numFmtId="164" fontId="5" fillId="6" borderId="30" xfId="2" applyNumberFormat="1" applyFont="1" applyFill="1" applyBorder="1" applyAlignment="1">
      <alignment horizontal="center" vertical="center" wrapText="1"/>
    </xf>
    <xf numFmtId="1" fontId="8" fillId="3" borderId="23" xfId="0" applyNumberFormat="1" applyFont="1" applyFill="1" applyBorder="1" applyAlignment="1">
      <alignment horizontal="center" vertical="center"/>
    </xf>
    <xf numFmtId="1" fontId="8" fillId="3" borderId="0" xfId="0" applyNumberFormat="1" applyFont="1" applyFill="1" applyAlignment="1">
      <alignment horizontal="center" vertical="center"/>
    </xf>
    <xf numFmtId="164" fontId="5" fillId="6" borderId="45" xfId="1" applyNumberFormat="1" applyFont="1" applyFill="1" applyBorder="1" applyAlignment="1">
      <alignment horizontal="center" vertical="center"/>
    </xf>
    <xf numFmtId="164" fontId="4" fillId="0" borderId="117" xfId="0" applyNumberFormat="1" applyFont="1" applyBorder="1" applyAlignment="1">
      <alignment horizontal="center" vertical="center"/>
    </xf>
    <xf numFmtId="165" fontId="4" fillId="0" borderId="118" xfId="1" applyNumberFormat="1" applyFont="1" applyFill="1" applyBorder="1" applyAlignment="1">
      <alignment horizontal="center" vertical="center"/>
    </xf>
    <xf numFmtId="164" fontId="4" fillId="6" borderId="34" xfId="1" applyNumberFormat="1" applyFont="1" applyFill="1" applyBorder="1" applyAlignment="1">
      <alignment horizontal="center" vertical="center"/>
    </xf>
    <xf numFmtId="1" fontId="4" fillId="6" borderId="34" xfId="1" applyNumberFormat="1" applyFont="1" applyFill="1" applyBorder="1" applyAlignment="1">
      <alignment horizontal="center" vertical="center"/>
    </xf>
    <xf numFmtId="164" fontId="5" fillId="6" borderId="29" xfId="0" applyNumberFormat="1" applyFont="1" applyFill="1" applyBorder="1" applyAlignment="1">
      <alignment horizontal="center" vertical="center"/>
    </xf>
    <xf numFmtId="1" fontId="4" fillId="6" borderId="47" xfId="1" applyNumberFormat="1" applyFont="1" applyFill="1" applyBorder="1" applyAlignment="1">
      <alignment horizontal="center" vertical="center"/>
    </xf>
    <xf numFmtId="164" fontId="5" fillId="6" borderId="11" xfId="1" applyNumberFormat="1" applyFont="1" applyFill="1" applyBorder="1" applyAlignment="1">
      <alignment horizontal="center" vertical="center"/>
    </xf>
    <xf numFmtId="164" fontId="5" fillId="6" borderId="37" xfId="0" applyNumberFormat="1" applyFont="1" applyFill="1" applyBorder="1" applyAlignment="1">
      <alignment horizontal="center" vertical="center"/>
    </xf>
    <xf numFmtId="164" fontId="5" fillId="0" borderId="119" xfId="0" applyNumberFormat="1" applyFont="1" applyBorder="1" applyAlignment="1">
      <alignment horizontal="center" vertical="center"/>
    </xf>
    <xf numFmtId="0" fontId="5" fillId="0" borderId="120" xfId="0" applyFont="1" applyBorder="1" applyAlignment="1">
      <alignment horizontal="center" vertical="center"/>
    </xf>
    <xf numFmtId="165" fontId="5" fillId="0" borderId="121" xfId="1" applyNumberFormat="1" applyFont="1" applyFill="1" applyBorder="1" applyAlignment="1">
      <alignment horizontal="center" vertical="center"/>
    </xf>
    <xf numFmtId="0" fontId="11" fillId="0" borderId="31" xfId="0" applyFont="1" applyBorder="1" applyAlignment="1">
      <alignment horizontal="right" vertical="center"/>
    </xf>
    <xf numFmtId="0" fontId="5" fillId="0" borderId="35" xfId="0" applyFont="1" applyBorder="1" applyAlignment="1">
      <alignment horizontal="center" vertical="center"/>
    </xf>
    <xf numFmtId="9" fontId="5" fillId="0" borderId="122" xfId="1" applyFont="1" applyFill="1" applyBorder="1" applyAlignment="1">
      <alignment horizontal="center" vertical="center"/>
    </xf>
    <xf numFmtId="9" fontId="5" fillId="0" borderId="123" xfId="1" applyFont="1" applyFill="1" applyBorder="1" applyAlignment="1">
      <alignment horizontal="center" vertical="center"/>
    </xf>
    <xf numFmtId="0" fontId="5" fillId="6" borderId="29" xfId="1" applyNumberFormat="1" applyFont="1" applyFill="1" applyBorder="1" applyAlignment="1">
      <alignment horizontal="center" vertical="center"/>
    </xf>
    <xf numFmtId="0" fontId="5" fillId="0" borderId="115" xfId="1" applyNumberFormat="1" applyFont="1" applyFill="1" applyBorder="1" applyAlignment="1">
      <alignment horizontal="center" vertical="center"/>
    </xf>
    <xf numFmtId="0" fontId="8" fillId="3" borderId="54" xfId="0" applyFont="1" applyFill="1" applyBorder="1" applyAlignment="1">
      <alignment horizontal="center" vertical="center" wrapText="1"/>
    </xf>
    <xf numFmtId="167" fontId="5" fillId="0" borderId="66" xfId="2" applyNumberFormat="1" applyFont="1" applyFill="1" applyBorder="1" applyAlignment="1">
      <alignment horizontal="center" vertical="center" wrapText="1"/>
    </xf>
    <xf numFmtId="0" fontId="5" fillId="0" borderId="0" xfId="0" applyFont="1" applyAlignment="1">
      <alignment horizontal="left" vertical="center" wrapText="1" indent="1"/>
    </xf>
    <xf numFmtId="164" fontId="2" fillId="0" borderId="3" xfId="1" applyNumberFormat="1" applyFont="1" applyFill="1" applyBorder="1" applyAlignment="1">
      <alignment horizontal="center" vertical="center" wrapText="1"/>
    </xf>
    <xf numFmtId="9" fontId="0" fillId="0" borderId="0" xfId="1" applyFont="1"/>
    <xf numFmtId="2" fontId="2" fillId="0" borderId="8" xfId="1" applyNumberFormat="1" applyFont="1" applyFill="1" applyBorder="1" applyAlignment="1">
      <alignment horizontal="center" vertical="center" wrapText="1"/>
    </xf>
    <xf numFmtId="164" fontId="5" fillId="0" borderId="3" xfId="1" applyNumberFormat="1" applyFont="1" applyFill="1" applyBorder="1" applyAlignment="1">
      <alignment horizontal="center" vertical="center" wrapText="1"/>
    </xf>
    <xf numFmtId="164" fontId="2" fillId="6" borderId="3" xfId="0" applyNumberFormat="1" applyFont="1" applyFill="1" applyBorder="1" applyAlignment="1">
      <alignment horizontal="center" vertical="center" wrapText="1"/>
    </xf>
    <xf numFmtId="2" fontId="2" fillId="6" borderId="14" xfId="1" applyNumberFormat="1" applyFont="1" applyFill="1" applyBorder="1" applyAlignment="1">
      <alignment horizontal="center" vertical="center" wrapText="1"/>
    </xf>
    <xf numFmtId="2" fontId="2" fillId="6" borderId="10" xfId="1" applyNumberFormat="1" applyFont="1" applyFill="1" applyBorder="1" applyAlignment="1">
      <alignment horizontal="center" vertical="center" wrapText="1"/>
    </xf>
    <xf numFmtId="1" fontId="2" fillId="6" borderId="10" xfId="1" applyNumberFormat="1" applyFont="1" applyFill="1" applyBorder="1" applyAlignment="1">
      <alignment horizontal="center" vertical="center" wrapText="1"/>
    </xf>
    <xf numFmtId="2" fontId="2" fillId="0" borderId="16" xfId="0" applyNumberFormat="1" applyFont="1" applyBorder="1" applyAlignment="1">
      <alignment horizontal="center" vertical="center" wrapText="1"/>
    </xf>
    <xf numFmtId="1" fontId="2" fillId="6" borderId="11" xfId="1" applyNumberFormat="1" applyFont="1" applyFill="1" applyBorder="1" applyAlignment="1">
      <alignment horizontal="center" vertical="center" wrapText="1"/>
    </xf>
    <xf numFmtId="1" fontId="2" fillId="6" borderId="14" xfId="1" applyNumberFormat="1" applyFont="1" applyFill="1" applyBorder="1" applyAlignment="1">
      <alignment horizontal="center" vertical="center" wrapText="1"/>
    </xf>
    <xf numFmtId="2" fontId="2" fillId="6" borderId="78" xfId="0" applyNumberFormat="1" applyFont="1" applyFill="1" applyBorder="1" applyAlignment="1">
      <alignment horizontal="center" vertical="center" wrapText="1"/>
    </xf>
    <xf numFmtId="164" fontId="4" fillId="6" borderId="47" xfId="1" applyNumberFormat="1" applyFont="1" applyFill="1" applyBorder="1" applyAlignment="1">
      <alignment horizontal="center" vertical="center"/>
    </xf>
    <xf numFmtId="2" fontId="4" fillId="0" borderId="118" xfId="1" applyNumberFormat="1" applyFont="1" applyFill="1" applyBorder="1" applyAlignment="1">
      <alignment horizontal="center" vertical="center"/>
    </xf>
    <xf numFmtId="164" fontId="5" fillId="0" borderId="115" xfId="1" applyNumberFormat="1" applyFont="1" applyFill="1" applyBorder="1" applyAlignment="1">
      <alignment horizontal="center" vertical="center"/>
    </xf>
    <xf numFmtId="0" fontId="5" fillId="0" borderId="26" xfId="0" applyFont="1" applyBorder="1" applyAlignment="1">
      <alignment horizontal="center" vertical="center"/>
    </xf>
    <xf numFmtId="165" fontId="5" fillId="0" borderId="27" xfId="1" applyNumberFormat="1" applyFont="1" applyFill="1" applyBorder="1" applyAlignment="1">
      <alignment horizontal="center" vertical="center"/>
    </xf>
    <xf numFmtId="0" fontId="5" fillId="0" borderId="29" xfId="0" applyFont="1" applyBorder="1" applyAlignment="1">
      <alignment horizontal="center" vertical="center"/>
    </xf>
    <xf numFmtId="0" fontId="5" fillId="0" borderId="11" xfId="0" applyFont="1" applyBorder="1" applyAlignment="1">
      <alignment horizontal="center" vertical="center"/>
    </xf>
    <xf numFmtId="165" fontId="5" fillId="0" borderId="12" xfId="1" applyNumberFormat="1" applyFont="1" applyFill="1" applyBorder="1" applyAlignment="1">
      <alignment horizontal="center" vertical="center"/>
    </xf>
    <xf numFmtId="165" fontId="5" fillId="0" borderId="30" xfId="1" applyNumberFormat="1" applyFont="1" applyFill="1" applyBorder="1" applyAlignment="1">
      <alignment horizontal="center" vertical="center"/>
    </xf>
    <xf numFmtId="164" fontId="5" fillId="6" borderId="26" xfId="0" applyNumberFormat="1" applyFont="1" applyFill="1" applyBorder="1" applyAlignment="1">
      <alignment horizontal="center" vertical="center"/>
    </xf>
    <xf numFmtId="164" fontId="5" fillId="6" borderId="45" xfId="0" applyNumberFormat="1" applyFont="1" applyFill="1" applyBorder="1" applyAlignment="1">
      <alignment horizontal="center" vertical="center"/>
    </xf>
    <xf numFmtId="1" fontId="5" fillId="0" borderId="26" xfId="0" applyNumberFormat="1" applyFont="1" applyBorder="1" applyAlignment="1">
      <alignment horizontal="center" vertical="center"/>
    </xf>
    <xf numFmtId="9" fontId="5" fillId="6" borderId="27" xfId="1" applyFont="1" applyFill="1" applyBorder="1" applyAlignment="1">
      <alignment horizontal="center" vertical="center"/>
    </xf>
    <xf numFmtId="164" fontId="5" fillId="0" borderId="0" xfId="1" applyNumberFormat="1" applyFont="1" applyAlignment="1">
      <alignment vertical="center"/>
    </xf>
    <xf numFmtId="164" fontId="5" fillId="6" borderId="11" xfId="0" applyNumberFormat="1" applyFont="1" applyFill="1" applyBorder="1" applyAlignment="1">
      <alignment horizontal="center" vertical="center"/>
    </xf>
    <xf numFmtId="167" fontId="5" fillId="6" borderId="55" xfId="2" applyNumberFormat="1" applyFont="1" applyFill="1" applyBorder="1" applyAlignment="1">
      <alignment horizontal="center" vertical="center" wrapText="1"/>
    </xf>
    <xf numFmtId="167" fontId="5" fillId="6" borderId="66" xfId="2" applyNumberFormat="1" applyFont="1" applyFill="1" applyBorder="1" applyAlignment="1">
      <alignment horizontal="center" vertical="center" wrapText="1"/>
    </xf>
    <xf numFmtId="164" fontId="5" fillId="6" borderId="26" xfId="2" applyNumberFormat="1" applyFont="1" applyFill="1" applyBorder="1" applyAlignment="1">
      <alignment horizontal="center" vertical="center"/>
    </xf>
    <xf numFmtId="9" fontId="4" fillId="6" borderId="21" xfId="1" applyFont="1" applyFill="1" applyBorder="1" applyAlignment="1">
      <alignment horizontal="center" vertical="center"/>
    </xf>
    <xf numFmtId="0" fontId="5" fillId="0" borderId="10" xfId="0" applyFont="1" applyBorder="1" applyAlignment="1">
      <alignment horizontal="left" vertical="center" wrapText="1" indent="1"/>
    </xf>
    <xf numFmtId="1" fontId="5" fillId="0" borderId="11" xfId="0" applyNumberFormat="1" applyFont="1" applyBorder="1" applyAlignment="1">
      <alignment horizontal="center" vertical="center" wrapText="1"/>
    </xf>
    <xf numFmtId="1" fontId="2" fillId="0" borderId="37" xfId="0" applyNumberFormat="1" applyFont="1" applyBorder="1" applyAlignment="1">
      <alignment horizontal="center" vertical="center" wrapText="1"/>
    </xf>
    <xf numFmtId="0" fontId="4" fillId="0" borderId="28" xfId="0" applyFont="1" applyBorder="1" applyAlignment="1">
      <alignment horizontal="left" vertical="center" wrapText="1" indent="1"/>
    </xf>
    <xf numFmtId="1" fontId="4" fillId="7" borderId="29" xfId="0" applyNumberFormat="1" applyFont="1" applyFill="1" applyBorder="1" applyAlignment="1">
      <alignment horizontal="center" vertical="center" wrapText="1"/>
    </xf>
    <xf numFmtId="1" fontId="4" fillId="7" borderId="45" xfId="0" applyNumberFormat="1" applyFont="1" applyFill="1" applyBorder="1" applyAlignment="1">
      <alignment horizontal="center" vertical="center" wrapText="1"/>
    </xf>
    <xf numFmtId="0" fontId="4" fillId="3" borderId="10" xfId="0" applyFont="1" applyFill="1" applyBorder="1" applyAlignment="1">
      <alignment vertical="center" wrapText="1"/>
    </xf>
    <xf numFmtId="0" fontId="8" fillId="3" borderId="37" xfId="0" applyFont="1" applyFill="1" applyBorder="1" applyAlignment="1">
      <alignment horizontal="center" vertical="center" wrapText="1"/>
    </xf>
    <xf numFmtId="164" fontId="4" fillId="0" borderId="32" xfId="0" applyNumberFormat="1" applyFont="1" applyBorder="1" applyAlignment="1">
      <alignment horizontal="center" vertical="center"/>
    </xf>
    <xf numFmtId="164" fontId="5" fillId="0" borderId="40" xfId="0" applyNumberFormat="1" applyFont="1" applyBorder="1" applyAlignment="1">
      <alignment horizontal="center" vertical="center"/>
    </xf>
    <xf numFmtId="164" fontId="5" fillId="0" borderId="42" xfId="0" applyNumberFormat="1" applyFont="1" applyBorder="1" applyAlignment="1">
      <alignment horizontal="center" vertical="center"/>
    </xf>
    <xf numFmtId="9" fontId="5" fillId="0" borderId="51" xfId="1" applyFont="1" applyFill="1" applyBorder="1" applyAlignment="1">
      <alignment horizontal="center" vertical="center" wrapText="1"/>
    </xf>
    <xf numFmtId="9" fontId="5" fillId="0" borderId="12" xfId="1" applyFont="1" applyFill="1" applyBorder="1" applyAlignment="1">
      <alignment horizontal="center" vertical="center" wrapText="1"/>
    </xf>
    <xf numFmtId="9" fontId="5" fillId="0" borderId="39" xfId="1" applyFont="1" applyFill="1" applyBorder="1" applyAlignment="1">
      <alignment horizontal="center" vertical="center" wrapText="1"/>
    </xf>
    <xf numFmtId="9" fontId="5" fillId="0" borderId="11" xfId="1" applyFont="1" applyFill="1" applyBorder="1" applyAlignment="1">
      <alignment horizontal="center" vertical="center" wrapText="1"/>
    </xf>
    <xf numFmtId="0" fontId="5" fillId="0" borderId="29" xfId="0" applyFont="1" applyBorder="1" applyAlignment="1">
      <alignment horizontal="center" vertical="center" wrapText="1"/>
    </xf>
    <xf numFmtId="9" fontId="5" fillId="0" borderId="78" xfId="1" applyFont="1" applyFill="1" applyBorder="1" applyAlignment="1">
      <alignment horizontal="center" vertical="center" wrapText="1"/>
    </xf>
    <xf numFmtId="9" fontId="5" fillId="0" borderId="50" xfId="1" applyFont="1" applyFill="1" applyBorder="1" applyAlignment="1">
      <alignment horizontal="center" vertical="center" wrapText="1"/>
    </xf>
    <xf numFmtId="9" fontId="5" fillId="6" borderId="50" xfId="1" applyFont="1" applyFill="1" applyBorder="1" applyAlignment="1">
      <alignment horizontal="center" vertical="center" wrapText="1"/>
    </xf>
    <xf numFmtId="9" fontId="5" fillId="0" borderId="0" xfId="1" applyFont="1" applyAlignment="1">
      <alignment vertical="center" wrapText="1"/>
    </xf>
    <xf numFmtId="164" fontId="5" fillId="0" borderId="86" xfId="0" applyNumberFormat="1" applyFont="1" applyBorder="1" applyAlignment="1">
      <alignment horizontal="center" vertical="center" wrapText="1"/>
    </xf>
    <xf numFmtId="164" fontId="5" fillId="0" borderId="66" xfId="0" applyNumberFormat="1" applyFont="1" applyBorder="1" applyAlignment="1">
      <alignment horizontal="center" vertical="center" wrapText="1"/>
    </xf>
    <xf numFmtId="0" fontId="5" fillId="0" borderId="66" xfId="0" applyFont="1" applyBorder="1" applyAlignment="1">
      <alignment horizontal="center" vertical="center" wrapText="1"/>
    </xf>
    <xf numFmtId="164" fontId="5" fillId="6" borderId="66" xfId="0" applyNumberFormat="1" applyFont="1" applyFill="1" applyBorder="1" applyAlignment="1">
      <alignment horizontal="center" vertical="center" wrapText="1"/>
    </xf>
    <xf numFmtId="9" fontId="5" fillId="0" borderId="64" xfId="1" applyFont="1" applyFill="1" applyBorder="1" applyAlignment="1">
      <alignment horizontal="center" vertical="center" wrapText="1"/>
    </xf>
    <xf numFmtId="164" fontId="5" fillId="0" borderId="65" xfId="0" applyNumberFormat="1" applyFont="1" applyBorder="1" applyAlignment="1">
      <alignment horizontal="center" vertical="center" wrapText="1"/>
    </xf>
    <xf numFmtId="0" fontId="5" fillId="0" borderId="55" xfId="0" applyFont="1" applyBorder="1" applyAlignment="1">
      <alignment horizontal="center" vertical="center" wrapText="1"/>
    </xf>
    <xf numFmtId="0" fontId="5" fillId="0" borderId="58" xfId="0" applyFont="1" applyBorder="1" applyAlignment="1">
      <alignment horizontal="center" vertical="center" wrapText="1"/>
    </xf>
    <xf numFmtId="164" fontId="5" fillId="0" borderId="55" xfId="0" applyNumberFormat="1" applyFont="1" applyBorder="1" applyAlignment="1">
      <alignment horizontal="center" vertical="center" wrapText="1"/>
    </xf>
    <xf numFmtId="0" fontId="8" fillId="3" borderId="50" xfId="0" applyFont="1" applyFill="1" applyBorder="1" applyAlignment="1">
      <alignment horizontal="center" vertical="center" wrapText="1"/>
    </xf>
    <xf numFmtId="167" fontId="5" fillId="6" borderId="58" xfId="2" applyNumberFormat="1" applyFont="1" applyFill="1" applyBorder="1" applyAlignment="1">
      <alignment vertical="center" wrapText="1"/>
    </xf>
    <xf numFmtId="167" fontId="5" fillId="6" borderId="65" xfId="2" applyNumberFormat="1" applyFont="1" applyFill="1" applyBorder="1" applyAlignment="1">
      <alignment horizontal="center" vertical="center" wrapText="1"/>
    </xf>
    <xf numFmtId="167" fontId="5" fillId="6" borderId="58" xfId="2" applyNumberFormat="1" applyFont="1" applyFill="1" applyBorder="1" applyAlignment="1">
      <alignment horizontal="center" vertical="center" wrapText="1"/>
    </xf>
    <xf numFmtId="164" fontId="4" fillId="6" borderId="71" xfId="0" applyNumberFormat="1" applyFont="1" applyFill="1" applyBorder="1" applyAlignment="1">
      <alignment horizontal="center" vertical="center" wrapText="1"/>
    </xf>
    <xf numFmtId="164" fontId="5" fillId="6" borderId="29" xfId="0" applyNumberFormat="1" applyFont="1" applyFill="1" applyBorder="1" applyAlignment="1">
      <alignment horizontal="center"/>
    </xf>
    <xf numFmtId="9" fontId="18" fillId="0" borderId="129" xfId="3" applyNumberFormat="1" applyFont="1" applyFill="1" applyBorder="1" applyAlignment="1">
      <alignment horizontal="center" vertical="center" wrapText="1"/>
    </xf>
    <xf numFmtId="0" fontId="4" fillId="5" borderId="98" xfId="0" applyFont="1" applyFill="1" applyBorder="1" applyAlignment="1">
      <alignment horizontal="center" vertical="center" wrapText="1"/>
    </xf>
    <xf numFmtId="9" fontId="3" fillId="5" borderId="129" xfId="1" applyFont="1" applyFill="1" applyBorder="1" applyAlignment="1">
      <alignment horizontal="center" vertical="center" wrapText="1"/>
    </xf>
    <xf numFmtId="0" fontId="5" fillId="0" borderId="98" xfId="0" applyFont="1" applyBorder="1" applyAlignment="1">
      <alignment horizontal="center" vertical="center" wrapText="1"/>
    </xf>
    <xf numFmtId="9" fontId="16" fillId="0" borderId="129" xfId="3" applyNumberFormat="1" applyFont="1" applyFill="1" applyBorder="1" applyAlignment="1">
      <alignment horizontal="center" vertical="center" wrapText="1"/>
    </xf>
    <xf numFmtId="0" fontId="5" fillId="0" borderId="130" xfId="0" applyFont="1" applyBorder="1" applyAlignment="1">
      <alignment horizontal="center" vertical="center" wrapText="1"/>
    </xf>
    <xf numFmtId="0" fontId="5" fillId="0" borderId="131" xfId="0" applyFont="1" applyBorder="1" applyAlignment="1">
      <alignment horizontal="left" vertical="center" wrapText="1" indent="1"/>
    </xf>
    <xf numFmtId="9" fontId="18" fillId="0" borderId="132" xfId="3" applyNumberFormat="1" applyFont="1" applyFill="1" applyBorder="1" applyAlignment="1">
      <alignment horizontal="center" vertical="center" wrapText="1"/>
    </xf>
    <xf numFmtId="0" fontId="19" fillId="8" borderId="0" xfId="0" applyFont="1" applyFill="1" applyAlignment="1">
      <alignment vertical="center"/>
    </xf>
    <xf numFmtId="0" fontId="5" fillId="6" borderId="21" xfId="0" applyFont="1" applyFill="1" applyBorder="1" applyAlignment="1">
      <alignment vertical="center" wrapText="1"/>
    </xf>
    <xf numFmtId="0" fontId="5" fillId="0" borderId="21" xfId="0" applyFont="1" applyBorder="1" applyAlignment="1">
      <alignment vertical="center"/>
    </xf>
    <xf numFmtId="0" fontId="20" fillId="8" borderId="0" xfId="0" applyFont="1" applyFill="1"/>
    <xf numFmtId="0" fontId="19" fillId="8" borderId="0" xfId="0" applyFont="1" applyFill="1"/>
    <xf numFmtId="0" fontId="21" fillId="0" borderId="0" xfId="0" applyFont="1" applyAlignment="1">
      <alignment vertical="center" wrapText="1"/>
    </xf>
    <xf numFmtId="164" fontId="5" fillId="6" borderId="29" xfId="1" applyNumberFormat="1" applyFont="1" applyFill="1" applyBorder="1" applyAlignment="1">
      <alignment horizontal="center" vertical="center"/>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xf>
    <xf numFmtId="0" fontId="4" fillId="3" borderId="34" xfId="0" applyFont="1" applyFill="1" applyBorder="1" applyAlignment="1">
      <alignment horizontal="left" vertical="center"/>
    </xf>
    <xf numFmtId="0" fontId="5" fillId="0" borderId="23" xfId="0" applyFont="1" applyBorder="1" applyAlignment="1">
      <alignment horizontal="center" vertical="center" wrapText="1"/>
    </xf>
    <xf numFmtId="0" fontId="5" fillId="0" borderId="9" xfId="0" applyFont="1" applyBorder="1" applyAlignment="1">
      <alignment horizontal="center" vertical="center"/>
    </xf>
    <xf numFmtId="0" fontId="5" fillId="0" borderId="24" xfId="0" applyFont="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5" fillId="0" borderId="0" xfId="0" applyFont="1" applyAlignment="1">
      <alignment horizontal="left" vertical="center"/>
    </xf>
    <xf numFmtId="0" fontId="20" fillId="8" borderId="0" xfId="0" applyFont="1" applyFill="1" applyAlignment="1">
      <alignment horizontal="left"/>
    </xf>
    <xf numFmtId="0" fontId="5" fillId="0" borderId="0" xfId="0" applyFont="1" applyAlignment="1">
      <alignment horizontal="left"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4" fillId="3" borderId="36"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0" borderId="88" xfId="0" applyFont="1" applyBorder="1" applyAlignment="1">
      <alignment horizontal="left" vertical="center" wrapText="1"/>
    </xf>
    <xf numFmtId="0" fontId="4" fillId="0" borderId="79" xfId="0" applyFont="1" applyBorder="1" applyAlignment="1">
      <alignment horizontal="left" vertical="center" wrapText="1"/>
    </xf>
    <xf numFmtId="0" fontId="4" fillId="0" borderId="89" xfId="0" applyFont="1" applyBorder="1" applyAlignment="1">
      <alignment horizontal="left"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20" xfId="0" applyFont="1" applyBorder="1" applyAlignment="1">
      <alignment horizontal="center" vertical="center" wrapText="1"/>
    </xf>
    <xf numFmtId="0" fontId="8" fillId="3" borderId="124"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3" borderId="51" xfId="0" applyFont="1" applyFill="1" applyBorder="1" applyAlignment="1">
      <alignment horizontal="center" vertical="center" wrapText="1"/>
    </xf>
    <xf numFmtId="0" fontId="8" fillId="3" borderId="127" xfId="0" applyFont="1" applyFill="1" applyBorder="1" applyAlignment="1">
      <alignment horizontal="center" vertical="center" wrapText="1"/>
    </xf>
    <xf numFmtId="0" fontId="8" fillId="3" borderId="128"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4" fillId="3" borderId="103" xfId="0" applyFont="1" applyFill="1" applyBorder="1" applyAlignment="1">
      <alignment horizontal="left" vertical="center" wrapText="1"/>
    </xf>
    <xf numFmtId="0" fontId="4" fillId="3" borderId="95" xfId="0" applyFont="1" applyFill="1" applyBorder="1" applyAlignment="1">
      <alignment horizontal="left" vertical="center" wrapText="1"/>
    </xf>
    <xf numFmtId="0" fontId="4" fillId="3" borderId="104" xfId="0" applyFont="1" applyFill="1" applyBorder="1" applyAlignment="1">
      <alignment horizontal="left" vertical="center" wrapText="1"/>
    </xf>
    <xf numFmtId="0" fontId="4" fillId="3" borderId="110" xfId="0" applyFont="1" applyFill="1" applyBorder="1" applyAlignment="1">
      <alignment horizontal="left" vertical="center" wrapText="1"/>
    </xf>
    <xf numFmtId="0" fontId="4" fillId="3" borderId="111" xfId="0" applyFont="1" applyFill="1" applyBorder="1" applyAlignment="1">
      <alignment horizontal="left" vertical="center" wrapText="1"/>
    </xf>
    <xf numFmtId="0" fontId="4" fillId="3" borderId="112" xfId="0" applyFont="1" applyFill="1" applyBorder="1" applyAlignment="1">
      <alignment horizontal="left" vertical="center" wrapText="1"/>
    </xf>
    <xf numFmtId="0" fontId="8" fillId="3" borderId="6"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9"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25" xfId="0" applyFont="1" applyFill="1" applyBorder="1" applyAlignment="1">
      <alignment horizontal="center" vertical="center" wrapText="1"/>
    </xf>
    <xf numFmtId="0" fontId="1" fillId="2" borderId="126" xfId="0" applyFont="1" applyFill="1" applyBorder="1" applyAlignment="1">
      <alignment horizontal="center"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168" fontId="5" fillId="6" borderId="39" xfId="0" applyNumberFormat="1" applyFont="1" applyFill="1" applyBorder="1" applyAlignment="1">
      <alignment horizontal="center" vertical="center"/>
    </xf>
    <xf numFmtId="168" fontId="5" fillId="6" borderId="114" xfId="0" applyNumberFormat="1" applyFont="1" applyFill="1" applyBorder="1" applyAlignment="1">
      <alignment horizontal="center" vertical="center"/>
    </xf>
    <xf numFmtId="168" fontId="5" fillId="6" borderId="80" xfId="0" applyNumberFormat="1" applyFont="1" applyFill="1" applyBorder="1" applyAlignment="1">
      <alignment horizontal="center" vertical="center"/>
    </xf>
    <xf numFmtId="168" fontId="5" fillId="6" borderId="115" xfId="0" applyNumberFormat="1" applyFont="1" applyFill="1" applyBorder="1" applyAlignment="1">
      <alignment horizontal="center" vertical="center"/>
    </xf>
    <xf numFmtId="0" fontId="5" fillId="0" borderId="80" xfId="0" applyFont="1" applyBorder="1" applyAlignment="1">
      <alignment horizontal="center" vertical="center"/>
    </xf>
    <xf numFmtId="0" fontId="5" fillId="0" borderId="115" xfId="0" applyFont="1" applyBorder="1" applyAlignment="1">
      <alignment horizontal="center" vertical="center"/>
    </xf>
    <xf numFmtId="164" fontId="5" fillId="0" borderId="80" xfId="0" applyNumberFormat="1" applyFont="1" applyBorder="1" applyAlignment="1">
      <alignment horizontal="center" vertical="center"/>
    </xf>
    <xf numFmtId="164" fontId="5" fillId="0" borderId="115" xfId="0" applyNumberFormat="1" applyFont="1" applyBorder="1" applyAlignment="1">
      <alignment horizontal="center" vertical="center"/>
    </xf>
    <xf numFmtId="0" fontId="1" fillId="4" borderId="22" xfId="0" applyFont="1" applyFill="1" applyBorder="1" applyAlignment="1">
      <alignment horizontal="center" vertical="center" wrapText="1"/>
    </xf>
    <xf numFmtId="0" fontId="1" fillId="4" borderId="125" xfId="0" applyFont="1" applyFill="1" applyBorder="1" applyAlignment="1">
      <alignment horizontal="center" vertical="center" wrapText="1"/>
    </xf>
    <xf numFmtId="0" fontId="1" fillId="4" borderId="126" xfId="0" applyFont="1" applyFill="1" applyBorder="1" applyAlignment="1">
      <alignment horizontal="center" vertical="center" wrapText="1"/>
    </xf>
  </cellXfs>
  <cellStyles count="4">
    <cellStyle name="Lien hypertexte" xfId="3" builtinId="8"/>
    <cellStyle name="Milliers" xfId="2" builtinId="3"/>
    <cellStyle name="Normal" xfId="0" builtinId="0"/>
    <cellStyle name="Pourcentage" xfId="1" builtinId="5"/>
  </cellStyles>
  <dxfs count="0"/>
  <tableStyles count="0" defaultTableStyle="TableStyleMedium2" defaultPivotStyle="PivotStyleLight16"/>
  <colors>
    <mruColors>
      <color rgb="FFEEF8E4"/>
      <color rgb="FFFFFFFF"/>
      <color rgb="FFFF8200"/>
      <color rgb="FFFAB758"/>
      <color rgb="FFFFDC23"/>
      <color rgb="FFFFF1B7"/>
      <color rgb="FFB0EBFF"/>
      <color rgb="FF00CAFE"/>
      <color rgb="FF0072FF"/>
      <color rgb="FF0028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TSP 2021">
      <a:dk1>
        <a:srgbClr val="00005A"/>
      </a:dk1>
      <a:lt1>
        <a:srgbClr val="00008E"/>
      </a:lt1>
      <a:dk2>
        <a:srgbClr val="0028DC"/>
      </a:dk2>
      <a:lt2>
        <a:srgbClr val="0072FF"/>
      </a:lt2>
      <a:accent1>
        <a:srgbClr val="00CAFE"/>
      </a:accent1>
      <a:accent2>
        <a:srgbClr val="B0EBFF"/>
      </a:accent2>
      <a:accent3>
        <a:srgbClr val="FFF1B7"/>
      </a:accent3>
      <a:accent4>
        <a:srgbClr val="FFDC23"/>
      </a:accent4>
      <a:accent5>
        <a:srgbClr val="FAB758"/>
      </a:accent5>
      <a:accent6>
        <a:srgbClr val="FF820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unifa.fr/sites/default/files/2023-03/Livraisons-des-engrais-en-France-metropolitaine_2017-2018_Regions.pdf" TargetMode="External"/><Relationship Id="rId13" Type="http://schemas.openxmlformats.org/officeDocument/2006/relationships/hyperlink" Target="https://theshiftproject.org/plan-de-transformation-de-leconomie-francaise-agriculture-et-alimentation/" TargetMode="External"/><Relationship Id="rId18" Type="http://schemas.openxmlformats.org/officeDocument/2006/relationships/hyperlink" Target="https://rte-futursenergetiques2050.com/" TargetMode="External"/><Relationship Id="rId3" Type="http://schemas.openxmlformats.org/officeDocument/2006/relationships/hyperlink" Target="https://www.iea.org/reports/the-future-of-hydrogen" TargetMode="External"/><Relationship Id="rId7" Type="http://schemas.openxmlformats.org/officeDocument/2006/relationships/hyperlink" Target="https://plasticseurope.org/fr/wp-content/uploads/sites/2/2021/11/Plastics_the_facts_2019.pdf" TargetMode="External"/><Relationship Id="rId12" Type="http://schemas.openxmlformats.org/officeDocument/2006/relationships/hyperlink" Target="https://theshiftproject.org/article/rapport-final-habiter-dans-une-societe-bas-carbone-7-octobre-2021/" TargetMode="External"/><Relationship Id="rId17" Type="http://schemas.openxmlformats.org/officeDocument/2006/relationships/hyperlink" Target="https://librairie.ademe.fr/dechets-economie-circulaire/3860-bilan-national-du-recyclage-bnr-2008-2017-et-acv-des-flux-de-dechets-recycles.html" TargetMode="External"/><Relationship Id="rId2" Type="http://schemas.openxmlformats.org/officeDocument/2006/relationships/hyperlink" Target="https://www.arvalis.fr/sites/default/files/imported_files/gestim7645230857668885746.pdf" TargetMode="External"/><Relationship Id="rId16" Type="http://schemas.openxmlformats.org/officeDocument/2006/relationships/hyperlink" Target="https://www.ecologie.gouv.fr/emballages-en-plastique-usage-unique" TargetMode="External"/><Relationship Id="rId20" Type="http://schemas.openxmlformats.org/officeDocument/2006/relationships/printerSettings" Target="../printerSettings/printerSettings4.bin"/><Relationship Id="rId1" Type="http://schemas.openxmlformats.org/officeDocument/2006/relationships/hyperlink" Target="https://www.arvalis.fr/sites/default/files/imported_files/4-2-9003634964277032789.pdf" TargetMode="External"/><Relationship Id="rId6" Type="http://schemas.openxmlformats.org/officeDocument/2006/relationships/hyperlink" Target="https://base-empreinte.ademe.fr/documentation/base-carbone?docLink=Produits_en_caoutchouc_et_en_p" TargetMode="External"/><Relationship Id="rId11" Type="http://schemas.openxmlformats.org/officeDocument/2006/relationships/hyperlink" Target="https://www.citepa.org/fr/secten/" TargetMode="External"/><Relationship Id="rId5" Type="http://schemas.openxmlformats.org/officeDocument/2006/relationships/hyperlink" Target="https://base-empreinte.ademe.fr/documentation/base-carbone?docLink=Production-dhydrogene" TargetMode="External"/><Relationship Id="rId15" Type="http://schemas.openxmlformats.org/officeDocument/2006/relationships/hyperlink" Target="https://www.ecologie.gouv.fr/emballages-en-plastique-usage-unique" TargetMode="External"/><Relationship Id="rId10" Type="http://schemas.openxmlformats.org/officeDocument/2006/relationships/hyperlink" Target="https://www.conseil-national-industrie.gouv.fr/files_cni/files/csf/chimie-et-materiaux/feuille_de_route_de_decarbonation_de_la_filiere_chimie.pdf" TargetMode="External"/><Relationship Id="rId19" Type="http://schemas.openxmlformats.org/officeDocument/2006/relationships/hyperlink" Target="https://presse.ademe.fr/wp-content/uploads/2020/07/captage-stockage-geologique-co2_csc_avis-technique_2020.pdf" TargetMode="External"/><Relationship Id="rId4" Type="http://schemas.openxmlformats.org/officeDocument/2006/relationships/hyperlink" Target="https://www.iea.org/reports/ammonia-technology-roadmap" TargetMode="External"/><Relationship Id="rId9" Type="http://schemas.openxmlformats.org/officeDocument/2006/relationships/hyperlink" Target="https://www.ifastat.org/databases/plant-nutrition" TargetMode="External"/><Relationship Id="rId14" Type="http://schemas.openxmlformats.org/officeDocument/2006/relationships/hyperlink" Target="https://www.ecologie.gouv.fr/nicolas-hulot-annonce-plan-deploiement-lhydrogene-transition-energetiq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99510-BCE4-4E46-8C85-BDC902AAC04E}">
  <dimension ref="A2:J13"/>
  <sheetViews>
    <sheetView tabSelected="1" workbookViewId="0">
      <selection activeCell="B12" sqref="B12"/>
    </sheetView>
  </sheetViews>
  <sheetFormatPr baseColWidth="10" defaultColWidth="10.81640625" defaultRowHeight="14.5" customHeight="1" x14ac:dyDescent="0.35"/>
  <cols>
    <col min="1" max="1" width="19.453125" style="21" customWidth="1"/>
    <col min="2" max="2" width="129.08984375" style="21" customWidth="1"/>
    <col min="3" max="16384" width="10.81640625" style="21"/>
  </cols>
  <sheetData>
    <row r="2" spans="1:10" ht="14.5" customHeight="1" x14ac:dyDescent="0.35">
      <c r="A2" s="310" t="s">
        <v>0</v>
      </c>
      <c r="B2" s="310" t="s">
        <v>1</v>
      </c>
    </row>
    <row r="3" spans="1:10" ht="14.5" customHeight="1" x14ac:dyDescent="0.35">
      <c r="A3" s="311"/>
      <c r="B3" s="21" t="s">
        <v>2</v>
      </c>
    </row>
    <row r="4" spans="1:10" ht="14.5" customHeight="1" x14ac:dyDescent="0.35">
      <c r="A4" s="312"/>
      <c r="B4" s="21" t="s">
        <v>3</v>
      </c>
    </row>
    <row r="6" spans="1:10" ht="14.5" customHeight="1" x14ac:dyDescent="0.3">
      <c r="A6" s="313" t="s">
        <v>4</v>
      </c>
      <c r="B6" s="314"/>
    </row>
    <row r="7" spans="1:10" ht="14.5" customHeight="1" x14ac:dyDescent="0.35">
      <c r="A7" s="326" t="s">
        <v>5</v>
      </c>
      <c r="B7" s="326"/>
    </row>
    <row r="9" spans="1:10" ht="14.5" customHeight="1" x14ac:dyDescent="0.3">
      <c r="A9" s="327" t="s">
        <v>174</v>
      </c>
      <c r="B9" s="327"/>
    </row>
    <row r="10" spans="1:10" ht="25" customHeight="1" x14ac:dyDescent="0.35">
      <c r="A10" s="328" t="s">
        <v>6</v>
      </c>
      <c r="B10" s="328"/>
      <c r="C10" s="315"/>
      <c r="D10" s="315"/>
      <c r="E10" s="315"/>
      <c r="F10" s="315"/>
      <c r="G10" s="315"/>
      <c r="H10" s="315"/>
      <c r="I10" s="315"/>
      <c r="J10" s="315"/>
    </row>
    <row r="11" spans="1:10" ht="14.5" customHeight="1" x14ac:dyDescent="0.35">
      <c r="A11" s="328"/>
      <c r="B11" s="328"/>
      <c r="C11" s="315"/>
      <c r="D11" s="315"/>
      <c r="E11" s="315"/>
      <c r="F11" s="315"/>
      <c r="G11" s="315"/>
      <c r="H11" s="315"/>
      <c r="I11" s="315"/>
      <c r="J11" s="315"/>
    </row>
    <row r="12" spans="1:10" ht="14.5" customHeight="1" x14ac:dyDescent="0.35">
      <c r="A12" s="28"/>
      <c r="B12" s="28"/>
      <c r="C12" s="315"/>
      <c r="D12" s="315"/>
      <c r="E12" s="315"/>
      <c r="F12" s="315"/>
      <c r="G12" s="315"/>
      <c r="H12" s="315"/>
      <c r="I12" s="315"/>
      <c r="J12" s="315"/>
    </row>
    <row r="13" spans="1:10" ht="14.5" customHeight="1" x14ac:dyDescent="0.35">
      <c r="A13" s="28"/>
      <c r="B13" s="28"/>
      <c r="C13" s="315"/>
      <c r="D13" s="315"/>
      <c r="E13" s="315"/>
      <c r="F13" s="315"/>
      <c r="G13" s="315"/>
      <c r="H13" s="315"/>
      <c r="I13" s="315"/>
      <c r="J13" s="315"/>
    </row>
  </sheetData>
  <mergeCells count="3">
    <mergeCell ref="A7:B7"/>
    <mergeCell ref="A9:B9"/>
    <mergeCell ref="A10:B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F35A0-B041-4395-897F-CE5860B0BB60}">
  <dimension ref="B2:L28"/>
  <sheetViews>
    <sheetView zoomScaleNormal="100" workbookViewId="0">
      <selection activeCell="J28" sqref="J28"/>
    </sheetView>
  </sheetViews>
  <sheetFormatPr baseColWidth="10" defaultColWidth="10.81640625" defaultRowHeight="15" customHeight="1" x14ac:dyDescent="0.35"/>
  <cols>
    <col min="1" max="1" width="3.54296875" style="21" customWidth="1"/>
    <col min="2" max="2" width="25.54296875" style="21" customWidth="1"/>
    <col min="3" max="11" width="15.1796875" style="21" customWidth="1"/>
    <col min="12" max="16384" width="10.81640625" style="21"/>
  </cols>
  <sheetData>
    <row r="2" spans="2:12" ht="15" customHeight="1" x14ac:dyDescent="0.35">
      <c r="D2" s="44"/>
      <c r="E2" s="21" t="s">
        <v>7</v>
      </c>
      <c r="G2" s="261"/>
      <c r="H2" s="261"/>
      <c r="I2" s="261"/>
    </row>
    <row r="3" spans="2:12" ht="15" customHeight="1" x14ac:dyDescent="0.35">
      <c r="H3" s="25"/>
    </row>
    <row r="4" spans="2:12" ht="15" customHeight="1" x14ac:dyDescent="0.35">
      <c r="B4" s="321" t="s">
        <v>8</v>
      </c>
      <c r="C4" s="23" t="s">
        <v>9</v>
      </c>
      <c r="D4" s="323" t="s">
        <v>10</v>
      </c>
      <c r="E4" s="324"/>
      <c r="F4" s="325"/>
      <c r="G4" s="323" t="s">
        <v>11</v>
      </c>
      <c r="H4" s="324"/>
      <c r="I4" s="324"/>
      <c r="J4" s="324"/>
      <c r="K4" s="325"/>
    </row>
    <row r="5" spans="2:12" ht="15" customHeight="1" x14ac:dyDescent="0.35">
      <c r="B5" s="322"/>
      <c r="C5" s="115">
        <v>2015</v>
      </c>
      <c r="D5" s="213">
        <v>2030</v>
      </c>
      <c r="E5" s="116" t="s">
        <v>12</v>
      </c>
      <c r="F5" s="117" t="s">
        <v>13</v>
      </c>
      <c r="G5" s="214">
        <v>2050</v>
      </c>
      <c r="H5" s="116" t="s">
        <v>14</v>
      </c>
      <c r="I5" s="117" t="s">
        <v>15</v>
      </c>
      <c r="J5" s="117" t="s">
        <v>16</v>
      </c>
      <c r="K5" s="117" t="s">
        <v>17</v>
      </c>
      <c r="L5" s="320"/>
    </row>
    <row r="6" spans="2:12" ht="24.65" customHeight="1" x14ac:dyDescent="0.35">
      <c r="B6" s="26" t="s">
        <v>18</v>
      </c>
      <c r="C6" s="40">
        <f>SUM(C10,C13)</f>
        <v>21.5593</v>
      </c>
      <c r="D6" s="74">
        <f>C6+SUM(E17,E24,E28)</f>
        <v>10.780204694793619</v>
      </c>
      <c r="E6" s="77">
        <f>(D6-C6)/C6</f>
        <v>-0.49997427120576182</v>
      </c>
      <c r="F6" s="75">
        <f>(D6/C6)^(1/(D5-C5))-1</f>
        <v>-4.5155120578485031E-2</v>
      </c>
      <c r="G6" s="74">
        <f>D6+SUM(H17,H24,H28)</f>
        <v>5.144942231354217</v>
      </c>
      <c r="H6" s="77">
        <f>(G6-D6)/D6</f>
        <v>-0.52274169396440073</v>
      </c>
      <c r="I6" s="75">
        <f>(G6/D6)^(1/20)-1</f>
        <v>-3.6309284726722568E-2</v>
      </c>
      <c r="J6" s="41">
        <f>G6-C6</f>
        <v>-16.414357768645782</v>
      </c>
      <c r="K6" s="42">
        <f>J6/$C$6</f>
        <v>-0.76135856770144583</v>
      </c>
      <c r="L6" s="320"/>
    </row>
    <row r="7" spans="2:12" ht="15" customHeight="1" x14ac:dyDescent="0.35">
      <c r="B7" s="33" t="s">
        <v>19</v>
      </c>
      <c r="C7" s="40">
        <f>Plastiques!C9</f>
        <v>11.399036455999999</v>
      </c>
      <c r="D7" s="76">
        <f>Plastiques!D9</f>
        <v>7.3400823637358865</v>
      </c>
      <c r="E7" s="77">
        <f>(D7-C7)/C7</f>
        <v>-0.35607870085612725</v>
      </c>
      <c r="F7" s="75">
        <f>(1+E7)^(1/(D5-C5))-1</f>
        <v>-2.8918860256683332E-2</v>
      </c>
      <c r="G7" s="76">
        <f>Plastiques!G9</f>
        <v>4.8302461279999998</v>
      </c>
      <c r="H7" s="77">
        <f>(G7-D7)/D7</f>
        <v>-0.34193570471850315</v>
      </c>
      <c r="I7" s="75">
        <f>(1+H7)^(1/20)-1</f>
        <v>-2.0705272249530116E-2</v>
      </c>
      <c r="J7" s="43">
        <f>G7-C7</f>
        <v>-6.5687903279999995</v>
      </c>
      <c r="K7" s="42">
        <f>J7/C6</f>
        <v>-0.30468476842940168</v>
      </c>
      <c r="L7" s="32"/>
    </row>
    <row r="8" spans="2:12" ht="15" customHeight="1" x14ac:dyDescent="0.35">
      <c r="B8" s="33" t="s">
        <v>20</v>
      </c>
      <c r="C8" s="40">
        <f>Engrais!C32</f>
        <v>4.136574890195682</v>
      </c>
      <c r="D8" s="74">
        <f>Engrais!D32</f>
        <v>2.8714483563636626</v>
      </c>
      <c r="E8" s="77">
        <f>(D8-C8)/C8</f>
        <v>-0.30583914649546506</v>
      </c>
      <c r="F8" s="75">
        <f>(1+E8)^(1/(D5-C5))-1</f>
        <v>-2.4043019792263087E-2</v>
      </c>
      <c r="G8" s="74">
        <f>Engrais!E32</f>
        <v>0.97440050008702095</v>
      </c>
      <c r="H8" s="77">
        <f>(G8-D8)/D8</f>
        <v>-0.66065888041219045</v>
      </c>
      <c r="I8" s="75">
        <f>(1+H8)^(1/(G5-D5))-1</f>
        <v>-5.2603394301369177E-2</v>
      </c>
      <c r="J8" s="43">
        <f>G8-C8</f>
        <v>-3.1621743901086612</v>
      </c>
      <c r="K8" s="42">
        <f>J8/C6</f>
        <v>-0.14667333309099373</v>
      </c>
      <c r="L8" s="32"/>
    </row>
    <row r="9" spans="2:12" ht="15" customHeight="1" x14ac:dyDescent="0.35">
      <c r="B9" s="317" t="s">
        <v>21</v>
      </c>
      <c r="C9" s="318"/>
      <c r="D9" s="318"/>
      <c r="E9" s="318"/>
      <c r="F9" s="318"/>
      <c r="G9" s="318"/>
      <c r="H9" s="318"/>
      <c r="I9" s="318"/>
      <c r="J9" s="318"/>
      <c r="K9" s="319"/>
    </row>
    <row r="10" spans="2:12" ht="15" customHeight="1" x14ac:dyDescent="0.35">
      <c r="B10" s="24" t="s">
        <v>22</v>
      </c>
      <c r="C10" s="40">
        <f>SUM(C11:C12)</f>
        <v>2.7592999999999996</v>
      </c>
      <c r="D10" s="74">
        <f>C10+E10</f>
        <v>1.0592999999999995</v>
      </c>
      <c r="E10" s="79">
        <f>SUM(E11:E12)</f>
        <v>-1.7000000000000002</v>
      </c>
      <c r="F10" s="75">
        <f>(D10/C10)^(1/(D5-C5))-1</f>
        <v>-6.1830441934239588E-2</v>
      </c>
      <c r="G10" s="74">
        <f>D10*(1+I10)^($G$5-$D$5)</f>
        <v>0.5652680245917594</v>
      </c>
      <c r="H10" s="79">
        <f>G10-D10</f>
        <v>-0.49403197540824006</v>
      </c>
      <c r="I10" s="78">
        <f>F10/2</f>
        <v>-3.0915220967119794E-2</v>
      </c>
      <c r="J10" s="41">
        <f>G10-C10</f>
        <v>-2.1940319754082402</v>
      </c>
      <c r="K10" s="266">
        <f>J10/C10</f>
        <v>-0.7951407876665243</v>
      </c>
    </row>
    <row r="11" spans="2:12" ht="15" customHeight="1" x14ac:dyDescent="0.35">
      <c r="B11" s="82" t="s">
        <v>23</v>
      </c>
      <c r="C11" s="276">
        <v>1.198</v>
      </c>
      <c r="D11" s="83">
        <f>C11+E11</f>
        <v>0.39799999999999991</v>
      </c>
      <c r="E11" s="251">
        <v>-0.8</v>
      </c>
      <c r="F11" s="84">
        <f>(D11/C11)^(1/15)-1</f>
        <v>-7.0830204833988719E-2</v>
      </c>
      <c r="G11" s="83">
        <f>D11*(1+I11)^(G5-D5)</f>
        <v>0.19350501755115973</v>
      </c>
      <c r="H11" s="257">
        <f>G11-D11</f>
        <v>-0.20449498244884018</v>
      </c>
      <c r="I11" s="252">
        <f>F11/2</f>
        <v>-3.541510241699436E-2</v>
      </c>
      <c r="J11" s="107">
        <f>SUM(E11,H11)</f>
        <v>-1.0044949824488403</v>
      </c>
      <c r="K11" s="85">
        <f t="shared" ref="K11:K12" si="0">J11/$C$6</f>
        <v>-4.6592189099314001E-2</v>
      </c>
      <c r="L11" s="25"/>
    </row>
    <row r="12" spans="2:12" ht="15" customHeight="1" x14ac:dyDescent="0.35">
      <c r="B12" s="86" t="s">
        <v>24</v>
      </c>
      <c r="C12" s="277">
        <v>1.5612999999999999</v>
      </c>
      <c r="D12" s="87">
        <f>C12+E12</f>
        <v>0.66129999999999989</v>
      </c>
      <c r="E12" s="253">
        <v>-0.9</v>
      </c>
      <c r="F12" s="88">
        <f>(D12/C12)^(1/15)-1</f>
        <v>-5.5661974865219732E-2</v>
      </c>
      <c r="G12" s="87">
        <f>D12*(1+I12)^(G5-D5)</f>
        <v>0.37314182945257596</v>
      </c>
      <c r="H12" s="220">
        <f>G12-D12</f>
        <v>-0.28815817054742393</v>
      </c>
      <c r="I12" s="88">
        <f>1/(D12/D10)*(I10-I11*D11/D10)</f>
        <v>-2.8206990486173044E-2</v>
      </c>
      <c r="J12" s="258">
        <f>SUM(E12,H12)</f>
        <v>-1.188158170547424</v>
      </c>
      <c r="K12" s="90">
        <f t="shared" si="0"/>
        <v>-5.5111166436174829E-2</v>
      </c>
    </row>
    <row r="13" spans="2:12" ht="15" customHeight="1" x14ac:dyDescent="0.35">
      <c r="B13" s="24" t="s">
        <v>25</v>
      </c>
      <c r="C13" s="275">
        <v>18.8</v>
      </c>
      <c r="D13" s="80">
        <f>C13+E13</f>
        <v>14.8</v>
      </c>
      <c r="E13" s="81">
        <f>SUM(E14:E16)</f>
        <v>-4</v>
      </c>
      <c r="F13" s="75">
        <f>(D13/C13)^(1/(D5-C5))-1</f>
        <v>-1.5822139711319516E-2</v>
      </c>
      <c r="G13" s="74">
        <f>D13+H13</f>
        <v>13.634157114169604</v>
      </c>
      <c r="H13" s="79">
        <f>SUM(H14:H16)</f>
        <v>-1.1658428858303975</v>
      </c>
      <c r="I13" s="75">
        <f>SUM(I14:I16)</f>
        <v>-4.0203174749723347E-3</v>
      </c>
      <c r="J13" s="41">
        <f>G13-C13</f>
        <v>-5.1658428858303971</v>
      </c>
      <c r="K13" s="266">
        <f>J13/C13</f>
        <v>-0.27477887690587216</v>
      </c>
      <c r="L13" s="25"/>
    </row>
    <row r="14" spans="2:12" ht="15" customHeight="1" x14ac:dyDescent="0.35">
      <c r="B14" s="82" t="s">
        <v>26</v>
      </c>
      <c r="C14" s="91"/>
      <c r="D14" s="92"/>
      <c r="E14" s="251">
        <v>-1.8</v>
      </c>
      <c r="F14" s="84">
        <f>(($C$13+E14)/$C$13)^(1/($D$5-$C$5))-1</f>
        <v>-6.6871094892593241E-3</v>
      </c>
      <c r="G14" s="92"/>
      <c r="H14" s="259">
        <v>0</v>
      </c>
      <c r="I14" s="260">
        <f>(($D$13+H14)/$D$13)^(1/($G$5-$D$5))-1</f>
        <v>0</v>
      </c>
      <c r="J14" s="93">
        <f>SUM(E14,H14)</f>
        <v>-1.8</v>
      </c>
      <c r="K14" s="85">
        <f t="shared" ref="K14:K16" si="1">J14/$C$6</f>
        <v>-8.3490651366231738E-2</v>
      </c>
    </row>
    <row r="15" spans="2:12" ht="15" customHeight="1" x14ac:dyDescent="0.35">
      <c r="B15" s="94" t="s">
        <v>27</v>
      </c>
      <c r="C15" s="95"/>
      <c r="D15" s="96"/>
      <c r="E15" s="254">
        <v>-1.4</v>
      </c>
      <c r="F15" s="97">
        <f t="shared" ref="F15:F16" si="2">(($C$13+E15)/$C$13)^(1/($D$5-$C$5))-1</f>
        <v>-5.1458255517098372E-3</v>
      </c>
      <c r="G15" s="96"/>
      <c r="H15" s="262">
        <f>((1+I15)^(G5-D5)-1)*D13</f>
        <v>-0.74325133223083828</v>
      </c>
      <c r="I15" s="255">
        <f>F15/2</f>
        <v>-2.5729127758549186E-3</v>
      </c>
      <c r="J15" s="98">
        <f t="shared" ref="J15:J16" si="3">SUM(E15,H15)</f>
        <v>-2.1432513322308382</v>
      </c>
      <c r="K15" s="99">
        <f>J15/$C$6</f>
        <v>-9.9411916538609243E-2</v>
      </c>
    </row>
    <row r="16" spans="2:12" ht="15" customHeight="1" x14ac:dyDescent="0.35">
      <c r="B16" s="86" t="s">
        <v>28</v>
      </c>
      <c r="C16" s="100"/>
      <c r="D16" s="101"/>
      <c r="E16" s="253">
        <v>-0.8</v>
      </c>
      <c r="F16" s="88">
        <f t="shared" si="2"/>
        <v>-2.8948093982348322E-3</v>
      </c>
      <c r="G16" s="101"/>
      <c r="H16" s="220">
        <f>((1+I16)^(G5-D5)-1)*D13</f>
        <v>-0.4225915535995593</v>
      </c>
      <c r="I16" s="256">
        <f>F16/2</f>
        <v>-1.4474046991174161E-3</v>
      </c>
      <c r="J16" s="102">
        <f t="shared" si="3"/>
        <v>-1.2225915535995593</v>
      </c>
      <c r="K16" s="103">
        <f t="shared" si="1"/>
        <v>-5.6708313980489131E-2</v>
      </c>
    </row>
    <row r="17" spans="2:12" ht="24.65" customHeight="1" x14ac:dyDescent="0.35">
      <c r="B17" s="114" t="s">
        <v>29</v>
      </c>
      <c r="C17" s="27"/>
      <c r="D17" s="216"/>
      <c r="E17" s="248">
        <f>SUM(E10,E13)</f>
        <v>-5.7</v>
      </c>
      <c r="F17" s="217"/>
      <c r="G17" s="216"/>
      <c r="H17" s="248">
        <f>SUM(H10,H13)</f>
        <v>-1.6598748612386376</v>
      </c>
      <c r="I17" s="249"/>
      <c r="J17" s="218">
        <f>SUM(J13,J10)</f>
        <v>-7.3598748612386373</v>
      </c>
      <c r="K17" s="42">
        <f>SUM(K11:K12,K14:K16)</f>
        <v>-0.34131423742081896</v>
      </c>
      <c r="L17" s="34"/>
    </row>
    <row r="18" spans="2:12" ht="15" customHeight="1" x14ac:dyDescent="0.35">
      <c r="B18" s="317" t="s">
        <v>30</v>
      </c>
      <c r="C18" s="318"/>
      <c r="D18" s="318"/>
      <c r="E18" s="318"/>
      <c r="F18" s="318"/>
      <c r="G18" s="318"/>
      <c r="H18" s="318"/>
      <c r="I18" s="318"/>
      <c r="J18" s="318"/>
      <c r="K18" s="319"/>
    </row>
    <row r="19" spans="2:12" ht="15" customHeight="1" x14ac:dyDescent="0.35">
      <c r="B19" s="82" t="s">
        <v>31</v>
      </c>
      <c r="C19" s="104"/>
      <c r="D19" s="92"/>
      <c r="E19" s="105">
        <f>(Plastiques!D28-Plastiques!C28)*(Plastiques!D35-Plastiques!D34)</f>
        <v>-2.2007806560000001</v>
      </c>
      <c r="F19" s="106"/>
      <c r="G19" s="92"/>
      <c r="H19" s="105">
        <f>(Plastiques!G28-Plastiques!C28)*(Plastiques!G35-Plastiques!G34)-(Plastiques!D28-Plastiques!C28)*(Plastiques!D35-Plastiques!D34)</f>
        <v>0</v>
      </c>
      <c r="I19" s="106"/>
      <c r="J19" s="93">
        <f>SUM(E19,H19)</f>
        <v>-2.2007806560000001</v>
      </c>
      <c r="K19" s="85">
        <f>J19/$C$6</f>
        <v>-0.10208033915757933</v>
      </c>
    </row>
    <row r="20" spans="2:12" ht="15" customHeight="1" x14ac:dyDescent="0.35">
      <c r="B20" s="94" t="s">
        <v>32</v>
      </c>
      <c r="C20" s="108"/>
      <c r="D20" s="96"/>
      <c r="E20" s="222">
        <f>Engrais!C7*((Engrais!D19*Engrais!D27+Engrais!D21*Engrais!D28)-(Engrais!C19*Engrais!C27+Engrais!C21*Engrais!C28))</f>
        <v>-0.30308008731626407</v>
      </c>
      <c r="F20" s="109"/>
      <c r="G20" s="96"/>
      <c r="H20" s="222">
        <f>Engrais!D7*((Engrais!E19*Engrais!E27+Engrais!E21*Engrais!E28)-(Engrais!D19*Engrais!D27+Engrais!D21*Engrais!D28))</f>
        <v>-1.294222287795102</v>
      </c>
      <c r="I20" s="109"/>
      <c r="J20" s="223">
        <f t="shared" ref="J20" si="4">SUM(E20,H20)</f>
        <v>-1.597302375111366</v>
      </c>
      <c r="K20" s="110">
        <f>J20/$C$6</f>
        <v>-7.4088786514931657E-2</v>
      </c>
    </row>
    <row r="21" spans="2:12" ht="15" customHeight="1" x14ac:dyDescent="0.35">
      <c r="B21" s="86" t="s">
        <v>33</v>
      </c>
      <c r="C21" s="111"/>
      <c r="D21" s="101"/>
      <c r="E21" s="231">
        <f>SUM(E22:E23)</f>
        <v>-0.4</v>
      </c>
      <c r="F21" s="112"/>
      <c r="G21" s="101"/>
      <c r="H21" s="316">
        <f>SUM(H22:H23)</f>
        <v>-1</v>
      </c>
      <c r="I21" s="112"/>
      <c r="J21" s="89">
        <f>SUM(E21,H21)</f>
        <v>-1.4</v>
      </c>
      <c r="K21" s="90">
        <f>J21/$C$6</f>
        <v>-6.4937173284846911E-2</v>
      </c>
    </row>
    <row r="22" spans="2:12" ht="15" customHeight="1" x14ac:dyDescent="0.35">
      <c r="B22" s="227" t="s">
        <v>34</v>
      </c>
      <c r="C22" s="224"/>
      <c r="D22" s="225"/>
      <c r="E22" s="232">
        <v>-0.4</v>
      </c>
      <c r="F22" s="226"/>
      <c r="G22" s="225"/>
      <c r="H22" s="250">
        <f>50%*(-2)</f>
        <v>-1</v>
      </c>
      <c r="I22" s="226"/>
      <c r="J22" s="228"/>
      <c r="K22" s="229"/>
    </row>
    <row r="23" spans="2:12" ht="15" customHeight="1" x14ac:dyDescent="0.35">
      <c r="B23" s="227" t="s">
        <v>35</v>
      </c>
      <c r="C23" s="224"/>
      <c r="D23" s="225"/>
      <c r="E23" s="232">
        <v>0</v>
      </c>
      <c r="F23" s="226"/>
      <c r="G23" s="225"/>
      <c r="H23" s="232">
        <v>0</v>
      </c>
      <c r="I23" s="226"/>
      <c r="J23" s="224"/>
      <c r="K23" s="230"/>
    </row>
    <row r="24" spans="2:12" ht="24.65" customHeight="1" x14ac:dyDescent="0.35">
      <c r="B24" s="114" t="s">
        <v>36</v>
      </c>
      <c r="C24" s="27"/>
      <c r="D24" s="216"/>
      <c r="E24" s="248">
        <f>SUM(E19:E21)</f>
        <v>-2.903860743316264</v>
      </c>
      <c r="F24" s="217"/>
      <c r="G24" s="216"/>
      <c r="H24" s="248">
        <f>SUM(H19:H21)</f>
        <v>-2.294222287795102</v>
      </c>
      <c r="I24" s="217"/>
      <c r="J24" s="219">
        <f>SUM(J19:J21)</f>
        <v>-5.1980830311113664</v>
      </c>
      <c r="K24" s="42">
        <f>SUM(K19:K21)</f>
        <v>-0.24110629895735788</v>
      </c>
      <c r="L24" s="34"/>
    </row>
    <row r="25" spans="2:12" ht="15" customHeight="1" x14ac:dyDescent="0.35">
      <c r="B25" s="317" t="s">
        <v>37</v>
      </c>
      <c r="C25" s="318"/>
      <c r="D25" s="318"/>
      <c r="E25" s="318"/>
      <c r="F25" s="318"/>
      <c r="G25" s="318"/>
      <c r="H25" s="318"/>
      <c r="I25" s="318"/>
      <c r="J25" s="318"/>
      <c r="K25" s="319"/>
    </row>
    <row r="26" spans="2:12" ht="15" customHeight="1" x14ac:dyDescent="0.35">
      <c r="B26" s="82" t="s">
        <v>38</v>
      </c>
      <c r="C26" s="104"/>
      <c r="D26" s="92"/>
      <c r="E26" s="265">
        <f>Plastiques!E21*(Plastiques!D23*Plastiques!D34+Plastiques!D28*Plastiques!D35)</f>
        <v>-1.2131881153743616</v>
      </c>
      <c r="F26" s="106"/>
      <c r="G26" s="92"/>
      <c r="H26" s="257">
        <f>(Plastiques!H21-Plastiques!E21)*(Plastiques!G23*Plastiques!G34+Plastiques!G28*Plastiques!G35)</f>
        <v>-1.0783397459241233</v>
      </c>
      <c r="I26" s="106"/>
      <c r="J26" s="113">
        <f>SUM(E26,H26)</f>
        <v>-2.2915278612984848</v>
      </c>
      <c r="K26" s="85">
        <f>J26/$C$6</f>
        <v>-0.10628952986871025</v>
      </c>
    </row>
    <row r="27" spans="2:12" ht="15" customHeight="1" x14ac:dyDescent="0.35">
      <c r="B27" s="86" t="s">
        <v>39</v>
      </c>
      <c r="C27" s="111"/>
      <c r="D27" s="101"/>
      <c r="E27" s="220">
        <f>(Engrais!D7-Engrais!C7)*(Engrais!D19*Engrais!D27+Engrais!D21*Engrais!D28)</f>
        <v>-0.96204644651575533</v>
      </c>
      <c r="F27" s="112"/>
      <c r="G27" s="101"/>
      <c r="H27" s="220">
        <f>(Engrais!E7-Engrais!D7)*(Engrais!E19*Engrais!E27+Engrais!E21*Engrais!E28)</f>
        <v>-0.60282556848153968</v>
      </c>
      <c r="I27" s="112"/>
      <c r="J27" s="215">
        <f>SUM(E27,H27)</f>
        <v>-1.564872014997295</v>
      </c>
      <c r="K27" s="90">
        <f>J27/$C$6</f>
        <v>-7.2584546576062073E-2</v>
      </c>
    </row>
    <row r="28" spans="2:12" ht="24.65" customHeight="1" x14ac:dyDescent="0.35">
      <c r="B28" s="114" t="s">
        <v>40</v>
      </c>
      <c r="C28" s="27"/>
      <c r="D28" s="216"/>
      <c r="E28" s="221">
        <f>SUM(E26:E27)</f>
        <v>-2.1752345618901168</v>
      </c>
      <c r="F28" s="217"/>
      <c r="G28" s="216"/>
      <c r="H28" s="221">
        <f>SUM(H26:H27)</f>
        <v>-1.6811653144056629</v>
      </c>
      <c r="I28" s="217"/>
      <c r="J28" s="219">
        <f>SUM(J26:J27)</f>
        <v>-3.8563998762957796</v>
      </c>
      <c r="K28" s="42">
        <f>SUM(K26:K27)</f>
        <v>-0.17887407644477232</v>
      </c>
      <c r="L28" s="34"/>
    </row>
  </sheetData>
  <mergeCells count="7">
    <mergeCell ref="B9:K9"/>
    <mergeCell ref="B18:K18"/>
    <mergeCell ref="B25:K25"/>
    <mergeCell ref="L5:L6"/>
    <mergeCell ref="B4:B5"/>
    <mergeCell ref="D4:F4"/>
    <mergeCell ref="G4:K4"/>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E5D39-835D-4E36-B6C5-014C499A5661}">
  <dimension ref="B2:L45"/>
  <sheetViews>
    <sheetView workbookViewId="0">
      <selection activeCell="D24" sqref="D24"/>
    </sheetView>
  </sheetViews>
  <sheetFormatPr baseColWidth="10" defaultColWidth="10.81640625" defaultRowHeight="15" customHeight="1" x14ac:dyDescent="0.35"/>
  <cols>
    <col min="1" max="1" width="10.81640625" style="28"/>
    <col min="2" max="2" width="30.54296875" style="28" customWidth="1"/>
    <col min="3" max="9" width="15.54296875" style="28" customWidth="1"/>
    <col min="10" max="16384" width="10.81640625" style="28"/>
  </cols>
  <sheetData>
    <row r="2" spans="2:9" ht="15" customHeight="1" x14ac:dyDescent="0.35">
      <c r="C2" s="39"/>
      <c r="D2" s="21" t="s">
        <v>7</v>
      </c>
    </row>
    <row r="4" spans="2:9" ht="15" customHeight="1" x14ac:dyDescent="0.35">
      <c r="C4" s="329" t="s">
        <v>41</v>
      </c>
      <c r="D4" s="330"/>
      <c r="E4" s="330"/>
      <c r="F4" s="330"/>
      <c r="G4" s="330"/>
      <c r="H4" s="330"/>
      <c r="I4" s="331"/>
    </row>
    <row r="5" spans="2:9" ht="15" customHeight="1" x14ac:dyDescent="0.35">
      <c r="C5" s="35">
        <v>2016</v>
      </c>
      <c r="D5" s="36">
        <v>2030</v>
      </c>
      <c r="E5" s="36" t="s">
        <v>42</v>
      </c>
      <c r="F5" s="37" t="s">
        <v>43</v>
      </c>
      <c r="G5" s="36">
        <v>2050</v>
      </c>
      <c r="H5" s="38" t="s">
        <v>44</v>
      </c>
      <c r="I5" s="37" t="s">
        <v>45</v>
      </c>
    </row>
    <row r="6" spans="2:9" ht="26.15" customHeight="1" x14ac:dyDescent="0.35">
      <c r="B6" s="144" t="s">
        <v>46</v>
      </c>
      <c r="C6" s="300">
        <f>SUM(C7,C8)</f>
        <v>5.5594279999999996</v>
      </c>
      <c r="D6" s="151">
        <f>SUM(D7,D8)</f>
        <v>4.7687158994620793</v>
      </c>
      <c r="E6" s="147">
        <f>(D6-C6)/C6</f>
        <v>-0.14222903876764306</v>
      </c>
      <c r="F6" s="148">
        <f>(D6/$C$6)^(1/14)-1</f>
        <v>-1.0898615030983883E-2</v>
      </c>
      <c r="G6" s="151">
        <f>SUM(G7,G8)</f>
        <v>3.7007004800000001</v>
      </c>
      <c r="H6" s="147">
        <f>(G6-C6)/C6</f>
        <v>-0.33433790670550995</v>
      </c>
      <c r="I6" s="148">
        <f>(G6/$C$6)^(1/34)-1</f>
        <v>-1.1898444149894161E-2</v>
      </c>
    </row>
    <row r="7" spans="2:9" ht="15" customHeight="1" x14ac:dyDescent="0.35">
      <c r="B7" s="54" t="s">
        <v>47</v>
      </c>
      <c r="C7" s="152">
        <f t="shared" ref="C7:I7" si="0">C23</f>
        <v>4.7839999999999998</v>
      </c>
      <c r="D7" s="153">
        <f>D23</f>
        <v>2.9687158994620795</v>
      </c>
      <c r="E7" s="150">
        <f t="shared" si="0"/>
        <v>-0.37944901767097</v>
      </c>
      <c r="F7" s="52">
        <f t="shared" si="0"/>
        <v>-3.3507717453597263E-2</v>
      </c>
      <c r="G7" s="153">
        <f t="shared" si="0"/>
        <v>1.9007004799999998</v>
      </c>
      <c r="H7" s="150">
        <f t="shared" si="0"/>
        <v>-0.60269638795986624</v>
      </c>
      <c r="I7" s="52">
        <f t="shared" si="0"/>
        <v>-2.6783450028279754E-2</v>
      </c>
    </row>
    <row r="8" spans="2:9" ht="15" customHeight="1" x14ac:dyDescent="0.35">
      <c r="B8" s="45" t="s">
        <v>48</v>
      </c>
      <c r="C8" s="142">
        <f t="shared" ref="C8:I8" si="1">C28</f>
        <v>0.77542800000000001</v>
      </c>
      <c r="D8" s="46">
        <f t="shared" si="1"/>
        <v>1.8</v>
      </c>
      <c r="E8" s="47">
        <f t="shared" si="1"/>
        <v>1.3212986892400069</v>
      </c>
      <c r="F8" s="48">
        <f t="shared" si="1"/>
        <v>6.1997867614487445E-2</v>
      </c>
      <c r="G8" s="46">
        <f t="shared" si="1"/>
        <v>1.8</v>
      </c>
      <c r="H8" s="47">
        <f t="shared" si="1"/>
        <v>1.3212986892400069</v>
      </c>
      <c r="I8" s="48">
        <f t="shared" si="1"/>
        <v>2.5077721486291615E-2</v>
      </c>
    </row>
    <row r="9" spans="2:9" ht="26.15" customHeight="1" x14ac:dyDescent="0.35">
      <c r="B9" s="144" t="s">
        <v>49</v>
      </c>
      <c r="C9" s="145">
        <f>SUM(C10,C11)</f>
        <v>11.399036455999999</v>
      </c>
      <c r="D9" s="146">
        <f>SUM(D10,D11)</f>
        <v>7.3400823637358865</v>
      </c>
      <c r="E9" s="147">
        <f>(D9-C9)/C9</f>
        <v>-0.35607870085612725</v>
      </c>
      <c r="F9" s="148">
        <f>(D9/$C$9)^(1/14)-1</f>
        <v>-3.0952201329451867E-2</v>
      </c>
      <c r="G9" s="146">
        <f>SUM(G10,G11)</f>
        <v>4.8302461279999998</v>
      </c>
      <c r="H9" s="147">
        <f>(G9-C9)/C9</f>
        <v>-0.57625838406214147</v>
      </c>
      <c r="I9" s="148">
        <f>(G9/$C$9)^(1/34)-1</f>
        <v>-2.493765347889354E-2</v>
      </c>
    </row>
    <row r="10" spans="2:9" ht="15" customHeight="1" x14ac:dyDescent="0.35">
      <c r="B10" s="54" t="s">
        <v>50</v>
      </c>
      <c r="C10" s="143">
        <f>C37</f>
        <v>11.2424</v>
      </c>
      <c r="D10" s="149">
        <f t="shared" ref="D10:D11" si="2">D37</f>
        <v>6.9764823637358866</v>
      </c>
      <c r="E10" s="150">
        <f>(D10-C10)/C10</f>
        <v>-0.37944901767097</v>
      </c>
      <c r="F10" s="52">
        <f>(1+E10)^(1/14)-1</f>
        <v>-3.3507717453597263E-2</v>
      </c>
      <c r="G10" s="149">
        <f t="shared" ref="G10:G11" si="3">G37</f>
        <v>4.4666461279999998</v>
      </c>
      <c r="H10" s="150">
        <f>(G10-C10)/C10</f>
        <v>-0.60269638795986624</v>
      </c>
      <c r="I10" s="52">
        <f>(1+H10)^(1/34)-1</f>
        <v>-2.6783450028279754E-2</v>
      </c>
    </row>
    <row r="11" spans="2:9" ht="15" customHeight="1" x14ac:dyDescent="0.35">
      <c r="B11" s="54" t="s">
        <v>51</v>
      </c>
      <c r="C11" s="143">
        <f>C38</f>
        <v>0.15663645600000001</v>
      </c>
      <c r="D11" s="149">
        <f t="shared" si="2"/>
        <v>0.36360000000000003</v>
      </c>
      <c r="E11" s="150">
        <f>(D11-C11)/C11</f>
        <v>1.3212986892400069</v>
      </c>
      <c r="F11" s="52">
        <f>(1+E11)^(1/14)-1</f>
        <v>6.1997867614487445E-2</v>
      </c>
      <c r="G11" s="149">
        <f t="shared" si="3"/>
        <v>0.36360000000000003</v>
      </c>
      <c r="H11" s="150">
        <f>(G11-C11)/C11</f>
        <v>1.3212986892400069</v>
      </c>
      <c r="I11" s="52">
        <f>(1+H11)^(1/34)-1</f>
        <v>2.5077721486291615E-2</v>
      </c>
    </row>
    <row r="12" spans="2:9" ht="15" customHeight="1" x14ac:dyDescent="0.35">
      <c r="B12" s="332" t="s">
        <v>52</v>
      </c>
      <c r="C12" s="333"/>
      <c r="D12" s="333"/>
      <c r="E12" s="333"/>
      <c r="F12" s="333"/>
      <c r="G12" s="333"/>
      <c r="H12" s="333"/>
      <c r="I12" s="334"/>
    </row>
    <row r="13" spans="2:9" ht="15" customHeight="1" x14ac:dyDescent="0.35">
      <c r="B13" s="338" t="s">
        <v>53</v>
      </c>
      <c r="C13" s="339"/>
      <c r="D13" s="338" t="s">
        <v>54</v>
      </c>
      <c r="E13" s="340"/>
      <c r="F13" s="339"/>
      <c r="G13" s="338" t="s">
        <v>54</v>
      </c>
      <c r="H13" s="340"/>
      <c r="I13" s="339"/>
    </row>
    <row r="14" spans="2:9" ht="15" customHeight="1" x14ac:dyDescent="0.35">
      <c r="B14" s="53" t="s">
        <v>55</v>
      </c>
      <c r="C14" s="278">
        <v>0.39700000000000002</v>
      </c>
      <c r="D14" s="49"/>
      <c r="E14" s="285">
        <f>(1+F14)^(D5-C5)-1</f>
        <v>-0.39088823604812029</v>
      </c>
      <c r="F14" s="50">
        <f>I14</f>
        <v>-3.4791332080790216E-2</v>
      </c>
      <c r="G14" s="49"/>
      <c r="H14" s="284">
        <v>-0.7</v>
      </c>
      <c r="I14" s="50">
        <f>(1+H14)^(1/34)-1</f>
        <v>-3.4791332080790216E-2</v>
      </c>
    </row>
    <row r="15" spans="2:9" ht="15" customHeight="1" x14ac:dyDescent="0.35">
      <c r="B15" s="22" t="s">
        <v>56</v>
      </c>
      <c r="C15" s="279">
        <v>0.19800000000000001</v>
      </c>
      <c r="D15" s="51"/>
      <c r="E15" s="281">
        <v>0</v>
      </c>
      <c r="F15" s="52">
        <f t="shared" ref="F15:F20" si="4">(1+E15)^(1/14)-1</f>
        <v>0</v>
      </c>
      <c r="G15" s="51"/>
      <c r="H15" s="281">
        <v>-0.37</v>
      </c>
      <c r="I15" s="52">
        <f t="shared" ref="I15:I21" si="5">(1+H15)^(1/34)-1</f>
        <v>-1.3497360816927428E-2</v>
      </c>
    </row>
    <row r="16" spans="2:9" ht="15" customHeight="1" x14ac:dyDescent="0.35">
      <c r="B16" s="22" t="s">
        <v>57</v>
      </c>
      <c r="C16" s="279">
        <v>0.10100000000000001</v>
      </c>
      <c r="D16" s="51"/>
      <c r="E16" s="281">
        <v>-0.1</v>
      </c>
      <c r="F16" s="52">
        <f t="shared" si="4"/>
        <v>-7.4975035592527162E-3</v>
      </c>
      <c r="G16" s="51"/>
      <c r="H16" s="281">
        <f>-37%</f>
        <v>-0.37</v>
      </c>
      <c r="I16" s="52">
        <f t="shared" si="5"/>
        <v>-1.3497360816927428E-2</v>
      </c>
    </row>
    <row r="17" spans="2:12" ht="15" customHeight="1" x14ac:dyDescent="0.35">
      <c r="B17" s="22" t="s">
        <v>58</v>
      </c>
      <c r="C17" s="279">
        <v>6.2E-2</v>
      </c>
      <c r="D17" s="51"/>
      <c r="E17" s="281">
        <v>0</v>
      </c>
      <c r="F17" s="52">
        <f t="shared" si="4"/>
        <v>0</v>
      </c>
      <c r="G17" s="51"/>
      <c r="H17" s="281">
        <v>0</v>
      </c>
      <c r="I17" s="52">
        <f t="shared" si="5"/>
        <v>0</v>
      </c>
    </row>
    <row r="18" spans="2:12" ht="15" customHeight="1" x14ac:dyDescent="0.35">
      <c r="B18" s="22" t="s">
        <v>59</v>
      </c>
      <c r="C18" s="279">
        <v>4.1000000000000002E-2</v>
      </c>
      <c r="D18" s="51"/>
      <c r="E18" s="281">
        <v>0</v>
      </c>
      <c r="F18" s="52">
        <f t="shared" si="4"/>
        <v>0</v>
      </c>
      <c r="G18" s="51"/>
      <c r="H18" s="281">
        <v>0</v>
      </c>
      <c r="I18" s="52">
        <f t="shared" si="5"/>
        <v>0</v>
      </c>
      <c r="L18" s="286"/>
    </row>
    <row r="19" spans="2:12" ht="15" customHeight="1" x14ac:dyDescent="0.35">
      <c r="B19" s="22" t="s">
        <v>60</v>
      </c>
      <c r="C19" s="279">
        <v>3.4000000000000002E-2</v>
      </c>
      <c r="D19" s="51"/>
      <c r="E19" s="281">
        <v>0</v>
      </c>
      <c r="F19" s="52">
        <f t="shared" si="4"/>
        <v>0</v>
      </c>
      <c r="G19" s="51"/>
      <c r="H19" s="281">
        <v>0</v>
      </c>
      <c r="I19" s="52">
        <f t="shared" si="5"/>
        <v>0</v>
      </c>
    </row>
    <row r="20" spans="2:12" ht="15" customHeight="1" x14ac:dyDescent="0.35">
      <c r="B20" s="130" t="s">
        <v>61</v>
      </c>
      <c r="C20" s="280">
        <v>0.16700000000000001</v>
      </c>
      <c r="D20" s="131"/>
      <c r="E20" s="281">
        <v>0</v>
      </c>
      <c r="F20" s="120">
        <f t="shared" si="4"/>
        <v>0</v>
      </c>
      <c r="G20" s="131"/>
      <c r="H20" s="281">
        <v>0</v>
      </c>
      <c r="I20" s="120">
        <f t="shared" si="5"/>
        <v>0</v>
      </c>
    </row>
    <row r="21" spans="2:12" ht="15" customHeight="1" x14ac:dyDescent="0.35">
      <c r="B21" s="132" t="s">
        <v>62</v>
      </c>
      <c r="C21" s="133">
        <f>SUM(C14:C20)</f>
        <v>1</v>
      </c>
      <c r="D21" s="134"/>
      <c r="E21" s="135">
        <f>SUMPRODUCT($C$14:$C$20,E14:E20)</f>
        <v>-0.16528262971110375</v>
      </c>
      <c r="F21" s="136">
        <f>(1+E21)^(1/14)-1</f>
        <v>-1.2821529785596808E-2</v>
      </c>
      <c r="G21" s="134"/>
      <c r="H21" s="135">
        <f>SUMPRODUCT($C$14:$C$20,H14:H20)</f>
        <v>-0.38852999999999999</v>
      </c>
      <c r="I21" s="136">
        <f t="shared" si="5"/>
        <v>-1.436318581465823E-2</v>
      </c>
    </row>
    <row r="22" spans="2:12" ht="15" customHeight="1" x14ac:dyDescent="0.35">
      <c r="B22" s="332" t="s">
        <v>63</v>
      </c>
      <c r="C22" s="333"/>
      <c r="D22" s="333"/>
      <c r="E22" s="333"/>
      <c r="F22" s="333"/>
      <c r="G22" s="333"/>
      <c r="H22" s="333"/>
      <c r="I22" s="334"/>
    </row>
    <row r="23" spans="2:12" ht="15" customHeight="1" x14ac:dyDescent="0.35">
      <c r="B23" s="126" t="s">
        <v>64</v>
      </c>
      <c r="C23" s="287">
        <v>4.7839999999999998</v>
      </c>
      <c r="D23" s="127">
        <f>$C$23*(1+E21)-(D28-$C$28)</f>
        <v>2.9687158994620795</v>
      </c>
      <c r="E23" s="128">
        <f>(D23-$C$23)/$C$23</f>
        <v>-0.37944901767097</v>
      </c>
      <c r="F23" s="129">
        <f>(1+E23)^(1/14)-1</f>
        <v>-3.3507717453597263E-2</v>
      </c>
      <c r="G23" s="127">
        <f>$C$23*(1+H21)-(G28-$C$28)</f>
        <v>1.9007004799999998</v>
      </c>
      <c r="H23" s="128">
        <f>(G23-$C$23)/$C$23</f>
        <v>-0.60269638795986624</v>
      </c>
      <c r="I23" s="129">
        <f>(1+H23)^(1/34)-1</f>
        <v>-2.6783450028279754E-2</v>
      </c>
    </row>
    <row r="24" spans="2:12" ht="15" customHeight="1" x14ac:dyDescent="0.35">
      <c r="B24" s="67" t="s">
        <v>65</v>
      </c>
      <c r="C24" s="288">
        <v>3.4009999999999998</v>
      </c>
      <c r="D24" s="293">
        <v>3.3</v>
      </c>
      <c r="E24" s="70">
        <f>(D24-C24)/C24</f>
        <v>-2.9697147897677148E-2</v>
      </c>
      <c r="F24" s="71">
        <f t="shared" ref="F24:F29" si="6">(1+E24)^(1/14)-1</f>
        <v>-2.1510430091968846E-3</v>
      </c>
      <c r="G24" s="295">
        <v>2</v>
      </c>
      <c r="H24" s="70">
        <f>(G24-C24)/C24</f>
        <v>-0.41193766539253157</v>
      </c>
      <c r="I24" s="71">
        <f t="shared" ref="I24:I29" si="7">(1+H24)^(1/34)-1</f>
        <v>-1.5494074877926978E-2</v>
      </c>
    </row>
    <row r="25" spans="2:12" ht="15" customHeight="1" x14ac:dyDescent="0.35">
      <c r="B25" s="68" t="s">
        <v>66</v>
      </c>
      <c r="C25" s="288">
        <f>64%*C24</f>
        <v>2.1766399999999999</v>
      </c>
      <c r="D25" s="293">
        <v>2.2000000000000002</v>
      </c>
      <c r="E25" s="70">
        <f t="shared" ref="E25:E29" si="8">(D25-C25)/C25</f>
        <v>1.0732137606586423E-2</v>
      </c>
      <c r="F25" s="71">
        <f t="shared" si="6"/>
        <v>7.6278770094084791E-4</v>
      </c>
      <c r="G25" s="295">
        <v>1.3</v>
      </c>
      <c r="H25" s="70">
        <f t="shared" ref="H25:H29" si="9">(G25-C25)/C25</f>
        <v>-0.40274919141428989</v>
      </c>
      <c r="I25" s="71">
        <f t="shared" si="7"/>
        <v>-1.5045032399589653E-2</v>
      </c>
    </row>
    <row r="26" spans="2:12" ht="15" customHeight="1" x14ac:dyDescent="0.35">
      <c r="B26" s="67" t="s">
        <v>67</v>
      </c>
      <c r="C26" s="289">
        <v>1.111</v>
      </c>
      <c r="D26" s="293">
        <v>2.5</v>
      </c>
      <c r="E26" s="70">
        <f t="shared" si="8"/>
        <v>1.2502250225022502</v>
      </c>
      <c r="F26" s="71">
        <f t="shared" si="6"/>
        <v>5.9641591886996137E-2</v>
      </c>
      <c r="G26" s="295">
        <v>2</v>
      </c>
      <c r="H26" s="70">
        <f t="shared" si="9"/>
        <v>0.80018001800180016</v>
      </c>
      <c r="I26" s="71">
        <f t="shared" si="7"/>
        <v>1.7441135333374991E-2</v>
      </c>
    </row>
    <row r="27" spans="2:12" ht="15" customHeight="1" x14ac:dyDescent="0.35">
      <c r="B27" s="68" t="s">
        <v>66</v>
      </c>
      <c r="C27" s="288">
        <v>0.57199999999999995</v>
      </c>
      <c r="D27" s="293">
        <v>1.5</v>
      </c>
      <c r="E27" s="70">
        <f t="shared" si="8"/>
        <v>1.6223776223776225</v>
      </c>
      <c r="F27" s="71">
        <f t="shared" si="6"/>
        <v>7.1289386201488503E-2</v>
      </c>
      <c r="G27" s="293">
        <v>1.3</v>
      </c>
      <c r="H27" s="70">
        <f t="shared" si="9"/>
        <v>1.2727272727272729</v>
      </c>
      <c r="I27" s="71">
        <f t="shared" si="7"/>
        <v>2.4440373918112268E-2</v>
      </c>
    </row>
    <row r="28" spans="2:12" ht="15" customHeight="1" x14ac:dyDescent="0.35">
      <c r="B28" s="67" t="s">
        <v>68</v>
      </c>
      <c r="C28" s="290">
        <f>C30*C24</f>
        <v>0.77542800000000001</v>
      </c>
      <c r="D28" s="293">
        <v>1.8</v>
      </c>
      <c r="E28" s="70">
        <f t="shared" si="8"/>
        <v>1.3212986892400069</v>
      </c>
      <c r="F28" s="71">
        <f t="shared" si="6"/>
        <v>6.1997867614487445E-2</v>
      </c>
      <c r="G28" s="293">
        <v>1.8</v>
      </c>
      <c r="H28" s="70">
        <f t="shared" si="9"/>
        <v>1.3212986892400069</v>
      </c>
      <c r="I28" s="71">
        <f t="shared" si="7"/>
        <v>2.5077721486291615E-2</v>
      </c>
    </row>
    <row r="29" spans="2:12" ht="15" customHeight="1" x14ac:dyDescent="0.35">
      <c r="B29" s="69" t="s">
        <v>66</v>
      </c>
      <c r="C29" s="292">
        <f>74%*C28</f>
        <v>0.57381671999999995</v>
      </c>
      <c r="D29" s="294">
        <v>1.2</v>
      </c>
      <c r="E29" s="72">
        <f t="shared" si="8"/>
        <v>1.0912600803964025</v>
      </c>
      <c r="F29" s="73">
        <f t="shared" si="6"/>
        <v>5.4110863435478995E-2</v>
      </c>
      <c r="G29" s="294">
        <v>1.2</v>
      </c>
      <c r="H29" s="72">
        <f t="shared" si="9"/>
        <v>1.0912600803964025</v>
      </c>
      <c r="I29" s="73">
        <f t="shared" si="7"/>
        <v>2.1936159247427645E-2</v>
      </c>
    </row>
    <row r="30" spans="2:12" ht="24.65" customHeight="1" x14ac:dyDescent="0.35">
      <c r="B30" s="64" t="s">
        <v>69</v>
      </c>
      <c r="C30" s="291">
        <v>0.22800000000000001</v>
      </c>
      <c r="D30" s="61">
        <f>D28/D24</f>
        <v>0.54545454545454553</v>
      </c>
      <c r="E30" s="62"/>
      <c r="F30" s="63"/>
      <c r="G30" s="61">
        <f>G28/G24</f>
        <v>0.9</v>
      </c>
      <c r="H30" s="62"/>
      <c r="I30" s="63"/>
    </row>
    <row r="31" spans="2:12" ht="24.65" customHeight="1" x14ac:dyDescent="0.35">
      <c r="B31" s="121" t="s">
        <v>70</v>
      </c>
      <c r="C31" s="122">
        <f>C29/C25</f>
        <v>0.263625</v>
      </c>
      <c r="D31" s="123">
        <f>D29/D25</f>
        <v>0.54545454545454541</v>
      </c>
      <c r="E31" s="124"/>
      <c r="F31" s="125"/>
      <c r="G31" s="123">
        <f>G29/G25</f>
        <v>0.92307692307692302</v>
      </c>
      <c r="H31" s="124"/>
      <c r="I31" s="125"/>
    </row>
    <row r="32" spans="2:12" ht="15" customHeight="1" x14ac:dyDescent="0.35">
      <c r="B32" s="332" t="s">
        <v>71</v>
      </c>
      <c r="C32" s="333"/>
      <c r="D32" s="333"/>
      <c r="E32" s="333"/>
      <c r="F32" s="333"/>
      <c r="G32" s="333"/>
      <c r="H32" s="333"/>
      <c r="I32" s="334"/>
    </row>
    <row r="33" spans="2:12" ht="15" customHeight="1" x14ac:dyDescent="0.35">
      <c r="B33" s="335" t="s">
        <v>72</v>
      </c>
      <c r="C33" s="336"/>
      <c r="D33" s="336"/>
      <c r="E33" s="336"/>
      <c r="F33" s="336"/>
      <c r="G33" s="336"/>
      <c r="H33" s="336"/>
      <c r="I33" s="337"/>
    </row>
    <row r="34" spans="2:12" ht="15" customHeight="1" x14ac:dyDescent="0.35">
      <c r="B34" s="65" t="s">
        <v>73</v>
      </c>
      <c r="C34" s="234">
        <v>2.35</v>
      </c>
      <c r="D34" s="263">
        <f>C34</f>
        <v>2.35</v>
      </c>
      <c r="E34" s="55"/>
      <c r="F34" s="56"/>
      <c r="G34" s="263">
        <f>C34</f>
        <v>2.35</v>
      </c>
      <c r="H34" s="55"/>
      <c r="I34" s="56"/>
    </row>
    <row r="35" spans="2:12" ht="15" customHeight="1" x14ac:dyDescent="0.35">
      <c r="B35" s="65" t="s">
        <v>74</v>
      </c>
      <c r="C35" s="234">
        <v>0.20200000000000001</v>
      </c>
      <c r="D35" s="263">
        <f>C35</f>
        <v>0.20200000000000001</v>
      </c>
      <c r="E35" s="55"/>
      <c r="F35" s="56"/>
      <c r="G35" s="263">
        <f>C35</f>
        <v>0.20200000000000001</v>
      </c>
      <c r="H35" s="55"/>
      <c r="I35" s="56"/>
    </row>
    <row r="36" spans="2:12" ht="15" customHeight="1" x14ac:dyDescent="0.35">
      <c r="B36" s="335" t="s">
        <v>75</v>
      </c>
      <c r="C36" s="336"/>
      <c r="D36" s="336"/>
      <c r="E36" s="336"/>
      <c r="F36" s="336"/>
      <c r="G36" s="336"/>
      <c r="H36" s="336"/>
      <c r="I36" s="337"/>
    </row>
    <row r="37" spans="2:12" ht="15" customHeight="1" x14ac:dyDescent="0.35">
      <c r="B37" s="65" t="s">
        <v>73</v>
      </c>
      <c r="C37" s="264">
        <f>C34*C23</f>
        <v>11.2424</v>
      </c>
      <c r="D37" s="263">
        <f>D34*D23</f>
        <v>6.9764823637358866</v>
      </c>
      <c r="E37" s="55"/>
      <c r="F37" s="56"/>
      <c r="G37" s="263">
        <f>G34*G23</f>
        <v>4.4666461279999998</v>
      </c>
      <c r="H37" s="55"/>
      <c r="I37" s="56"/>
    </row>
    <row r="38" spans="2:12" ht="15" customHeight="1" x14ac:dyDescent="0.35">
      <c r="B38" s="65" t="s">
        <v>74</v>
      </c>
      <c r="C38" s="264">
        <f>C35*C28</f>
        <v>0.15663645600000001</v>
      </c>
      <c r="D38" s="263">
        <f>D35*D28</f>
        <v>0.36360000000000003</v>
      </c>
      <c r="E38" s="55"/>
      <c r="F38" s="56"/>
      <c r="G38" s="263">
        <f>G35*G28</f>
        <v>0.36360000000000003</v>
      </c>
      <c r="H38" s="55"/>
      <c r="I38" s="56"/>
    </row>
    <row r="39" spans="2:12" ht="15" customHeight="1" x14ac:dyDescent="0.35">
      <c r="B39" s="66" t="s">
        <v>76</v>
      </c>
      <c r="C39" s="298">
        <f>SUM(C37:C38)</f>
        <v>11.399036455999999</v>
      </c>
      <c r="D39" s="299">
        <f>SUM(D37:D38)</f>
        <v>7.3400823637358865</v>
      </c>
      <c r="E39" s="57"/>
      <c r="F39" s="58"/>
      <c r="G39" s="297">
        <f>SUM(G37:G38)</f>
        <v>4.8302461279999998</v>
      </c>
      <c r="H39" s="59"/>
      <c r="I39" s="60"/>
    </row>
    <row r="41" spans="2:12" ht="15" customHeight="1" x14ac:dyDescent="0.35">
      <c r="B41" s="21"/>
      <c r="C41" s="21"/>
      <c r="D41" s="21"/>
      <c r="E41" s="21"/>
      <c r="F41" s="21"/>
      <c r="G41" s="21"/>
      <c r="H41" s="21"/>
      <c r="I41" s="21"/>
      <c r="J41" s="21"/>
      <c r="K41" s="21"/>
      <c r="L41" s="21"/>
    </row>
    <row r="42" spans="2:12" ht="15" customHeight="1" x14ac:dyDescent="0.35">
      <c r="B42" s="21"/>
      <c r="C42" s="21"/>
      <c r="D42" s="21"/>
      <c r="E42" s="21"/>
      <c r="F42" s="21"/>
      <c r="G42" s="21"/>
      <c r="H42" s="21"/>
      <c r="I42" s="21"/>
      <c r="J42" s="21"/>
      <c r="K42" s="21"/>
      <c r="L42" s="21"/>
    </row>
    <row r="43" spans="2:12" ht="15" customHeight="1" x14ac:dyDescent="0.35">
      <c r="B43" s="21"/>
      <c r="C43" s="21"/>
      <c r="D43" s="21"/>
      <c r="E43" s="21"/>
      <c r="F43" s="21"/>
      <c r="G43" s="21"/>
      <c r="H43" s="21"/>
      <c r="I43" s="21"/>
      <c r="J43" s="21"/>
      <c r="K43" s="21"/>
      <c r="L43" s="21"/>
    </row>
    <row r="44" spans="2:12" ht="15" customHeight="1" x14ac:dyDescent="0.35">
      <c r="B44" s="21"/>
      <c r="C44" s="21"/>
      <c r="D44" s="21"/>
      <c r="E44" s="21"/>
      <c r="F44" s="21"/>
      <c r="G44" s="21"/>
      <c r="H44" s="21"/>
      <c r="I44" s="21"/>
      <c r="J44" s="21"/>
      <c r="K44" s="21"/>
      <c r="L44" s="21"/>
    </row>
    <row r="45" spans="2:12" ht="15" customHeight="1" x14ac:dyDescent="0.35">
      <c r="B45" s="21"/>
      <c r="C45" s="21"/>
      <c r="D45" s="21"/>
      <c r="E45" s="21"/>
      <c r="F45" s="21"/>
      <c r="G45" s="21"/>
      <c r="H45" s="21"/>
      <c r="I45" s="21"/>
      <c r="J45" s="21"/>
      <c r="K45" s="21"/>
      <c r="L45" s="21"/>
    </row>
  </sheetData>
  <mergeCells count="9">
    <mergeCell ref="C4:I4"/>
    <mergeCell ref="B32:I32"/>
    <mergeCell ref="B33:I33"/>
    <mergeCell ref="B36:I36"/>
    <mergeCell ref="B12:I12"/>
    <mergeCell ref="B22:I22"/>
    <mergeCell ref="B13:C13"/>
    <mergeCell ref="D13:F13"/>
    <mergeCell ref="G13:I1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7EE3F-6453-4F67-A0EA-6A81E2334922}">
  <dimension ref="B2:K62"/>
  <sheetViews>
    <sheetView zoomScaleNormal="100" workbookViewId="0">
      <selection activeCell="J46" sqref="J46:K47"/>
    </sheetView>
  </sheetViews>
  <sheetFormatPr baseColWidth="10" defaultColWidth="11.453125" defaultRowHeight="15" customHeight="1" x14ac:dyDescent="0.35"/>
  <cols>
    <col min="2" max="2" width="35.1796875" customWidth="1"/>
    <col min="3" max="26" width="15.54296875" customWidth="1"/>
  </cols>
  <sheetData>
    <row r="2" spans="2:11" ht="15" customHeight="1" x14ac:dyDescent="0.35">
      <c r="C2" s="39"/>
      <c r="D2" s="21" t="s">
        <v>7</v>
      </c>
      <c r="E2" s="28"/>
      <c r="F2" s="28"/>
      <c r="G2" s="28"/>
      <c r="H2" s="28"/>
    </row>
    <row r="4" spans="2:11" ht="15" customHeight="1" x14ac:dyDescent="0.35">
      <c r="B4" s="329" t="s">
        <v>77</v>
      </c>
      <c r="C4" s="330"/>
      <c r="D4" s="330"/>
      <c r="E4" s="330"/>
      <c r="F4" s="330"/>
      <c r="G4" s="330"/>
      <c r="H4" s="330"/>
      <c r="I4" s="331"/>
    </row>
    <row r="5" spans="2:11" ht="15" customHeight="1" x14ac:dyDescent="0.35">
      <c r="B5" s="156"/>
      <c r="C5" s="347">
        <v>2018</v>
      </c>
      <c r="D5" s="358" t="s">
        <v>78</v>
      </c>
      <c r="E5" s="359"/>
      <c r="F5" s="360"/>
      <c r="G5" s="359" t="s">
        <v>79</v>
      </c>
      <c r="H5" s="359"/>
      <c r="I5" s="360"/>
    </row>
    <row r="6" spans="2:11" ht="15" customHeight="1" x14ac:dyDescent="0.35">
      <c r="B6" s="156"/>
      <c r="C6" s="348"/>
      <c r="D6" s="29">
        <v>2030</v>
      </c>
      <c r="E6" s="30">
        <v>2050</v>
      </c>
      <c r="F6" s="31" t="s">
        <v>80</v>
      </c>
      <c r="G6" s="30">
        <v>2030</v>
      </c>
      <c r="H6" s="30">
        <v>2050</v>
      </c>
      <c r="I6" s="31" t="s">
        <v>80</v>
      </c>
    </row>
    <row r="7" spans="2:11" ht="15" customHeight="1" x14ac:dyDescent="0.35">
      <c r="B7" s="157" t="s">
        <v>81</v>
      </c>
      <c r="C7" s="240">
        <f>C9-C10+C12</f>
        <v>0.93700000000000028</v>
      </c>
      <c r="D7" s="119">
        <f>C7*(1+F7)^(D6-C5)</f>
        <v>0.70185229099354107</v>
      </c>
      <c r="E7" s="244">
        <f>E9</f>
        <v>0.43359999999999993</v>
      </c>
      <c r="F7" s="20">
        <f>(E7/C7)^(1/(E6-C5))-1</f>
        <v>-2.3792415359684682E-2</v>
      </c>
      <c r="G7" s="118">
        <f>C7*(1+I7)^(G6-C5)</f>
        <v>1.2451552173863385</v>
      </c>
      <c r="H7" s="9">
        <f>2</f>
        <v>2</v>
      </c>
      <c r="I7" s="20">
        <f>(H7/C7)^(1/(H6-C5))-1</f>
        <v>2.3977290669402462E-2</v>
      </c>
    </row>
    <row r="8" spans="2:11" ht="15" customHeight="1" x14ac:dyDescent="0.35">
      <c r="B8" s="158" t="s">
        <v>82</v>
      </c>
      <c r="C8" s="5"/>
      <c r="D8" s="10"/>
      <c r="E8" s="10"/>
      <c r="F8" s="10"/>
      <c r="G8" s="10"/>
      <c r="H8" s="11"/>
      <c r="I8" s="159"/>
    </row>
    <row r="9" spans="2:11" ht="15" customHeight="1" x14ac:dyDescent="0.35">
      <c r="B9" s="160" t="s">
        <v>83</v>
      </c>
      <c r="C9" s="239">
        <v>2.1680000000000001</v>
      </c>
      <c r="D9" s="18">
        <f>C9*(1+F9)^(2030-2018)</f>
        <v>1.1856200259667287</v>
      </c>
      <c r="E9" s="16">
        <f>C9*(1+E14)</f>
        <v>0.43359999999999993</v>
      </c>
      <c r="F9" s="19">
        <f>(E9/C9)^(1/(E6-C5))-1</f>
        <v>-4.9051084756698615E-2</v>
      </c>
      <c r="G9" s="17">
        <f>C9*(1+I9)^(G6-C5)</f>
        <v>1.1856200259667287</v>
      </c>
      <c r="H9" s="16">
        <f>C9*(1+H14)</f>
        <v>0.43359999999999993</v>
      </c>
      <c r="I9" s="19">
        <f>(H9/C9)^(1/(H6-C5))-1</f>
        <v>-4.9051084756698615E-2</v>
      </c>
    </row>
    <row r="10" spans="2:11" ht="15" customHeight="1" x14ac:dyDescent="0.35">
      <c r="B10" s="160" t="s">
        <v>84</v>
      </c>
      <c r="C10" s="236">
        <v>1.5209999999999999</v>
      </c>
      <c r="D10" s="17">
        <f>IF(D9-D7&gt;0,D9-D7,0)</f>
        <v>0.48376773497318759</v>
      </c>
      <c r="E10" s="245">
        <f>IF(E9-E7&gt;0,E9-E7,0)</f>
        <v>0</v>
      </c>
      <c r="F10" s="19">
        <f>(D10/C10)^(1/(D6-C5))-1</f>
        <v>-9.104515871695662E-2</v>
      </c>
      <c r="G10" s="243">
        <f>IF(G9-G7&gt;0,G9-G7,0)</f>
        <v>0</v>
      </c>
      <c r="H10" s="245">
        <f>IF(H9-H7&gt;0,H9-H7,0)</f>
        <v>0</v>
      </c>
      <c r="I10" s="8"/>
      <c r="K10" s="4"/>
    </row>
    <row r="11" spans="2:11" ht="15" customHeight="1" x14ac:dyDescent="0.35">
      <c r="B11" s="161" t="s">
        <v>85</v>
      </c>
      <c r="C11" s="12">
        <f>C10/C9</f>
        <v>0.70156826568265673</v>
      </c>
      <c r="D11" s="13">
        <f>D10/D9</f>
        <v>0.40802932168654449</v>
      </c>
      <c r="E11" s="14">
        <f>E10/E9</f>
        <v>0</v>
      </c>
      <c r="F11" s="8"/>
      <c r="G11" s="15">
        <f t="shared" ref="G11:H11" si="0">G10/G9</f>
        <v>0</v>
      </c>
      <c r="H11" s="14">
        <f t="shared" si="0"/>
        <v>0</v>
      </c>
      <c r="I11" s="8"/>
    </row>
    <row r="12" spans="2:11" ht="15" customHeight="1" x14ac:dyDescent="0.35">
      <c r="B12" s="161" t="s">
        <v>86</v>
      </c>
      <c r="C12" s="238">
        <v>0.28999999999999998</v>
      </c>
      <c r="D12" s="246">
        <f>D7-(D9-D10)</f>
        <v>0</v>
      </c>
      <c r="E12" s="245">
        <f>E7-(E9-E10)</f>
        <v>0</v>
      </c>
      <c r="F12" s="8"/>
      <c r="G12" s="18">
        <f>G7-(G9-G10)</f>
        <v>5.9535191419609834E-2</v>
      </c>
      <c r="H12" s="169">
        <f>H7-(H9-H10)</f>
        <v>1.5664</v>
      </c>
      <c r="I12" s="8"/>
    </row>
    <row r="13" spans="2:11" ht="15" customHeight="1" x14ac:dyDescent="0.35">
      <c r="B13" s="158" t="s">
        <v>87</v>
      </c>
      <c r="C13" s="3"/>
      <c r="D13" s="11"/>
      <c r="E13" s="11"/>
      <c r="F13" s="11"/>
      <c r="G13" s="11"/>
      <c r="H13" s="11"/>
      <c r="I13" s="159"/>
    </row>
    <row r="14" spans="2:11" ht="15" customHeight="1" x14ac:dyDescent="0.35">
      <c r="B14" s="162" t="s">
        <v>88</v>
      </c>
      <c r="C14" s="6"/>
      <c r="D14" s="13">
        <f>(D9-C9)/C9</f>
        <v>-0.45312729429578941</v>
      </c>
      <c r="E14" s="281">
        <v>-0.8</v>
      </c>
      <c r="F14" s="8"/>
      <c r="G14" s="15">
        <f>(G9-C9)/C9</f>
        <v>-0.45312729429578941</v>
      </c>
      <c r="H14" s="281">
        <v>-0.8</v>
      </c>
      <c r="I14" s="8"/>
    </row>
    <row r="15" spans="2:11" ht="15" customHeight="1" x14ac:dyDescent="0.35">
      <c r="B15" s="163" t="s">
        <v>89</v>
      </c>
      <c r="C15" s="7"/>
      <c r="D15" s="13">
        <f>(D7-$C$7)/$C$7</f>
        <v>-0.25095806724275255</v>
      </c>
      <c r="E15" s="14">
        <f>(E7-C7)/C7</f>
        <v>-0.53724653148345802</v>
      </c>
      <c r="F15" s="8"/>
      <c r="G15" s="15">
        <f>(G7-$C$7)/$C$7</f>
        <v>0.32887429817111863</v>
      </c>
      <c r="H15" s="14">
        <f>(H7-C7)/C7</f>
        <v>1.1344717182497326</v>
      </c>
      <c r="I15" s="8"/>
    </row>
    <row r="16" spans="2:11" ht="15" customHeight="1" x14ac:dyDescent="0.35">
      <c r="B16" s="164" t="s">
        <v>90</v>
      </c>
      <c r="C16" s="137"/>
      <c r="D16" s="138">
        <f>(D10-C10)/C10</f>
        <v>-0.68194100264747703</v>
      </c>
      <c r="E16" s="139">
        <f>(E10-C10)/C10</f>
        <v>-1</v>
      </c>
      <c r="F16" s="140"/>
      <c r="G16" s="141">
        <f>(G10-$C$10)/$C$10</f>
        <v>-1</v>
      </c>
      <c r="H16" s="139">
        <f>(H10-C10)/C10</f>
        <v>-1</v>
      </c>
      <c r="I16" s="140"/>
    </row>
    <row r="17" spans="2:9" ht="15" customHeight="1" x14ac:dyDescent="0.35">
      <c r="B17" s="352" t="s">
        <v>91</v>
      </c>
      <c r="C17" s="353"/>
      <c r="D17" s="353"/>
      <c r="E17" s="353"/>
      <c r="F17" s="353"/>
      <c r="G17" s="353"/>
      <c r="H17" s="353"/>
      <c r="I17" s="354"/>
    </row>
    <row r="18" spans="2:9" ht="15" customHeight="1" x14ac:dyDescent="0.35">
      <c r="B18" s="163" t="s">
        <v>92</v>
      </c>
      <c r="C18" s="168">
        <f>C19*C$7</f>
        <v>0.89015000000000022</v>
      </c>
      <c r="D18" s="170">
        <f>D19*D$7</f>
        <v>0.56148183279483288</v>
      </c>
      <c r="E18" s="171">
        <f>E19*E$7</f>
        <v>0</v>
      </c>
      <c r="F18" s="8"/>
      <c r="G18" s="170">
        <f>G19*G$7</f>
        <v>0.99612417390907082</v>
      </c>
      <c r="H18" s="171">
        <f>H19*H$7</f>
        <v>0</v>
      </c>
      <c r="I18" s="8"/>
    </row>
    <row r="19" spans="2:9" ht="15" customHeight="1" x14ac:dyDescent="0.35">
      <c r="B19" s="165" t="s">
        <v>93</v>
      </c>
      <c r="C19" s="174">
        <f>100%-C21</f>
        <v>0.95</v>
      </c>
      <c r="D19" s="172">
        <f>100%-D21</f>
        <v>0.8</v>
      </c>
      <c r="E19" s="14">
        <f>100%-E21</f>
        <v>0</v>
      </c>
      <c r="F19" s="8"/>
      <c r="G19" s="172">
        <f>100%-G21</f>
        <v>0.8</v>
      </c>
      <c r="H19" s="14">
        <f>100%-H21</f>
        <v>0</v>
      </c>
      <c r="I19" s="8"/>
    </row>
    <row r="20" spans="2:9" ht="15" customHeight="1" x14ac:dyDescent="0.35">
      <c r="B20" s="163" t="s">
        <v>94</v>
      </c>
      <c r="C20" s="168">
        <f>C21*C$7</f>
        <v>4.6850000000000017E-2</v>
      </c>
      <c r="D20" s="173">
        <f>D21*D$7</f>
        <v>0.14037045819870822</v>
      </c>
      <c r="E20" s="16">
        <f>E21*E$7</f>
        <v>0.43359999999999993</v>
      </c>
      <c r="F20" s="8"/>
      <c r="G20" s="173">
        <f>G21*G$7</f>
        <v>0.24903104347726771</v>
      </c>
      <c r="H20" s="169">
        <f>H21*H$7</f>
        <v>2</v>
      </c>
      <c r="I20" s="8"/>
    </row>
    <row r="21" spans="2:9" ht="15" customHeight="1" x14ac:dyDescent="0.35">
      <c r="B21" s="165" t="s">
        <v>93</v>
      </c>
      <c r="C21" s="283">
        <v>0.05</v>
      </c>
      <c r="D21" s="166">
        <v>0.2</v>
      </c>
      <c r="E21" s="167">
        <v>1</v>
      </c>
      <c r="F21" s="8"/>
      <c r="G21" s="166">
        <v>0.2</v>
      </c>
      <c r="H21" s="167">
        <v>1</v>
      </c>
      <c r="I21" s="8"/>
    </row>
    <row r="22" spans="2:9" ht="15" customHeight="1" x14ac:dyDescent="0.35">
      <c r="B22" s="163" t="s">
        <v>95</v>
      </c>
      <c r="C22" s="168">
        <f>$G$46/$H$46</f>
        <v>0.16939890710382513</v>
      </c>
      <c r="D22" s="202">
        <f t="shared" ref="D22" si="1">$G$46/$H$46</f>
        <v>0.16939890710382513</v>
      </c>
      <c r="E22" s="168">
        <f>$G$46/$H$46</f>
        <v>0.16939890710382513</v>
      </c>
      <c r="F22" s="8"/>
      <c r="G22" s="168">
        <f t="shared" ref="G22:H22" si="2">$G$46/$H$46</f>
        <v>0.16939890710382513</v>
      </c>
      <c r="H22" s="168">
        <f t="shared" si="2"/>
        <v>0.16939890710382513</v>
      </c>
      <c r="I22" s="8"/>
    </row>
    <row r="23" spans="2:9" ht="15" customHeight="1" x14ac:dyDescent="0.35">
      <c r="B23" s="163" t="s">
        <v>96</v>
      </c>
      <c r="C23" s="247">
        <f>C22*C20</f>
        <v>7.9363387978142099E-3</v>
      </c>
      <c r="D23" s="241">
        <f t="shared" ref="D23" si="3">D22*D20</f>
        <v>2.3778602208524343E-2</v>
      </c>
      <c r="E23" s="169">
        <f>E22*E20</f>
        <v>7.3451366120218561E-2</v>
      </c>
      <c r="F23" s="8"/>
      <c r="G23" s="242">
        <f t="shared" ref="G23:H23" si="4">G22*G20</f>
        <v>4.218558659997431E-2</v>
      </c>
      <c r="H23" s="169">
        <f t="shared" si="4"/>
        <v>0.33879781420765026</v>
      </c>
      <c r="I23" s="8"/>
    </row>
    <row r="24" spans="2:9" ht="15" customHeight="1" x14ac:dyDescent="0.35">
      <c r="B24" s="163" t="s">
        <v>97</v>
      </c>
      <c r="C24" s="168">
        <f>$C$47*C23</f>
        <v>0.44443497267759574</v>
      </c>
      <c r="D24" s="18">
        <f t="shared" ref="D24" si="5">$C$47*D23</f>
        <v>1.3316017236773632</v>
      </c>
      <c r="E24" s="169">
        <f>$C$47*E23</f>
        <v>4.1132765027322398</v>
      </c>
      <c r="F24" s="8"/>
      <c r="G24" s="17">
        <f t="shared" ref="G24:H24" si="6">$C$47*G23</f>
        <v>2.3623928495985616</v>
      </c>
      <c r="H24" s="245">
        <f t="shared" si="6"/>
        <v>18.972677595628415</v>
      </c>
      <c r="I24" s="8"/>
    </row>
    <row r="25" spans="2:9" ht="15" customHeight="1" x14ac:dyDescent="0.35">
      <c r="B25" s="355" t="s">
        <v>71</v>
      </c>
      <c r="C25" s="356"/>
      <c r="D25" s="356"/>
      <c r="E25" s="356"/>
      <c r="F25" s="356"/>
      <c r="G25" s="356"/>
      <c r="H25" s="356"/>
      <c r="I25" s="357"/>
    </row>
    <row r="26" spans="2:9" ht="15" customHeight="1" x14ac:dyDescent="0.35">
      <c r="B26" s="335" t="s">
        <v>98</v>
      </c>
      <c r="C26" s="336"/>
      <c r="D26" s="336"/>
      <c r="E26" s="336"/>
      <c r="F26" s="336"/>
      <c r="G26" s="336"/>
      <c r="H26" s="336"/>
      <c r="I26" s="337"/>
    </row>
    <row r="27" spans="2:9" ht="15" customHeight="1" x14ac:dyDescent="0.35">
      <c r="B27" s="65" t="s">
        <v>99</v>
      </c>
      <c r="C27" s="180">
        <f>E41</f>
        <v>4.5078680000000002</v>
      </c>
      <c r="D27" s="203">
        <f>C27</f>
        <v>4.5078680000000002</v>
      </c>
      <c r="E27" s="204">
        <f>C27</f>
        <v>4.5078680000000002</v>
      </c>
      <c r="F27" s="182"/>
      <c r="G27" s="203">
        <f>C27</f>
        <v>4.5078680000000002</v>
      </c>
      <c r="H27" s="204">
        <f>C27</f>
        <v>4.5078680000000002</v>
      </c>
      <c r="I27" s="56"/>
    </row>
    <row r="28" spans="2:9" ht="15" customHeight="1" x14ac:dyDescent="0.35">
      <c r="B28" s="65" t="s">
        <v>100</v>
      </c>
      <c r="C28" s="180">
        <f>C27+$K$46*(D47-D46)</f>
        <v>2.6445291354467626</v>
      </c>
      <c r="D28" s="203">
        <f>D27+$K$46*(E47-E46)</f>
        <v>2.4247435970086255</v>
      </c>
      <c r="E28" s="204">
        <f>E27+$K$46*(F47-F46)</f>
        <v>2.247233625661949</v>
      </c>
      <c r="F28" s="56"/>
      <c r="G28" s="203">
        <f>G27+$K$46*(E47-E46)</f>
        <v>2.4247435970086255</v>
      </c>
      <c r="H28" s="204">
        <f>H27+$K$46*(F47-F46)</f>
        <v>2.247233625661949</v>
      </c>
      <c r="I28" s="56"/>
    </row>
    <row r="29" spans="2:9" ht="15" customHeight="1" x14ac:dyDescent="0.35">
      <c r="B29" s="335" t="s">
        <v>75</v>
      </c>
      <c r="C29" s="336"/>
      <c r="D29" s="336"/>
      <c r="E29" s="336"/>
      <c r="F29" s="336"/>
      <c r="G29" s="336"/>
      <c r="H29" s="336"/>
      <c r="I29" s="337"/>
    </row>
    <row r="30" spans="2:9" ht="15" customHeight="1" x14ac:dyDescent="0.35">
      <c r="B30" s="65" t="s">
        <v>101</v>
      </c>
      <c r="C30" s="180">
        <f>C27*C18</f>
        <v>4.0126787002000013</v>
      </c>
      <c r="D30" s="181">
        <f>D27*D18</f>
        <v>2.5310859866371778</v>
      </c>
      <c r="E30" s="191">
        <f>E27*E18</f>
        <v>0</v>
      </c>
      <c r="F30" s="192"/>
      <c r="G30" s="181">
        <f t="shared" ref="G30:H30" si="7">G27*G18</f>
        <v>4.4903962875911354</v>
      </c>
      <c r="H30" s="191">
        <f t="shared" si="7"/>
        <v>0</v>
      </c>
      <c r="I30" s="154"/>
    </row>
    <row r="31" spans="2:9" ht="15" customHeight="1" x14ac:dyDescent="0.35">
      <c r="B31" s="65" t="s">
        <v>102</v>
      </c>
      <c r="C31" s="180">
        <f>C28*C20</f>
        <v>0.12389618999568087</v>
      </c>
      <c r="D31" s="181">
        <f>D28*D20</f>
        <v>0.3403623697264847</v>
      </c>
      <c r="E31" s="191">
        <f>E28*E20</f>
        <v>0.97440050008702095</v>
      </c>
      <c r="F31" s="192"/>
      <c r="G31" s="181">
        <f t="shared" ref="G31:H31" si="8">G28*G20</f>
        <v>0.60383642812788152</v>
      </c>
      <c r="H31" s="191">
        <f t="shared" si="8"/>
        <v>4.4944672513238979</v>
      </c>
      <c r="I31" s="154"/>
    </row>
    <row r="32" spans="2:9" ht="15" customHeight="1" x14ac:dyDescent="0.35">
      <c r="B32" s="66" t="s">
        <v>76</v>
      </c>
      <c r="C32" s="193">
        <f>SUM(C30:C31)</f>
        <v>4.136574890195682</v>
      </c>
      <c r="D32" s="194">
        <f>SUM(D30:D31)</f>
        <v>2.8714483563636626</v>
      </c>
      <c r="E32" s="195">
        <f>SUM(E30:E31)</f>
        <v>0.97440050008702095</v>
      </c>
      <c r="F32" s="196"/>
      <c r="G32" s="194">
        <f>SUM(G30:G31)</f>
        <v>5.0942327157190173</v>
      </c>
      <c r="H32" s="195">
        <f>SUM(H30:H31)</f>
        <v>4.4944672513238979</v>
      </c>
      <c r="I32" s="155"/>
    </row>
    <row r="33" spans="2:11" ht="15" customHeight="1" x14ac:dyDescent="0.35">
      <c r="C33" s="4"/>
    </row>
    <row r="35" spans="2:11" ht="15" customHeight="1" x14ac:dyDescent="0.35">
      <c r="B35" s="349" t="s">
        <v>103</v>
      </c>
      <c r="C35" s="350"/>
      <c r="D35" s="350"/>
      <c r="E35" s="350"/>
      <c r="F35" s="351"/>
    </row>
    <row r="36" spans="2:11" ht="23.5" x14ac:dyDescent="0.35">
      <c r="B36" s="183" t="s">
        <v>104</v>
      </c>
      <c r="C36" s="184" t="s">
        <v>105</v>
      </c>
      <c r="D36" s="184" t="s">
        <v>106</v>
      </c>
      <c r="E36" s="184" t="s">
        <v>107</v>
      </c>
      <c r="F36" s="185" t="s">
        <v>108</v>
      </c>
    </row>
    <row r="37" spans="2:11" ht="15" customHeight="1" x14ac:dyDescent="0.35">
      <c r="B37" s="178" t="s">
        <v>109</v>
      </c>
      <c r="C37" s="175">
        <v>0.26600000000000001</v>
      </c>
      <c r="D37" s="176">
        <v>0.33500000000000002</v>
      </c>
      <c r="E37" s="177">
        <v>3.97</v>
      </c>
      <c r="F37" s="201">
        <f>E37*D37</f>
        <v>1.3299500000000002</v>
      </c>
    </row>
    <row r="38" spans="2:11" ht="15" customHeight="1" x14ac:dyDescent="0.35">
      <c r="B38" s="178" t="s">
        <v>110</v>
      </c>
      <c r="C38" s="175">
        <v>0.13800000000000001</v>
      </c>
      <c r="D38" s="176">
        <v>0.27</v>
      </c>
      <c r="E38" s="177">
        <v>4.18</v>
      </c>
      <c r="F38" s="201">
        <f t="shared" ref="F38:F40" si="9">E38*D38</f>
        <v>1.1286</v>
      </c>
    </row>
    <row r="39" spans="2:11" ht="15" customHeight="1" x14ac:dyDescent="0.35">
      <c r="B39" s="178" t="s">
        <v>111</v>
      </c>
      <c r="C39" s="175">
        <v>0.38400000000000001</v>
      </c>
      <c r="D39" s="176">
        <v>0.3</v>
      </c>
      <c r="E39" s="177">
        <v>4.99</v>
      </c>
      <c r="F39" s="201">
        <f t="shared" si="9"/>
        <v>1.4970000000000001</v>
      </c>
      <c r="H39" s="237"/>
    </row>
    <row r="40" spans="2:11" ht="15" customHeight="1" x14ac:dyDescent="0.35">
      <c r="B40" s="178" t="s">
        <v>112</v>
      </c>
      <c r="C40" s="175">
        <v>0.2112</v>
      </c>
      <c r="D40" s="176">
        <v>0.46</v>
      </c>
      <c r="E40" s="177">
        <v>4.54</v>
      </c>
      <c r="F40" s="201">
        <f t="shared" si="9"/>
        <v>2.0884</v>
      </c>
    </row>
    <row r="41" spans="2:11" ht="15" customHeight="1" x14ac:dyDescent="0.35">
      <c r="B41" s="179" t="s">
        <v>113</v>
      </c>
      <c r="C41" s="197">
        <f>SUM(C37:C40)</f>
        <v>0.99920000000000009</v>
      </c>
      <c r="D41" s="198">
        <f>SUMPRODUCT(C37:C40,D37:D40)</f>
        <v>0.33872200000000002</v>
      </c>
      <c r="E41" s="199">
        <f>SUMPRODUCT(C37:C40,E37:E40)</f>
        <v>4.5078680000000002</v>
      </c>
      <c r="F41" s="200">
        <f>E41*D41</f>
        <v>1.5269140646960002</v>
      </c>
    </row>
    <row r="43" spans="2:11" ht="15" customHeight="1" x14ac:dyDescent="0.35">
      <c r="B43" s="329" t="s">
        <v>114</v>
      </c>
      <c r="C43" s="330"/>
      <c r="D43" s="330"/>
      <c r="E43" s="330"/>
      <c r="F43" s="330"/>
      <c r="G43" s="330"/>
      <c r="H43" s="330"/>
      <c r="I43" s="330"/>
      <c r="J43" s="330"/>
      <c r="K43" s="331"/>
    </row>
    <row r="44" spans="2:11" ht="25.5" customHeight="1" x14ac:dyDescent="0.35">
      <c r="B44" s="233" t="s">
        <v>115</v>
      </c>
      <c r="C44" s="296" t="s">
        <v>116</v>
      </c>
      <c r="D44" s="342" t="s">
        <v>117</v>
      </c>
      <c r="E44" s="342"/>
      <c r="F44" s="342"/>
      <c r="G44" s="341" t="s">
        <v>118</v>
      </c>
      <c r="H44" s="341" t="s">
        <v>119</v>
      </c>
      <c r="I44" s="341" t="s">
        <v>120</v>
      </c>
      <c r="J44" s="345" t="s">
        <v>121</v>
      </c>
      <c r="K44" s="343" t="s">
        <v>122</v>
      </c>
    </row>
    <row r="45" spans="2:11" ht="15" customHeight="1" x14ac:dyDescent="0.35">
      <c r="B45" s="183"/>
      <c r="C45" s="184"/>
      <c r="D45" s="184">
        <v>2018</v>
      </c>
      <c r="E45" s="184">
        <v>2030</v>
      </c>
      <c r="F45" s="184">
        <v>2050</v>
      </c>
      <c r="G45" s="342"/>
      <c r="H45" s="342"/>
      <c r="I45" s="342"/>
      <c r="J45" s="346"/>
      <c r="K45" s="344"/>
    </row>
    <row r="46" spans="2:11" ht="15" customHeight="1" x14ac:dyDescent="0.35">
      <c r="B46" s="187" t="s">
        <v>123</v>
      </c>
      <c r="C46" s="189"/>
      <c r="D46" s="177">
        <v>11.1</v>
      </c>
      <c r="E46" s="190">
        <f>D46</f>
        <v>11.1</v>
      </c>
      <c r="F46" s="190">
        <f>D46</f>
        <v>11.1</v>
      </c>
      <c r="G46" s="371">
        <v>31</v>
      </c>
      <c r="H46" s="371">
        <v>183</v>
      </c>
      <c r="I46" s="373">
        <v>0.82</v>
      </c>
      <c r="J46" s="369">
        <f>G46/H46</f>
        <v>0.16939890710382513</v>
      </c>
      <c r="K46" s="367">
        <f>J46/I46</f>
        <v>0.2065840330534453</v>
      </c>
    </row>
    <row r="47" spans="2:11" ht="15" customHeight="1" x14ac:dyDescent="0.35">
      <c r="B47" s="188" t="s">
        <v>124</v>
      </c>
      <c r="C47" s="282">
        <v>56</v>
      </c>
      <c r="D47" s="301">
        <f>C62*C47/1000</f>
        <v>2.0802377414561666</v>
      </c>
      <c r="E47" s="301">
        <f>D62*C47/1000</f>
        <v>1.0163339382940111</v>
      </c>
      <c r="F47" s="301">
        <f>E62*C47/1000</f>
        <v>0.15707115441393563</v>
      </c>
      <c r="G47" s="372"/>
      <c r="H47" s="372"/>
      <c r="I47" s="374"/>
      <c r="J47" s="370"/>
      <c r="K47" s="368"/>
    </row>
    <row r="48" spans="2:11" ht="15" customHeight="1" x14ac:dyDescent="0.35">
      <c r="B48" s="186"/>
      <c r="C48" s="186"/>
      <c r="D48" s="186"/>
      <c r="E48" s="186"/>
      <c r="F48" s="186"/>
      <c r="G48" s="4"/>
      <c r="H48" s="4"/>
      <c r="I48" s="4"/>
    </row>
    <row r="49" spans="2:5" ht="15" customHeight="1" x14ac:dyDescent="0.35">
      <c r="B49" s="329" t="s">
        <v>125</v>
      </c>
      <c r="C49" s="330"/>
      <c r="D49" s="330"/>
      <c r="E49" s="331"/>
    </row>
    <row r="50" spans="2:5" ht="15" customHeight="1" x14ac:dyDescent="0.35">
      <c r="B50" s="205"/>
      <c r="C50" s="206">
        <v>2018</v>
      </c>
      <c r="D50" s="206">
        <v>2030</v>
      </c>
      <c r="E50" s="207">
        <v>2050</v>
      </c>
    </row>
    <row r="51" spans="2:5" ht="15" customHeight="1" x14ac:dyDescent="0.35">
      <c r="B51" s="364" t="s">
        <v>126</v>
      </c>
      <c r="C51" s="365"/>
      <c r="D51" s="365"/>
      <c r="E51" s="366"/>
    </row>
    <row r="52" spans="2:5" ht="15" customHeight="1" x14ac:dyDescent="0.35">
      <c r="B52" s="178" t="s">
        <v>127</v>
      </c>
      <c r="C52" s="208">
        <f>D46-D47</f>
        <v>9.0197622585438335</v>
      </c>
      <c r="D52" s="208">
        <f>E46-E47</f>
        <v>10.083666061705989</v>
      </c>
      <c r="E52" s="209">
        <f>F46-F47</f>
        <v>10.942928845586064</v>
      </c>
    </row>
    <row r="53" spans="2:5" ht="15" customHeight="1" x14ac:dyDescent="0.35">
      <c r="B53" s="364" t="s">
        <v>128</v>
      </c>
      <c r="C53" s="365"/>
      <c r="D53" s="365"/>
      <c r="E53" s="366"/>
    </row>
    <row r="54" spans="2:5" ht="15" customHeight="1" x14ac:dyDescent="0.35">
      <c r="B54" s="178" t="s">
        <v>127</v>
      </c>
      <c r="C54" s="208">
        <f>C52*$G$46/$H$46</f>
        <v>1.5279378689336549</v>
      </c>
      <c r="D54" s="208">
        <f t="shared" ref="D54:E54" si="10">D52*$G$46/$H$46</f>
        <v>1.7081620104529271</v>
      </c>
      <c r="E54" s="209">
        <f t="shared" si="10"/>
        <v>1.8537201869572022</v>
      </c>
    </row>
    <row r="55" spans="2:5" ht="15" customHeight="1" x14ac:dyDescent="0.35">
      <c r="B55" s="364" t="s">
        <v>129</v>
      </c>
      <c r="C55" s="365"/>
      <c r="D55" s="365"/>
      <c r="E55" s="366"/>
    </row>
    <row r="56" spans="2:5" ht="15" customHeight="1" x14ac:dyDescent="0.35">
      <c r="B56" s="210" t="s">
        <v>127</v>
      </c>
      <c r="C56" s="211">
        <f>C27-C28</f>
        <v>1.8633388645532376</v>
      </c>
      <c r="D56" s="211">
        <f t="shared" ref="D56" si="11">D27-D28</f>
        <v>2.0831244029913747</v>
      </c>
      <c r="E56" s="212">
        <f>E27-E28</f>
        <v>2.2606343743380513</v>
      </c>
    </row>
    <row r="58" spans="2:5" ht="15" customHeight="1" x14ac:dyDescent="0.35">
      <c r="B58" s="361" t="s">
        <v>130</v>
      </c>
      <c r="C58" s="362"/>
      <c r="D58" s="362"/>
      <c r="E58" s="363"/>
    </row>
    <row r="59" spans="2:5" ht="15" customHeight="1" x14ac:dyDescent="0.35">
      <c r="B59" s="273"/>
      <c r="C59" s="184">
        <v>2020</v>
      </c>
      <c r="D59" s="184">
        <v>2030</v>
      </c>
      <c r="E59" s="274">
        <v>2050</v>
      </c>
    </row>
    <row r="60" spans="2:5" ht="15" customHeight="1" x14ac:dyDescent="0.35">
      <c r="B60" s="267" t="s">
        <v>131</v>
      </c>
      <c r="C60" s="268">
        <v>538.4</v>
      </c>
      <c r="D60" s="268">
        <v>606.1</v>
      </c>
      <c r="E60" s="269">
        <v>677.4</v>
      </c>
    </row>
    <row r="61" spans="2:5" ht="15" customHeight="1" x14ac:dyDescent="0.35">
      <c r="B61" s="267" t="s">
        <v>132</v>
      </c>
      <c r="C61" s="268">
        <v>20</v>
      </c>
      <c r="D61" s="268">
        <v>11</v>
      </c>
      <c r="E61" s="269">
        <v>1.9</v>
      </c>
    </row>
    <row r="62" spans="2:5" ht="15" customHeight="1" x14ac:dyDescent="0.35">
      <c r="B62" s="270" t="s">
        <v>133</v>
      </c>
      <c r="C62" s="271">
        <f>C61/C60*1000</f>
        <v>37.147102526002975</v>
      </c>
      <c r="D62" s="271">
        <f>D61/D60*1000</f>
        <v>18.148820326678766</v>
      </c>
      <c r="E62" s="272">
        <f>E61/E60*1000</f>
        <v>2.8048420431059933</v>
      </c>
    </row>
  </sheetData>
  <mergeCells count="26">
    <mergeCell ref="B58:E58"/>
    <mergeCell ref="B55:E55"/>
    <mergeCell ref="B49:E49"/>
    <mergeCell ref="K46:K47"/>
    <mergeCell ref="J46:J47"/>
    <mergeCell ref="G46:G47"/>
    <mergeCell ref="H46:H47"/>
    <mergeCell ref="I46:I47"/>
    <mergeCell ref="B53:E53"/>
    <mergeCell ref="B51:E51"/>
    <mergeCell ref="B43:K43"/>
    <mergeCell ref="G44:G45"/>
    <mergeCell ref="K44:K45"/>
    <mergeCell ref="J44:J45"/>
    <mergeCell ref="B4:I4"/>
    <mergeCell ref="C5:C6"/>
    <mergeCell ref="B35:F35"/>
    <mergeCell ref="B17:I17"/>
    <mergeCell ref="B25:I25"/>
    <mergeCell ref="B26:I26"/>
    <mergeCell ref="B29:I29"/>
    <mergeCell ref="D5:F5"/>
    <mergeCell ref="G5:I5"/>
    <mergeCell ref="H44:H45"/>
    <mergeCell ref="I44:I45"/>
    <mergeCell ref="D44:F44"/>
  </mergeCells>
  <pageMargins left="0.7" right="0.7" top="0.75" bottom="0.75" header="0.3" footer="0.3"/>
  <pageSetup paperSize="9" orientation="portrait" r:id="rId1"/>
  <ignoredErrors>
    <ignoredError sqref="D19:E19 G19:H19" formula="1"/>
  </ignoredError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BEC0C-E4B9-46DC-A56B-44CDC73F9D53}">
  <dimension ref="B3:D23"/>
  <sheetViews>
    <sheetView workbookViewId="0">
      <selection activeCell="C23" sqref="C23"/>
    </sheetView>
  </sheetViews>
  <sheetFormatPr baseColWidth="10" defaultColWidth="11.453125" defaultRowHeight="14.5" x14ac:dyDescent="0.35"/>
  <cols>
    <col min="1" max="1" width="5.7265625" customWidth="1"/>
    <col min="2" max="2" width="10.453125" customWidth="1"/>
    <col min="3" max="3" width="75.54296875" customWidth="1"/>
    <col min="4" max="4" width="62.54296875" customWidth="1"/>
  </cols>
  <sheetData>
    <row r="3" spans="2:4" x14ac:dyDescent="0.35">
      <c r="B3" s="375" t="s">
        <v>4</v>
      </c>
      <c r="C3" s="376"/>
      <c r="D3" s="377"/>
    </row>
    <row r="4" spans="2:4" x14ac:dyDescent="0.35">
      <c r="B4" s="303" t="s">
        <v>134</v>
      </c>
      <c r="C4" s="2" t="s">
        <v>135</v>
      </c>
      <c r="D4" s="304" t="s">
        <v>136</v>
      </c>
    </row>
    <row r="5" spans="2:4" ht="20" x14ac:dyDescent="0.35">
      <c r="B5" s="305">
        <v>1</v>
      </c>
      <c r="C5" s="1" t="s">
        <v>137</v>
      </c>
      <c r="D5" s="306" t="s">
        <v>138</v>
      </c>
    </row>
    <row r="6" spans="2:4" ht="20" x14ac:dyDescent="0.35">
      <c r="B6" s="305">
        <v>2</v>
      </c>
      <c r="C6" s="1" t="s">
        <v>139</v>
      </c>
      <c r="D6" s="306" t="s">
        <v>140</v>
      </c>
    </row>
    <row r="7" spans="2:4" ht="30" x14ac:dyDescent="0.35">
      <c r="B7" s="305">
        <v>3</v>
      </c>
      <c r="C7" s="1" t="s">
        <v>141</v>
      </c>
      <c r="D7" s="306" t="s">
        <v>142</v>
      </c>
    </row>
    <row r="8" spans="2:4" x14ac:dyDescent="0.35">
      <c r="B8" s="305">
        <v>4</v>
      </c>
      <c r="C8" s="1" t="s">
        <v>143</v>
      </c>
      <c r="D8" s="306" t="s">
        <v>144</v>
      </c>
    </row>
    <row r="9" spans="2:4" x14ac:dyDescent="0.35">
      <c r="B9" s="305">
        <v>5</v>
      </c>
      <c r="C9" s="1" t="s">
        <v>145</v>
      </c>
      <c r="D9" s="306" t="s">
        <v>146</v>
      </c>
    </row>
    <row r="10" spans="2:4" x14ac:dyDescent="0.35">
      <c r="B10" s="305">
        <v>6</v>
      </c>
      <c r="C10" s="1" t="s">
        <v>147</v>
      </c>
      <c r="D10" s="306" t="s">
        <v>148</v>
      </c>
    </row>
    <row r="11" spans="2:4" ht="20" x14ac:dyDescent="0.35">
      <c r="B11" s="305">
        <v>7</v>
      </c>
      <c r="C11" s="1" t="s">
        <v>149</v>
      </c>
      <c r="D11" s="306" t="s">
        <v>150</v>
      </c>
    </row>
    <row r="12" spans="2:4" ht="20" x14ac:dyDescent="0.35">
      <c r="B12" s="305">
        <v>8</v>
      </c>
      <c r="C12" s="1" t="s">
        <v>151</v>
      </c>
      <c r="D12" s="306" t="s">
        <v>152</v>
      </c>
    </row>
    <row r="13" spans="2:4" ht="20" x14ac:dyDescent="0.35">
      <c r="B13" s="305">
        <v>9</v>
      </c>
      <c r="C13" s="1" t="s">
        <v>153</v>
      </c>
      <c r="D13" s="306" t="s">
        <v>154</v>
      </c>
    </row>
    <row r="14" spans="2:4" ht="20" x14ac:dyDescent="0.35">
      <c r="B14" s="305">
        <v>10</v>
      </c>
      <c r="C14" s="1" t="s">
        <v>155</v>
      </c>
      <c r="D14" s="306" t="s">
        <v>156</v>
      </c>
    </row>
    <row r="15" spans="2:4" x14ac:dyDescent="0.35">
      <c r="B15" s="305">
        <v>11</v>
      </c>
      <c r="C15" s="235" t="s">
        <v>157</v>
      </c>
      <c r="D15" s="306" t="s">
        <v>158</v>
      </c>
    </row>
    <row r="16" spans="2:4" x14ac:dyDescent="0.35">
      <c r="B16" s="305">
        <v>12</v>
      </c>
      <c r="C16" s="235" t="s">
        <v>159</v>
      </c>
      <c r="D16" s="306" t="s">
        <v>160</v>
      </c>
    </row>
    <row r="17" spans="2:4" x14ac:dyDescent="0.35">
      <c r="B17" s="305">
        <f>B16+1</f>
        <v>13</v>
      </c>
      <c r="C17" s="235" t="s">
        <v>161</v>
      </c>
      <c r="D17" s="306" t="s">
        <v>162</v>
      </c>
    </row>
    <row r="18" spans="2:4" ht="20" x14ac:dyDescent="0.35">
      <c r="B18" s="305">
        <f t="shared" ref="B18:B19" si="0">B17+1</f>
        <v>14</v>
      </c>
      <c r="C18" s="235" t="s">
        <v>163</v>
      </c>
      <c r="D18" s="306" t="s">
        <v>164</v>
      </c>
    </row>
    <row r="19" spans="2:4" ht="20" x14ac:dyDescent="0.35">
      <c r="B19" s="305">
        <f t="shared" si="0"/>
        <v>15</v>
      </c>
      <c r="C19" s="235" t="s">
        <v>165</v>
      </c>
      <c r="D19" s="306" t="s">
        <v>166</v>
      </c>
    </row>
    <row r="20" spans="2:4" ht="20" x14ac:dyDescent="0.35">
      <c r="B20" s="305">
        <v>16</v>
      </c>
      <c r="C20" s="235" t="s">
        <v>167</v>
      </c>
      <c r="D20" s="306" t="s">
        <v>168</v>
      </c>
    </row>
    <row r="21" spans="2:4" ht="20" x14ac:dyDescent="0.35">
      <c r="B21" s="305">
        <v>17</v>
      </c>
      <c r="C21" s="235" t="s">
        <v>169</v>
      </c>
      <c r="D21" s="306" t="s">
        <v>168</v>
      </c>
    </row>
    <row r="22" spans="2:4" x14ac:dyDescent="0.35">
      <c r="B22" s="305">
        <v>18</v>
      </c>
      <c r="C22" s="1" t="s">
        <v>170</v>
      </c>
      <c r="D22" s="302" t="s">
        <v>171</v>
      </c>
    </row>
    <row r="23" spans="2:4" ht="24" x14ac:dyDescent="0.35">
      <c r="B23" s="307">
        <v>19</v>
      </c>
      <c r="C23" s="308" t="s">
        <v>172</v>
      </c>
      <c r="D23" s="309" t="s">
        <v>173</v>
      </c>
    </row>
  </sheetData>
  <mergeCells count="1">
    <mergeCell ref="B3:D3"/>
  </mergeCells>
  <hyperlinks>
    <hyperlink ref="D7" r:id="rId1" xr:uid="{9EC27AD1-6995-41B2-BF26-0A2DD473E030}"/>
    <hyperlink ref="D8" r:id="rId2" xr:uid="{5C8C33E4-037F-4035-B8FA-F464BE063F59}"/>
    <hyperlink ref="D9" r:id="rId3" xr:uid="{2D32DB4F-9145-4E5E-B3FF-AA8D9FFC5E25}"/>
    <hyperlink ref="D10" r:id="rId4" xr:uid="{D8180675-170D-4D7B-BA0F-72722C11AF28}"/>
    <hyperlink ref="D11" r:id="rId5" xr:uid="{C91C3EFA-60C0-4763-8608-F551DB3D1A56}"/>
    <hyperlink ref="D14" r:id="rId6" xr:uid="{9BB50300-605D-45EE-9626-CE489C9A8805}"/>
    <hyperlink ref="D15" r:id="rId7" xr:uid="{04FF0796-3EC2-4A3D-9BA5-7440F6A47071}"/>
    <hyperlink ref="D5" r:id="rId8" xr:uid="{56BD4CD1-FB1A-4CA4-9E5A-6E77CF2A414E}"/>
    <hyperlink ref="D16" r:id="rId9" xr:uid="{3656591F-3793-49EF-963E-538CCA71F518}"/>
    <hyperlink ref="D12" r:id="rId10" xr:uid="{27235B48-8443-4EDE-B0B7-6F9052CE1581}"/>
    <hyperlink ref="D17" r:id="rId11" xr:uid="{9D49865D-FF1D-4065-8180-06E2F453A00D}"/>
    <hyperlink ref="D18" r:id="rId12" xr:uid="{F72D3C54-4896-4157-BF7D-71E3FFFAC087}"/>
    <hyperlink ref="D6" r:id="rId13" xr:uid="{7D974313-5C9D-4773-9324-38480DFD5F4B}"/>
    <hyperlink ref="D19" r:id="rId14" xr:uid="{7CEE1328-0FB7-4BA6-90B1-B1335274ABB6}"/>
    <hyperlink ref="D20" r:id="rId15" xr:uid="{82A7D2EC-AD10-4961-A198-F3229713BEFE}"/>
    <hyperlink ref="D21" r:id="rId16" xr:uid="{B21B509D-CB9E-42B8-9067-3D88542404EC}"/>
    <hyperlink ref="D13" r:id="rId17" location="/44-type_de_produit-format_electronique" xr:uid="{C093EC10-06E3-41BC-8930-16510F55E90D}"/>
    <hyperlink ref="D22" r:id="rId18" xr:uid="{51AA9A69-E77C-4C4A-9B09-FD8E748AAFAD}"/>
    <hyperlink ref="D23" r:id="rId19" xr:uid="{321A8591-BC49-404E-BED9-ABB13D5A3DF4}"/>
  </hyperlinks>
  <pageMargins left="0.7" right="0.7" top="0.75" bottom="0.75" header="0.3" footer="0.3"/>
  <pageSetup paperSize="9" orientation="portrait" r:id="rId2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49ac2a-b211-4fea-a23e-058f661af758">
      <Terms xmlns="http://schemas.microsoft.com/office/infopath/2007/PartnerControls"/>
    </lcf76f155ced4ddcb4097134ff3c332f>
    <TaxCatchAll xmlns="8f1b8a44-2e81-425d-8025-2e5e0436f25e" xsi:nil="true"/>
    <_ModernAudienceTargetUserField xmlns="e249ac2a-b211-4fea-a23e-058f661af758">
      <UserInfo>
        <DisplayName/>
        <AccountId xsi:nil="true"/>
        <AccountType/>
      </UserInfo>
    </_ModernAudienceTargetUserFiel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9F8D0E12706CA4F88F078CAAF1F0285" ma:contentTypeVersion="15" ma:contentTypeDescription="Crée un document." ma:contentTypeScope="" ma:versionID="d61ebabf05edb172a4796a2a26dcc231">
  <xsd:schema xmlns:xsd="http://www.w3.org/2001/XMLSchema" xmlns:xs="http://www.w3.org/2001/XMLSchema" xmlns:p="http://schemas.microsoft.com/office/2006/metadata/properties" xmlns:ns2="e249ac2a-b211-4fea-a23e-058f661af758" xmlns:ns3="8f1b8a44-2e81-425d-8025-2e5e0436f25e" targetNamespace="http://schemas.microsoft.com/office/2006/metadata/properties" ma:root="true" ma:fieldsID="0ecdbb82de15a51058ed3f6676f3dbd1" ns2:_="" ns3:_="">
    <xsd:import namespace="e249ac2a-b211-4fea-a23e-058f661af758"/>
    <xsd:import namespace="8f1b8a44-2e81-425d-8025-2e5e0436f2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ModernAudienceTargetUserField" minOccurs="0"/>
                <xsd:element ref="ns2:_ModernAudienceAadObjectI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49ac2a-b211-4fea-a23e-058f661af7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9c47289d-44d4-4518-8531-d864f6d3e1e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_ModernAudienceTargetUserField" ma:index="21" nillable="true" ma:displayName="Audience"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2" nillable="true" ma:displayName="AudienceIds" ma:list="{9b001c38-b593-437a-acce-521679d6ec8e}" ma:internalName="_ModernAudienceAadObjectIds" ma:readOnly="true" ma:showField="_AadObjectIdForUser"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1b8a44-2e81-425d-8025-2e5e0436f2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f8f2c3c-97c3-401f-9e00-dc202c827de0}" ma:internalName="TaxCatchAll" ma:showField="CatchAllData" ma:web="8f1b8a44-2e81-425d-8025-2e5e0436f2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A8FEBF-C487-4229-8125-A80093007215}">
  <ds:schemaRefs>
    <ds:schemaRef ds:uri="http://schemas.microsoft.com/sharepoint/v3/contenttype/forms"/>
  </ds:schemaRefs>
</ds:datastoreItem>
</file>

<file path=customXml/itemProps2.xml><?xml version="1.0" encoding="utf-8"?>
<ds:datastoreItem xmlns:ds="http://schemas.openxmlformats.org/officeDocument/2006/customXml" ds:itemID="{90A5A4F6-6A6B-4546-93A1-26B4D6AE0702}">
  <ds:schemaRefs>
    <ds:schemaRef ds:uri="http://schemas.microsoft.com/office/2006/metadata/properties"/>
    <ds:schemaRef ds:uri="http://schemas.microsoft.com/office/infopath/2007/PartnerControls"/>
    <ds:schemaRef ds:uri="e249ac2a-b211-4fea-a23e-058f661af758"/>
    <ds:schemaRef ds:uri="8f1b8a44-2e81-425d-8025-2e5e0436f25e"/>
  </ds:schemaRefs>
</ds:datastoreItem>
</file>

<file path=customXml/itemProps3.xml><?xml version="1.0" encoding="utf-8"?>
<ds:datastoreItem xmlns:ds="http://schemas.openxmlformats.org/officeDocument/2006/customXml" ds:itemID="{DAEC9E82-1F09-46C0-9C4E-2C55C3EBCD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49ac2a-b211-4fea-a23e-058f661af758"/>
    <ds:schemaRef ds:uri="8f1b8a44-2e81-425d-8025-2e5e0436f2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Lisez-moi</vt:lpstr>
      <vt:lpstr>Secteur Chimie</vt:lpstr>
      <vt:lpstr>Plastiques</vt:lpstr>
      <vt:lpstr>Engrais</vt:lpstr>
      <vt:lpstr>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MAX TSP</dc:creator>
  <cp:keywords/>
  <dc:description/>
  <cp:lastModifiedBy>TSP_MAX</cp:lastModifiedBy>
  <cp:revision/>
  <dcterms:created xsi:type="dcterms:W3CDTF">2021-12-10T09:09:31Z</dcterms:created>
  <dcterms:modified xsi:type="dcterms:W3CDTF">2026-03-25T14:33:54Z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0x01010059F8D0E12706CA4F88F078CAAF1F0285</vt:lpwstr>
  </property>
  <property fmtid="{D5CDD505-2E9C-101B-9397-08002B2CF9AE}" pid="3" name="MediaServiceImageTags">
    <vt:lpwstr/>
  </property>
</Properties>
</file>