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https://theshiftpr0ject.sharepoint.com/sites/TSP/Projets/Programme EMFOR/11- Emploi &amp; Formation transverse/3 - Modèles PTEF Emploi/Vélo/"/>
    </mc:Choice>
  </mc:AlternateContent>
  <xr:revisionPtr revIDLastSave="2" documentId="8_{D18C508A-2A2A-48CA-9B39-362CA2CD5665}" xr6:coauthVersionLast="47" xr6:coauthVersionMax="47" xr10:uidLastSave="{D92AC89B-6E06-48AB-A46A-01E4BFB12185}"/>
  <bookViews>
    <workbookView xWindow="-120" yWindow="-18120" windowWidth="29040" windowHeight="17520" xr2:uid="{00000000-000D-0000-FFFF-FFFF00000000}"/>
  </bookViews>
  <sheets>
    <sheet name="Légende - Sources - Unités" sheetId="6" r:id="rId1"/>
    <sheet name="Objectifs de report modal PTEF" sheetId="4" r:id="rId2"/>
    <sheet name="Modèle Emploi Vélo" sheetId="5" r:id="rId3"/>
    <sheet name="Visualisation" sheetId="7" r:id="rId4"/>
  </sheets>
  <externalReferences>
    <externalReference r:id="rId5"/>
  </externalReferences>
  <definedNames>
    <definedName name="CA_exp_constr_2016" localSheetId="0">'[1]Modèle Emploi Vélo V1'!#REF!</definedName>
    <definedName name="CA_exp_constr_2016">'Modèle Emploi Vélo'!#REF!</definedName>
    <definedName name="CA_exp_constr_2018" localSheetId="0">'[1]Modèle Emploi Vélo V1'!#REF!</definedName>
    <definedName name="CA_exp_constr_2018">'Modèle Emploi Vélo'!#REF!</definedName>
    <definedName name="CA_int_constr_2016">'Modèle Emploi Vélo'!$E$9</definedName>
    <definedName name="CA_int_constr_2018" localSheetId="0">'[1]Modèle Emploi Vélo V1'!#REF!</definedName>
    <definedName name="CA_int_constr_2018">'Modèle Emploi Vélo'!#REF!</definedName>
    <definedName name="CA_tot_constr_2016">'Modèle Emploi Vélo'!$E$8</definedName>
    <definedName name="CA_tot_constr_2018" localSheetId="0">'[1]Modèle Emploi Vélo V1'!#REF!</definedName>
    <definedName name="CA_tot_constr_2018">'Modèle Emploi Vélo'!#REF!</definedName>
    <definedName name="croissance_prod">'Modèle Emploi Vélo'!$C$91</definedName>
    <definedName name="elec_activité">#REF!</definedName>
    <definedName name="élec_activité_maintenance" localSheetId="2">'Modèle Emploi Vélo'!$C$84</definedName>
    <definedName name="élec_activité_noyau" localSheetId="2">'Modèle Emploi Vélo'!$M$62</definedName>
    <definedName name="elec_maintenance">#REF!</definedName>
    <definedName name="elec_part">#REF!</definedName>
    <definedName name="élec_tot_final" localSheetId="2">'Modèle Emploi Vélo'!$G$37</definedName>
    <definedName name="élec_Vae_final" localSheetId="0">'[1]Modèle Emploi Vélo V1'!$E$50</definedName>
    <definedName name="élec_Vae_final">'Modèle Emploi Vélo'!$E$37</definedName>
    <definedName name="élec_Vélo_final" localSheetId="0">'[1]Modèle Emploi Vélo V1'!$C$50</definedName>
    <definedName name="élec_Vélo_final">'Modèle Emploi Vélo'!$C$37</definedName>
    <definedName name="élec_VP_final" localSheetId="2">'Modèle Emploi Vélo'!$C$37</definedName>
    <definedName name="élec_VUL_final" localSheetId="2">'Modèle Emploi Vélo'!$E$37</definedName>
    <definedName name="exp_industrie_2018">'Modèle Emploi Vélo'!#REF!</definedName>
    <definedName name="exp_vae_valeur" localSheetId="0">'[1]Modèle Emploi Vélo V1'!$E$11</definedName>
    <definedName name="exp_vae_valeur">'Modèle Emploi Vélo'!$D$7</definedName>
    <definedName name="exp_vélo_valeur" localSheetId="0">'[1]Modèle Emploi Vélo V1'!$C$11</definedName>
    <definedName name="exp_vélo_valeur">'Modèle Emploi Vélo'!$C$7</definedName>
    <definedName name="exp_vp_valeur">'Modèle Emploi Vélo'!$C$7</definedName>
    <definedName name="exp_vul_valeur">'Modèle Emploi Vélo'!$D$7</definedName>
    <definedName name="imp_industrie_2018">'Modèle Emploi Vélo'!#REF!</definedName>
    <definedName name="imp_vp_valeur">'Modèle Emploi Vélo'!#REF!</definedName>
    <definedName name="imp_vul_valeur">'Modèle Emploi Vélo'!#REF!</definedName>
    <definedName name="marché" localSheetId="2">'Modèle Emploi Vélo'!#REF!</definedName>
    <definedName name="marché">#REF!</definedName>
    <definedName name="marché_constr_initial_valeur" localSheetId="0">'[1]Modèle Emploi Vélo V1'!$G$36</definedName>
    <definedName name="marché_constr_initial_valeur">'Modèle Emploi Vélo'!$G$25</definedName>
    <definedName name="marché_exp_évolution">'Modèle Emploi Vélo'!#REF!</definedName>
    <definedName name="marché_tot_évolution" localSheetId="2">'Modèle Emploi Vélo'!$H$34</definedName>
    <definedName name="marché_tot_final" localSheetId="0">'[1]Modèle Emploi Vélo V1'!$G$47</definedName>
    <definedName name="marché_tot_final">'Modèle Emploi Vélo'!$G$34</definedName>
    <definedName name="marché_tot_initial" localSheetId="0">'[1]Modèle Emploi Vélo V1'!$G$32</definedName>
    <definedName name="marché_tot_initial">'Modèle Emploi Vélo'!$G$21</definedName>
    <definedName name="marché_vae_final" localSheetId="0">'[1]Modèle Emploi Vélo V1'!$E$47</definedName>
    <definedName name="marché_vae_final">'Modèle Emploi Vélo'!$E$34</definedName>
    <definedName name="marché_vae_final_euro">'Modèle Emploi Vélo'!$E$37</definedName>
    <definedName name="marché_vae_initial" localSheetId="0">'[1]Modèle Emploi Vélo V1'!$E$32</definedName>
    <definedName name="marché_vae_initial">'Modèle Emploi Vélo'!$E$21</definedName>
    <definedName name="marché_vélo_final" localSheetId="0">'[1]Modèle Emploi Vélo V1'!$C$47</definedName>
    <definedName name="marché_vélo_final">'Modèle Emploi Vélo'!$C$34</definedName>
    <definedName name="marché_vélo_final_eur">'Modèle Emploi Vélo'!$C$37</definedName>
    <definedName name="marché_vélo_final_euros">'Modèle Emploi Vélo'!$C$37</definedName>
    <definedName name="marché_vélo_fineuro">'Modèle Emploi Vélo'!$C$37</definedName>
    <definedName name="marché_vélo_initial" localSheetId="0">'[1]Modèle Emploi Vélo V1'!$C$32</definedName>
    <definedName name="marché_vélo_initial">'Modèle Emploi Vélo'!$C$21</definedName>
    <definedName name="marché_VP_évolution" localSheetId="2">'Modèle Emploi Vélo'!$D$34</definedName>
    <definedName name="marché_VP_final" localSheetId="2">'Modèle Emploi Vélo'!$C$34</definedName>
    <definedName name="marché_VP_initial" localSheetId="2">'Modèle Emploi Vélo'!$C$21</definedName>
    <definedName name="marché_VUL_évolution" localSheetId="2">'Modèle Emploi Vélo'!$F$34</definedName>
    <definedName name="marché_VUL_final" localSheetId="2">'Modèle Emploi Vélo'!$E$34</definedName>
    <definedName name="marché_VUL_initial" localSheetId="2">'Modèle Emploi Vélo'!$E$21</definedName>
    <definedName name="mob_parc" localSheetId="2">'Modèle Emploi Vélo'!#REF!</definedName>
    <definedName name="mob_parc">#REF!</definedName>
    <definedName name="mob_tot_évolution" localSheetId="2">'Modèle Emploi Vélo'!$H$32</definedName>
    <definedName name="mob_tot_évolution" localSheetId="3">Visualisation!$F$36</definedName>
    <definedName name="mob_tot_final">'Modèle Emploi Vélo'!$G$32</definedName>
    <definedName name="mob_tot_initial" localSheetId="0">'[1]Modèle Emploi Vélo V1'!$G$30</definedName>
    <definedName name="mob_tot_initial">'Modèle Emploi Vélo'!$G$19</definedName>
    <definedName name="mob_vae_évolution">'Modèle Emploi Vélo'!$F$32</definedName>
    <definedName name="mob_vae_final" localSheetId="0">'[1]Modèle Emploi Vélo V1'!$E$44</definedName>
    <definedName name="mob_vae_final">'Modèle Emploi Vélo'!$E$32</definedName>
    <definedName name="mob_VAE_initial" localSheetId="0">'[1]Modèle Emploi Vélo V1'!$E$30</definedName>
    <definedName name="mob_VAE_initial">'Modèle Emploi Vélo'!$E$19</definedName>
    <definedName name="mob_vélo_évolution">'Modèle Emploi Vélo'!$D$32</definedName>
    <definedName name="mob_vélo_final" localSheetId="0">'[1]Modèle Emploi Vélo V1'!$C$44</definedName>
    <definedName name="mob_vélo_final">'Modèle Emploi Vélo'!$C$32</definedName>
    <definedName name="mob_vélo_initial" localSheetId="0">'[1]Modèle Emploi Vélo V1'!$C$30</definedName>
    <definedName name="mob_vélo_initial">'Modèle Emploi Vélo'!$C$19</definedName>
    <definedName name="mob_VP_évolution" localSheetId="2">'Modèle Emploi Vélo'!$D$32</definedName>
    <definedName name="mob_VP_final" localSheetId="2">'Modèle Emploi Vélo'!$C$32</definedName>
    <definedName name="mob_VP_initial" localSheetId="2">'Modèle Emploi Vélo'!$C$19</definedName>
    <definedName name="mob_VUL_évolution" localSheetId="2">'Modèle Emploi Vélo'!$F$32</definedName>
    <definedName name="mob_VUL_final" localSheetId="2">'Modèle Emploi Vélo'!$E$32</definedName>
    <definedName name="mob_VUL_initial" localSheetId="2">'Modèle Emploi Vélo'!$E$19</definedName>
    <definedName name="nb_annees">'Modèle Emploi Vélo'!$C$94</definedName>
    <definedName name="prod_constr_évolution">'Modèle Emploi Vélo'!$H$36</definedName>
    <definedName name="prod_constr_final_valeur">'Modèle Emploi Vélo'!$G$36</definedName>
    <definedName name="prod_constr_initial_valeur">'Modèle Emploi Vélo'!$G$25</definedName>
    <definedName name="TVA" localSheetId="0">'[1]Modèle Emploi Vélo V1'!$F$67</definedName>
    <definedName name="TVA">'Modèle Emploi Vélo'!$C$13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100" i="5" l="1"/>
  <c r="C103" i="5"/>
  <c r="C100" i="5"/>
  <c r="C82" i="5"/>
  <c r="F62" i="5"/>
  <c r="F59" i="5"/>
  <c r="B4" i="7"/>
  <c r="B5" i="7"/>
  <c r="B6" i="7"/>
  <c r="C80" i="5"/>
  <c r="D70" i="5"/>
  <c r="F35" i="5"/>
  <c r="F29" i="5"/>
  <c r="E24" i="5"/>
  <c r="E25" i="5" s="1"/>
  <c r="C9" i="5" l="1"/>
  <c r="E20" i="5"/>
  <c r="E19" i="5"/>
  <c r="B26" i="4"/>
  <c r="B12" i="4" l="1"/>
  <c r="B24" i="4"/>
  <c r="B17" i="4"/>
  <c r="B19" i="4" s="1"/>
  <c r="C12" i="4"/>
  <c r="C11" i="5" l="1"/>
  <c r="C21" i="5"/>
  <c r="C28" i="5"/>
  <c r="C30" i="5"/>
  <c r="F60" i="5"/>
  <c r="F61" i="5"/>
  <c r="E62" i="5"/>
  <c r="E28" i="5"/>
  <c r="E30" i="5"/>
  <c r="F67" i="5"/>
  <c r="F68" i="5"/>
  <c r="F69" i="5"/>
  <c r="E70" i="5"/>
  <c r="C101" i="5" s="1"/>
  <c r="G26" i="5"/>
  <c r="E36" i="5"/>
  <c r="C36" i="5"/>
  <c r="D62" i="5"/>
  <c r="F26" i="5"/>
  <c r="D11" i="5"/>
  <c r="E10" i="5"/>
  <c r="D9" i="5"/>
  <c r="E8" i="5"/>
  <c r="E7" i="5" a="1"/>
  <c r="E7" i="5" s="1"/>
  <c r="C23" i="4"/>
  <c r="C24" i="4"/>
  <c r="E32" i="5" s="1"/>
  <c r="E34" i="5" s="1"/>
  <c r="F34" i="5" s="1"/>
  <c r="C13" i="4"/>
  <c r="C25" i="4" s="1"/>
  <c r="C26" i="4"/>
  <c r="C32" i="5" s="1"/>
  <c r="G20" i="5"/>
  <c r="E22" i="5"/>
  <c r="C70" i="5"/>
  <c r="C62" i="5"/>
  <c r="G28" i="5" l="1"/>
  <c r="H28" i="5" s="1"/>
  <c r="E9" i="5"/>
  <c r="C83" i="5"/>
  <c r="F70" i="5"/>
  <c r="C23" i="5"/>
  <c r="E44" i="5"/>
  <c r="C102" i="5"/>
  <c r="F28" i="5"/>
  <c r="E31" i="5"/>
  <c r="D101" i="5" s="1"/>
  <c r="C5" i="7" s="1"/>
  <c r="C31" i="5"/>
  <c r="D28" i="5"/>
  <c r="C34" i="5"/>
  <c r="C37" i="5" s="1"/>
  <c r="F32" i="5"/>
  <c r="E37" i="5"/>
  <c r="G32" i="5"/>
  <c r="D100" i="5" l="1"/>
  <c r="C4" i="7" s="1"/>
  <c r="E100" i="5"/>
  <c r="E101" i="5"/>
  <c r="F101" i="5"/>
  <c r="D35" i="5"/>
  <c r="D29" i="5"/>
  <c r="G31" i="5"/>
  <c r="G30" i="5" s="1"/>
  <c r="F37" i="5"/>
  <c r="F31" i="5"/>
  <c r="G34" i="5" a="1"/>
  <c r="G34" i="5" s="1"/>
  <c r="D34" i="5"/>
  <c r="H34" i="5"/>
  <c r="G37" i="5"/>
  <c r="C104" i="5" l="1"/>
  <c r="B7" i="7"/>
  <c r="G101" i="5"/>
  <c r="E5" i="7" s="1"/>
  <c r="H101" i="5"/>
  <c r="D5" i="7"/>
  <c r="G100" i="5"/>
  <c r="E4" i="7" s="1"/>
  <c r="H100" i="5"/>
  <c r="D4" i="7"/>
  <c r="D102" i="5"/>
  <c r="G36" i="5"/>
  <c r="F102" i="5"/>
  <c r="C105" i="5" l="1"/>
  <c r="B9" i="7" s="1"/>
  <c r="B8" i="7"/>
  <c r="E102" i="5"/>
  <c r="C6" i="7"/>
  <c r="G102" i="5"/>
  <c r="E6" i="7" s="1"/>
  <c r="H102" i="5"/>
  <c r="D6" i="7"/>
  <c r="C19" i="5"/>
  <c r="D32" i="5" l="1"/>
  <c r="C22" i="5"/>
  <c r="G19" i="5" a="1"/>
  <c r="G19" i="5" s="1"/>
  <c r="H26" i="5" s="1"/>
  <c r="D103" i="5" s="1"/>
  <c r="C7" i="7" s="1"/>
  <c r="H32" i="5"/>
  <c r="F103" i="5" s="1"/>
  <c r="D26" i="5"/>
  <c r="G103" i="5" l="1"/>
  <c r="E7" i="7" s="1"/>
  <c r="D7" i="7"/>
  <c r="H103" i="5"/>
  <c r="F104" i="5"/>
  <c r="E103" i="5"/>
  <c r="D8" i="7" l="1"/>
  <c r="H104" i="5"/>
  <c r="F105" i="5"/>
  <c r="G104" i="5"/>
  <c r="E8" i="7" s="1"/>
  <c r="D104" i="5"/>
  <c r="E104" i="5" l="1"/>
  <c r="C8" i="7"/>
  <c r="G105" i="5"/>
  <c r="E9" i="7" s="1"/>
  <c r="D9" i="7"/>
  <c r="H105" i="5"/>
  <c r="D105" i="5"/>
  <c r="C24" i="5"/>
  <c r="C25" i="5" s="1"/>
  <c r="E105" i="5" l="1"/>
  <c r="C9" i="7"/>
  <c r="G25" i="5"/>
  <c r="G24" i="5" s="1"/>
  <c r="C44" i="5"/>
  <c r="D37" i="5"/>
  <c r="D31" i="5"/>
  <c r="H37" i="5" l="1"/>
  <c r="H31" i="5"/>
  <c r="B23" i="4"/>
  <c r="B11" i="4" s="1"/>
  <c r="B13"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<sst xmlns="http://schemas.openxmlformats.org/spreadsheetml/2006/main" count="195" uniqueCount="131">
  <si>
    <t>Code couleur</t>
  </si>
  <si>
    <t>Référence</t>
  </si>
  <si>
    <t>Variable issue d'un autre secteur PTEF</t>
  </si>
  <si>
    <t>Données initiales externes</t>
  </si>
  <si>
    <t>Hypothèse sectorielle externe</t>
  </si>
  <si>
    <t>Hypothèse sectorielle PTEF</t>
  </si>
  <si>
    <t>Résultat de calcul</t>
  </si>
  <si>
    <t>Sources principales</t>
  </si>
  <si>
    <t xml:space="preserve">Pour les variables issues d'autres secteurs du PTEF, il s'agit essentiellement de la "Vision Globale du PTEF V1", section "Mobilité Quotidienne" : https://theshiftproject.org/wp-content/uploads/2021/04/TSP-PTEF-V1-FL-Mobilite-Q.pdf </t>
  </si>
  <si>
    <t>Pour les données et hypothèses sectorielles externes, sauf indication contraire, il s'agit du rapport "ADEME 2020" : IMPACT ÉCONOMIQUE ET POTENTIEL. https://librairie.ademe.fr/cadic/334/rapport-impact-economique-usages-velos-france-2020.pdf
DE DÉVELOPPEMENT DES USAGES DU VÉLO
 EN FRANCE</t>
  </si>
  <si>
    <t>Unités principales</t>
  </si>
  <si>
    <t>L'unité principale pertinente pour examiner le volume de déplacement des personnes est le p.km ou "personne-kilomètre" : 1p.km correspond au déplacement d'une personne sur 1km, ou de manière équivalente 2 personnes sur 500m etc.</t>
  </si>
  <si>
    <t>Le Gp.km est une unité correspondant à 1 milliard de pkm</t>
  </si>
  <si>
    <t>L'impact énergétique et climat de cette mobilité est ensuite évaluée de manière la plus pertinente en v.km ou "véhicules-kilomètres" : 1 vkm correspond au déplacement d'un véhicule sur 1 km, ou 2 véhicules sur 500m etc.</t>
  </si>
  <si>
    <t>Si une personne se déplace par véhicule, les deux unités sont équivalentes, ce qui est majoritairement le cas à vélo - hypothèse prise ici. A contrario, dans une voiture avec 2 personnes, 1 v.km = 2 p.km.</t>
  </si>
  <si>
    <t>Précision : chiffres significatifs et influence du point de départ</t>
  </si>
  <si>
    <t>Comme dans le reste du PTEF, les calculs effectués ici sont destinés à donner les meilleurs ordres de grandeur possibles</t>
  </si>
  <si>
    <t>On a considéré que conserver 2 chiffres significatifs donnait l'approximation la plus pertinente du niveau de précision obtenu</t>
  </si>
  <si>
    <t>La situation "actuelle" est fondée sur les chiffres 2018, les plus récents disponibles de manière homogène à la date initiale de rédaction du rapport ; l'influence du point de départ est limitée car les ratios changent très peu au cours du temps</t>
  </si>
  <si>
    <t>Explications</t>
  </si>
  <si>
    <t xml:space="preserve">Cet onglet reprend l'état des lieux de la mobilité quotidienne en France aujourd'hui et son évolution estimée à 2050 après application des mesures du PTEF. 
Il y adjoint une hypothèse de répartition des mobilités électriques légères entre vélos à assistance électrique (VAE) de toutes variantes, et autres mobilités électriques légères notamment "passives" (scooters, micro-voitures...). 
Le résultat final est le chiffrage des Gp.km parcouru avec chacun des modes "VAE et variantes" et "vélo musculaire", utilisé ensuite dans l'onglet Modèle Emploi Vélo </t>
  </si>
  <si>
    <t>Sources</t>
  </si>
  <si>
    <t>Vision Globale du PTEF V1 ; ADEME 2020</t>
  </si>
  <si>
    <t>Mobilité quotidienne totale (Gp.km)</t>
  </si>
  <si>
    <t>Actuelle</t>
  </si>
  <si>
    <t>Après PTEF</t>
  </si>
  <si>
    <t>Mode</t>
  </si>
  <si>
    <t>Part des p.km (%)</t>
  </si>
  <si>
    <t>VAE, autres mobilités électriques légères</t>
  </si>
  <si>
    <t>Répartition VAE / total mobilités électriques légères</t>
  </si>
  <si>
    <t>VAE (inc. Variantes)</t>
  </si>
  <si>
    <t>Autres mobilités électriques légères</t>
  </si>
  <si>
    <t>Vélo "musculaire"</t>
  </si>
  <si>
    <t>Estimation de mobilité actuelle des VAE</t>
  </si>
  <si>
    <t>Source</t>
  </si>
  <si>
    <t>Taille du parc (millions)</t>
  </si>
  <si>
    <t>ADEME 2020, p.142 : estimation 2018 à partir des ventes cumulées estimées 2015-2018 (non significatives avant)</t>
  </si>
  <si>
    <t>Kilomètrage moyen (milliers de km/an)</t>
  </si>
  <si>
    <t>ADEME 2020, p.233</t>
  </si>
  <si>
    <t>Mobilité annuelle VAE (Gp.km)</t>
  </si>
  <si>
    <t>Mobilité par mode (Gp.km)</t>
  </si>
  <si>
    <t>Source (mobilité actuelle)</t>
  </si>
  <si>
    <t>Périmètre</t>
  </si>
  <si>
    <t>Le périmètre inclut les vélos "musculaires" et les vélos à assistance électrique (VAE) et leurs variantes. Les autres mobilités électriques légères sont hors périmètre à date</t>
  </si>
  <si>
    <t>MARCHE ACTUEL FABRICATION France - Chiffre d'affaire et volumes de départ constructeurs France (2018)</t>
  </si>
  <si>
    <t>Vélo</t>
  </si>
  <si>
    <t>VAE</t>
  </si>
  <si>
    <t>Total</t>
  </si>
  <si>
    <t>Source : pages du rapport ADEME 2020, sauf précision spécifique</t>
  </si>
  <si>
    <t>CA export HT fabrication (M €)</t>
  </si>
  <si>
    <t>p. 126</t>
  </si>
  <si>
    <t>CA total HT fabrication (M €)</t>
  </si>
  <si>
    <t>CA intérieur HT fabrication (M €)</t>
  </si>
  <si>
    <t>Volume total fabrication (milliers)</t>
  </si>
  <si>
    <t>Prix moyen unitaire HT fabrication (€)</t>
  </si>
  <si>
    <t>TVA</t>
  </si>
  <si>
    <t>PARAMETRES DE DIMENSIONNEMENT DE MARCHE TRANSFORME - Evolution de la taille de marché intérieur totale en fonction de la mobilité, durée de vie et prix moyen de vente</t>
  </si>
  <si>
    <t>La description du secteur après transformation, soit à horizon 2050, rend compte des objectifs du Plan pour le secteur Industrie vélo, séparément pour les Vélo et les VAE, sur la base des usages exprimés par les secteurs de la mobilité quotidienne et longue distance. Pour plus de détails sur les objectifs de mobilité et d'électrification, se référer aux fiches Mobilité et Industrie vélo</t>
  </si>
  <si>
    <t>Evolution (multiple)</t>
  </si>
  <si>
    <t>Actuel</t>
  </si>
  <si>
    <t>Mobilité du parc
(milliards de véhicule-km/an)</t>
  </si>
  <si>
    <t>Taille du parc vélo adulte utile en France (millions de véhicules)</t>
  </si>
  <si>
    <t>p. 130, 284</t>
  </si>
  <si>
    <t>Marché du neuf (millions de véhicules par an)</t>
  </si>
  <si>
    <t>p. 142, 289</t>
  </si>
  <si>
    <t>"Durée de vie" apparente (kms)</t>
  </si>
  <si>
    <t>Prix de vente moyen TTC (€)</t>
  </si>
  <si>
    <t>p. 142, 148</t>
  </si>
  <si>
    <t>Prix de vente moyen HT (€)</t>
  </si>
  <si>
    <t>Marché du neuf (CA HT de la fabrication vélo en M €)</t>
  </si>
  <si>
    <t>2030 
(après PTEF)</t>
  </si>
  <si>
    <t>Mobilité du parc (milliards de véhicule-km/an)</t>
  </si>
  <si>
    <t>2050 
(après PTEF)</t>
  </si>
  <si>
    <t>PARTS DE MARCHE VENTES - Evolution visée de la valeur de la production nationale en proportion du marché intérieur</t>
  </si>
  <si>
    <t>Avant</t>
  </si>
  <si>
    <t>Après</t>
  </si>
  <si>
    <t>Production nationale en proportion du marché intérieur (% du CA HT)</t>
  </si>
  <si>
    <t>PRODUCTION FRANCAISE - Hypothèses de répartition du CA par modèle de production et d'intégration de la chaîne de valeur ; impact sur l'intensité en emploi</t>
  </si>
  <si>
    <t xml:space="preserve">Le volume d'activité en ETP dans l'industrie vélo (fabrication vélo et équipementiers et R&amp;D) est supposé proportionnel à la production de la fabrication vélo nationale en valeur (€). </t>
  </si>
  <si>
    <t>À cette évolution linéaire s'ajoutent les effets d'intégration de la chaîne de valeur et du type d'industrie sur l'intensité en emploi:</t>
  </si>
  <si>
    <t>Taux d'intégration additionnel de la chaîne de valeur vélo</t>
  </si>
  <si>
    <t>Effet % prix HT pour 30 % d'intégration supplémentaire</t>
  </si>
  <si>
    <t>Effet ETP additionnel / M€ CA HT pour 30% d'intégration supplémentaire</t>
  </si>
  <si>
    <t>p. 308</t>
  </si>
  <si>
    <t>Part du CA</t>
  </si>
  <si>
    <t>Intensité en emploi (ETP / M€ CA HT)</t>
  </si>
  <si>
    <t>Industriel minimal</t>
  </si>
  <si>
    <t>p. 127</t>
  </si>
  <si>
    <t>Industriel intégré</t>
  </si>
  <si>
    <t>Artisanal</t>
  </si>
  <si>
    <t>p. 128</t>
  </si>
  <si>
    <t>Moyenne pondérée</t>
  </si>
  <si>
    <t>p. 130 (contrôle de cohérence)</t>
  </si>
  <si>
    <t>p. 126 (contrôle de cohérence)</t>
  </si>
  <si>
    <t>Estimation de l'intensité en emploi de la réparation / entretien</t>
  </si>
  <si>
    <t>Les activités afférentes à l’industrie vélo (aval de la filière) sont supposées directement proportionnelles à la mobilité du parc (entretien, maintenance, location, contrôle technique) ou au marché (commerce).</t>
  </si>
  <si>
    <t>Source : ANFA, Observatoire des métiers des services de l'automobile, février 2020</t>
  </si>
  <si>
    <t>Nombre d'enseignes spécialisées vélo</t>
  </si>
  <si>
    <t>ETP salarié de la réparation/vente dans la distribution spécialisée</t>
  </si>
  <si>
    <t>Temps passé en vente/réparation par le propriétaire de structure</t>
  </si>
  <si>
    <t>Estimation des ETP entretien/réparation distr. Spéc.</t>
  </si>
  <si>
    <t>Part de marché en volume de la distribution spécialisée</t>
  </si>
  <si>
    <t>Volume de ventes actuel total France (milliers)</t>
  </si>
  <si>
    <t>Ratio actuel ETP / milliers de vélo</t>
  </si>
  <si>
    <t>Evolution du ratio</t>
  </si>
  <si>
    <t>Evolution de la productivité apparente du travail (VA / ETP)</t>
  </si>
  <si>
    <t>À ces deux évolutions s'ajoutent également de potentiels gains de productivité du travail : rapport de la valeur ajoutée sur le volume de travail i.e. le nombre d'ETP (https://www.insee.fr/fr/statistiques/4255787?sommaire=4256020)</t>
  </si>
  <si>
    <t>SECTION NON EXPLOITEE A DATE</t>
  </si>
  <si>
    <t>Croissance de la productivité apparente du travail fabrication vélos</t>
  </si>
  <si>
    <t>Part de la valeur ajoutée dans le CA en 2016 (VAHT/CAHT)</t>
  </si>
  <si>
    <t>p. 129</t>
  </si>
  <si>
    <t>Nombre d'années au point de passage (2030)</t>
  </si>
  <si>
    <t>Nombre d'années de la transformation</t>
  </si>
  <si>
    <t>Emploi du secteur avant et après transformation</t>
  </si>
  <si>
    <t>Activité</t>
  </si>
  <si>
    <t>Emploi 2018 (ETP)</t>
  </si>
  <si>
    <t>Emploi 2030 (ETP)</t>
  </si>
  <si>
    <t>Evolution nette 2030 (ETP)</t>
  </si>
  <si>
    <t>Emploi 2050 (ETP)</t>
  </si>
  <si>
    <t>Evolution nette 2050 (ETP)</t>
  </si>
  <si>
    <t>Evolution nette 2050 (multiple)</t>
  </si>
  <si>
    <t>Industrie vélo : fabrication de vélos</t>
  </si>
  <si>
    <t>Industrie VAE : fabrication de VAE</t>
  </si>
  <si>
    <t>Total emplois directs et indirects industrie vélo / VAE</t>
  </si>
  <si>
    <t>Commerce, entretien et réparation de vélos et VAE</t>
  </si>
  <si>
    <t>Total emplois aval</t>
  </si>
  <si>
    <t>Besoin en emploi à 2030 et 2050 résultant des transformations de l’industrie et des usages du vélo/VAE selon le PTEF</t>
  </si>
  <si>
    <t>Industrie Vélo : fabrication</t>
  </si>
  <si>
    <t>Industrie VAE : fabrication</t>
  </si>
  <si>
    <t>Note : chiffrages arrondis à deux chiffres significatifs sur chaque ligne et colonne, ce qui explique les écarts de totaux (par définition non significatifs avec cette précision)</t>
  </si>
  <si>
    <t>COULEUR DE VISUALISATION UNIQUEMENT - HORS LEGENDE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</si>
</sst>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 #,##0.00_-;_-* &quot;-&quot;??_-;_-@_-"/>
    <numFmt numFmtId="164" formatCode="_-* #,##0.00\ _€_-;\-* #,##0.00\ _€_-;_-* &quot;-&quot;??\ _€_-;_-@_-"/>
    <numFmt numFmtId="165" formatCode="_-* #,##0_-;\-* #,##0_-;_-* &quot;-&quot;??_-;_-@_-"/>
    <numFmt numFmtId="166" formatCode="_-* #,##0.0_-;\-* #,##0.0_-;_-* &quot;-&quot;??_-;_-@_-"/>
    <numFmt numFmtId="167" formatCode="0.0%"/>
    <numFmt numFmtId="168" formatCode="0.0"/>
    <numFmt numFmtId="169" formatCode="_-* #,##0\ _€_-;\-* #,##0\ _€_-;_-* &quot;-&quot;??\ _€_-;_-@_-"/>
    <numFmt numFmtId="170" formatCode="_ * #,##0.0_)\ _€_ ;_ * \(#,##0.0\)\ _€_ ;_ * &quot;-&quot;?_)\ _€_ ;_ @_ "/>
    <numFmt numFmtId="171" formatCode="#,##0.0"/>
  </numFmts>
  <fonts count="35" x14ac:knownFonts="1">
    <font>
      <sz val="12"/>
      <color theme="1"/>
      <name val="Arial"/>
      <family val="2"/>
      <scheme val="minor"/>
    </font>
    <font>
      <sz val="12"/>
      <color theme="1"/>
      <name val="Arial"/>
      <family val="2"/>
      <scheme val="minor"/>
    </font>
    <font>
      <sz val="11"/>
      <color theme="1"/>
      <name val="Arial"/>
      <family val="2"/>
      <scheme val="minor"/>
    </font>
    <font>
      <b/>
      <sz val="11"/>
      <color theme="0"/>
      <name val="Arial"/>
      <family val="2"/>
      <scheme val="minor"/>
    </font>
    <font>
      <sz val="11"/>
      <color theme="0"/>
      <name val="Arial"/>
      <family val="2"/>
      <scheme val="minor"/>
    </font>
    <font>
      <i/>
      <sz val="11"/>
      <color rgb="FFC00000"/>
      <name val="Arial"/>
      <family val="2"/>
      <scheme val="minor"/>
    </font>
    <font>
      <b/>
      <sz val="11"/>
      <color theme="1"/>
      <name val="Arial"/>
      <family val="2"/>
      <scheme val="minor"/>
    </font>
    <font>
      <i/>
      <sz val="11"/>
      <color theme="1"/>
      <name val="Arial"/>
      <family val="2"/>
      <scheme val="minor"/>
    </font>
    <font>
      <i/>
      <sz val="11"/>
      <color theme="4"/>
      <name val="Arial"/>
      <family val="2"/>
      <scheme val="minor"/>
    </font>
    <font>
      <sz val="11"/>
      <color rgb="FFC00000"/>
      <name val="Arial"/>
      <family val="2"/>
      <scheme val="minor"/>
    </font>
    <font>
      <sz val="11"/>
      <color rgb="FF00B050"/>
      <name val="Arial"/>
      <family val="2"/>
      <scheme val="minor"/>
    </font>
    <font>
      <i/>
      <sz val="11"/>
      <color theme="0"/>
      <name val="Arial"/>
      <family val="2"/>
      <scheme val="minor"/>
    </font>
    <font>
      <sz val="11"/>
      <name val="Arial"/>
      <family val="2"/>
      <scheme val="minor"/>
    </font>
    <font>
      <sz val="11"/>
      <color rgb="FFFF0000"/>
      <name val="Arial"/>
      <family val="2"/>
      <scheme val="minor"/>
    </font>
    <font>
      <b/>
      <sz val="11"/>
      <name val="Arial"/>
      <family val="2"/>
      <scheme val="minor"/>
    </font>
    <font>
      <i/>
      <sz val="11"/>
      <name val="Arial"/>
      <family val="2"/>
      <scheme val="minor"/>
    </font>
    <font>
      <b/>
      <i/>
      <sz val="11"/>
      <color theme="1"/>
      <name val="Arial"/>
      <family val="2"/>
      <scheme val="minor"/>
    </font>
    <font>
      <b/>
      <i/>
      <sz val="11"/>
      <name val="Arial"/>
      <family val="2"/>
      <scheme val="minor"/>
    </font>
    <font>
      <b/>
      <sz val="11"/>
      <color rgb="FFFF0000"/>
      <name val="Arial"/>
      <family val="2"/>
      <scheme val="minor"/>
    </font>
    <font>
      <sz val="8"/>
      <name val="Arial"/>
      <family val="2"/>
      <scheme val="minor"/>
    </font>
    <font>
      <b/>
      <sz val="12"/>
      <color theme="0"/>
      <name val="Arial"/>
      <family val="2"/>
      <scheme val="minor"/>
    </font>
    <font>
      <b/>
      <sz val="12"/>
      <color theme="1"/>
      <name val="Arial"/>
      <family val="2"/>
      <scheme val="minor"/>
    </font>
    <font>
      <sz val="12"/>
      <color theme="0"/>
      <name val="Arial"/>
      <family val="2"/>
      <scheme val="minor"/>
    </font>
    <font>
      <sz val="11"/>
      <color rgb="FF000000"/>
      <name val="Arial"/>
      <family val="2"/>
      <scheme val="minor"/>
    </font>
    <font>
      <b/>
      <sz val="12"/>
      <color theme="2"/>
      <name val="Arial"/>
      <family val="2"/>
      <scheme val="minor"/>
    </font>
    <font>
      <b/>
      <sz val="12"/>
      <color rgb="FF002657"/>
      <name val="Arial"/>
      <family val="2"/>
      <scheme val="minor"/>
    </font>
    <font>
      <sz val="12"/>
      <color rgb="FF002657"/>
      <name val="Arial"/>
      <family val="2"/>
      <scheme val="minor"/>
    </font>
    <font>
      <b/>
      <i/>
      <sz val="12"/>
      <color theme="1"/>
      <name val="Arial"/>
      <family val="2"/>
      <scheme val="minor"/>
    </font>
    <font>
      <i/>
      <sz val="12"/>
      <color rgb="FF002657"/>
      <name val="Arial"/>
      <family val="2"/>
      <scheme val="minor"/>
    </font>
    <font>
      <b/>
      <i/>
      <sz val="12"/>
      <color rgb="FF002657"/>
      <name val="Arial"/>
      <family val="2"/>
      <scheme val="minor"/>
    </font>
    <font>
      <b/>
      <i/>
      <sz val="11"/>
      <color rgb="FF000000"/>
      <name val="Arial"/>
      <family val="2"/>
      <scheme val="minor"/>
    </font>
    <font>
      <i/>
      <sz val="12"/>
      <color theme="1"/>
      <name val="Arial"/>
      <family val="2"/>
      <scheme val="minor"/>
    </font>
    <font>
      <sz val="12"/>
      <color theme="2"/>
      <name val="Arial"/>
      <family val="2"/>
      <scheme val="minor"/>
    </font>
    <font>
      <b/>
      <sz val="11"/>
      <color theme="2"/>
      <name val="Arial"/>
      <family val="2"/>
      <scheme val="minor"/>
    </font>
    <font>
      <b/>
      <i/>
      <sz val="11"/>
      <color theme="2"/>
      <name val="Arial"/>
      <family val="2"/>
      <scheme val="minor"/>
    </font>
  </fonts>
  <fills count="16">
    <fill>
      <patternFill patternType="none"/>
    </fill>
    <fill>
      <patternFill patternType="gray125"/>
    </fill>
    <fill>
      <patternFill patternType="solid">
        <fgColor theme="4"/>
        <bgColor indexed="64"/>
      </patternFill>
    </fill>
    <fill>
      <patternFill patternType="solid">
        <fgColor theme="5" tint="0.79998168889431442"/>
        <bgColor indexed="64"/>
      </patternFill>
    </fill>
    <fill>
      <patternFill patternType="solid">
        <fgColor theme="5" tint="0.39997558519241921"/>
        <bgColor indexed="64"/>
      </patternFill>
    </fill>
    <fill>
      <patternFill patternType="solid">
        <fgColor theme="2"/>
        <bgColor indexed="64"/>
      </patternFill>
    </fill>
    <fill>
      <patternFill patternType="solid">
        <fgColor theme="7" tint="0.79998168889431442"/>
        <bgColor indexed="64"/>
      </patternFill>
    </fill>
    <fill>
      <patternFill patternType="solid">
        <fgColor rgb="FFFFB366"/>
        <bgColor rgb="FF000000"/>
      </patternFill>
    </fill>
    <fill>
      <patternFill patternType="solid">
        <fgColor rgb="FFFFF9D2"/>
        <bgColor rgb="FF000000"/>
      </patternFill>
    </fill>
    <fill>
      <patternFill patternType="solid">
        <fgColor rgb="FFD9D9D9"/>
        <bgColor rgb="FF000000"/>
      </patternFill>
    </fill>
    <fill>
      <patternFill patternType="solid">
        <fgColor rgb="FF99EBFF"/>
        <bgColor rgb="FF000000"/>
      </patternFill>
    </fill>
    <fill>
      <patternFill patternType="solid">
        <fgColor theme="6"/>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2" tint="-0.14999847407452621"/>
        <bgColor indexed="64"/>
      </patternFill>
    </fill>
    <fill>
      <patternFill patternType="solid">
        <fgColor theme="0" tint="-0.14999847407452621"/>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s>
  <cellStyleXfs count="6">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cellStyleXfs>
  <cellXfs count="253">
    <xf numFmtId="0" fontId="0" fillId="0" borderId="0" xfId="0"/>
    <xf numFmtId="0" fontId="3" fillId="2" borderId="0" xfId="3" applyFont="1" applyFill="1"/>
    <xf numFmtId="0" fontId="4" fillId="2" borderId="0" xfId="3" applyFont="1" applyFill="1"/>
    <xf numFmtId="0" fontId="5" fillId="0" borderId="0" xfId="3" applyFont="1"/>
    <xf numFmtId="0" fontId="6" fillId="0" borderId="0" xfId="3" applyFont="1"/>
    <xf numFmtId="0" fontId="7" fillId="0" borderId="0" xfId="3" applyFont="1"/>
    <xf numFmtId="0" fontId="8" fillId="0" borderId="0" xfId="3" applyFont="1"/>
    <xf numFmtId="0" fontId="10" fillId="0" borderId="0" xfId="3" applyFont="1"/>
    <xf numFmtId="0" fontId="11" fillId="2" borderId="0" xfId="3" applyFont="1" applyFill="1"/>
    <xf numFmtId="0" fontId="12" fillId="0" borderId="0" xfId="3" applyFont="1"/>
    <xf numFmtId="0" fontId="13" fillId="0" borderId="0" xfId="3" applyFont="1"/>
    <xf numFmtId="0" fontId="12" fillId="0" borderId="10" xfId="3" applyFont="1" applyBorder="1" applyAlignment="1">
      <alignment horizontal="left" vertical="center" wrapText="1"/>
    </xf>
    <xf numFmtId="0" fontId="12" fillId="0" borderId="0" xfId="3" applyFont="1" applyAlignment="1">
      <alignment horizontal="left" vertical="center" wrapText="1"/>
    </xf>
    <xf numFmtId="0" fontId="12" fillId="0" borderId="17" xfId="3" applyFont="1" applyBorder="1" applyAlignment="1">
      <alignment horizontal="left" vertical="center" wrapText="1"/>
    </xf>
    <xf numFmtId="0" fontId="12" fillId="0" borderId="9" xfId="3" applyFont="1" applyBorder="1" applyAlignment="1">
      <alignment wrapText="1"/>
    </xf>
    <xf numFmtId="0" fontId="12" fillId="0" borderId="15" xfId="3" applyFont="1" applyBorder="1" applyAlignment="1">
      <alignment wrapText="1"/>
    </xf>
    <xf numFmtId="0" fontId="12" fillId="0" borderId="15" xfId="3" applyFont="1" applyBorder="1" applyAlignment="1">
      <alignment horizontal="left" vertical="center" wrapText="1"/>
    </xf>
    <xf numFmtId="0" fontId="12" fillId="0" borderId="16" xfId="3" applyFont="1" applyBorder="1" applyAlignment="1">
      <alignment wrapText="1"/>
    </xf>
    <xf numFmtId="0" fontId="15" fillId="0" borderId="0" xfId="3" applyFont="1"/>
    <xf numFmtId="0" fontId="12" fillId="0" borderId="15" xfId="3" applyFont="1" applyBorder="1"/>
    <xf numFmtId="0" fontId="12" fillId="0" borderId="22" xfId="3" applyFont="1" applyBorder="1" applyAlignment="1">
      <alignment wrapText="1"/>
    </xf>
    <xf numFmtId="0" fontId="12" fillId="0" borderId="0" xfId="3" applyFont="1" applyAlignment="1">
      <alignment wrapText="1"/>
    </xf>
    <xf numFmtId="9" fontId="15" fillId="0" borderId="0" xfId="3" quotePrefix="1" applyNumberFormat="1" applyFont="1" applyAlignment="1">
      <alignment wrapText="1"/>
    </xf>
    <xf numFmtId="9" fontId="12" fillId="0" borderId="0" xfId="3" applyNumberFormat="1" applyFont="1"/>
    <xf numFmtId="0" fontId="16" fillId="0" borderId="0" xfId="3" applyFont="1"/>
    <xf numFmtId="9" fontId="15" fillId="0" borderId="0" xfId="3" applyNumberFormat="1" applyFont="1"/>
    <xf numFmtId="0" fontId="14" fillId="0" borderId="0" xfId="3" applyFont="1"/>
    <xf numFmtId="0" fontId="6" fillId="0" borderId="0" xfId="3" applyFont="1" applyAlignment="1">
      <alignment vertical="center"/>
    </xf>
    <xf numFmtId="0" fontId="6" fillId="0" borderId="0" xfId="3" applyFont="1" applyAlignment="1">
      <alignment vertical="center" wrapText="1"/>
    </xf>
    <xf numFmtId="0" fontId="7" fillId="0" borderId="0" xfId="3" applyFont="1" applyAlignment="1">
      <alignment wrapText="1"/>
    </xf>
    <xf numFmtId="0" fontId="6" fillId="3" borderId="0" xfId="3" applyFont="1" applyFill="1" applyAlignment="1">
      <alignment wrapText="1"/>
    </xf>
    <xf numFmtId="169" fontId="6" fillId="3" borderId="0" xfId="4" applyNumberFormat="1" applyFont="1" applyFill="1"/>
    <xf numFmtId="169" fontId="16" fillId="3" borderId="0" xfId="4" applyNumberFormat="1" applyFont="1" applyFill="1" applyAlignment="1">
      <alignment wrapText="1"/>
    </xf>
    <xf numFmtId="0" fontId="7" fillId="0" borderId="0" xfId="3" applyFont="1" applyAlignment="1">
      <alignment horizontal="center" wrapText="1"/>
    </xf>
    <xf numFmtId="0" fontId="6" fillId="4" borderId="0" xfId="3" applyFont="1" applyFill="1" applyAlignment="1">
      <alignment wrapText="1"/>
    </xf>
    <xf numFmtId="169" fontId="6" fillId="4" borderId="0" xfId="4" applyNumberFormat="1" applyFont="1" applyFill="1"/>
    <xf numFmtId="169" fontId="6" fillId="4" borderId="0" xfId="4" applyNumberFormat="1" applyFont="1" applyFill="1" applyAlignment="1">
      <alignment wrapText="1"/>
    </xf>
    <xf numFmtId="0" fontId="6" fillId="0" borderId="0" xfId="3" applyFont="1" applyAlignment="1">
      <alignment wrapText="1"/>
    </xf>
    <xf numFmtId="0" fontId="12" fillId="0" borderId="9" xfId="3" applyFont="1" applyBorder="1"/>
    <xf numFmtId="0" fontId="12" fillId="0" borderId="17" xfId="3" applyFont="1" applyBorder="1"/>
    <xf numFmtId="0" fontId="17" fillId="0" borderId="0" xfId="3" applyFont="1"/>
    <xf numFmtId="9" fontId="16" fillId="0" borderId="0" xfId="5" applyFont="1" applyBorder="1"/>
    <xf numFmtId="0" fontId="14" fillId="0" borderId="10" xfId="3" applyFont="1" applyBorder="1" applyAlignment="1">
      <alignment horizontal="center" vertical="center" wrapText="1"/>
    </xf>
    <xf numFmtId="9" fontId="7" fillId="0" borderId="0" xfId="5" applyFont="1" applyBorder="1"/>
    <xf numFmtId="0" fontId="18" fillId="0" borderId="0" xfId="3" applyFont="1"/>
    <xf numFmtId="169" fontId="16" fillId="4" borderId="0" xfId="4" applyNumberFormat="1" applyFont="1" applyFill="1" applyAlignment="1">
      <alignment wrapText="1"/>
    </xf>
    <xf numFmtId="169" fontId="6" fillId="3" borderId="0" xfId="4" applyNumberFormat="1" applyFont="1" applyFill="1" applyAlignment="1">
      <alignment wrapText="1"/>
    </xf>
    <xf numFmtId="169" fontId="7" fillId="0" borderId="0" xfId="4" applyNumberFormat="1" applyFont="1" applyFill="1" applyAlignment="1">
      <alignment wrapText="1"/>
    </xf>
    <xf numFmtId="169" fontId="2" fillId="0" borderId="0" xfId="4" applyNumberFormat="1" applyFont="1" applyFill="1" applyAlignment="1">
      <alignment wrapText="1"/>
    </xf>
    <xf numFmtId="0" fontId="12" fillId="0" borderId="12" xfId="3" applyFont="1" applyBorder="1"/>
    <xf numFmtId="0" fontId="4" fillId="0" borderId="0" xfId="3" applyFont="1"/>
    <xf numFmtId="0" fontId="14" fillId="0" borderId="0" xfId="3" applyFont="1" applyAlignment="1">
      <alignment horizontal="center"/>
    </xf>
    <xf numFmtId="0" fontId="22" fillId="2" borderId="0" xfId="0" applyFont="1" applyFill="1"/>
    <xf numFmtId="0" fontId="23" fillId="0" borderId="1" xfId="0" applyFont="1" applyBorder="1"/>
    <xf numFmtId="0" fontId="23" fillId="10" borderId="1" xfId="0" applyFont="1" applyFill="1" applyBorder="1"/>
    <xf numFmtId="0" fontId="23" fillId="9" borderId="1" xfId="0" applyFont="1" applyFill="1" applyBorder="1"/>
    <xf numFmtId="0" fontId="23" fillId="8" borderId="1" xfId="0" applyFont="1" applyFill="1" applyBorder="1"/>
    <xf numFmtId="0" fontId="23" fillId="7" borderId="1" xfId="0" applyFont="1" applyFill="1" applyBorder="1"/>
    <xf numFmtId="0" fontId="24" fillId="2" borderId="0" xfId="0" applyFont="1" applyFill="1" applyAlignment="1">
      <alignment horizontal="center" vertical="center"/>
    </xf>
    <xf numFmtId="0" fontId="25" fillId="0" borderId="1" xfId="0" applyFont="1" applyBorder="1" applyAlignment="1">
      <alignment horizontal="center" vertical="center" wrapText="1"/>
    </xf>
    <xf numFmtId="0" fontId="26" fillId="0" borderId="6" xfId="0" applyFont="1" applyBorder="1" applyAlignment="1">
      <alignment horizontal="left" vertical="center" wrapText="1"/>
    </xf>
    <xf numFmtId="167" fontId="26" fillId="0" borderId="7" xfId="0" applyNumberFormat="1" applyFont="1" applyBorder="1" applyAlignment="1">
      <alignment horizontal="center" vertical="center" wrapText="1"/>
    </xf>
    <xf numFmtId="0" fontId="25" fillId="0" borderId="6" xfId="0" applyFont="1" applyBorder="1" applyAlignment="1">
      <alignment horizontal="left" vertical="center" wrapText="1"/>
    </xf>
    <xf numFmtId="0" fontId="25" fillId="0" borderId="1" xfId="1" applyNumberFormat="1" applyFont="1" applyBorder="1" applyAlignment="1">
      <alignment horizontal="center" vertical="center" wrapText="1"/>
    </xf>
    <xf numFmtId="0" fontId="0" fillId="0" borderId="0" xfId="0" applyAlignment="1">
      <alignment vertical="center" wrapText="1"/>
    </xf>
    <xf numFmtId="0" fontId="0" fillId="0" borderId="0" xfId="0" applyAlignment="1">
      <alignment vertical="center"/>
    </xf>
    <xf numFmtId="0" fontId="0" fillId="11" borderId="1" xfId="0" applyFill="1" applyBorder="1" applyAlignment="1">
      <alignment horizontal="center" vertical="center"/>
    </xf>
    <xf numFmtId="0" fontId="22" fillId="2" borderId="0" xfId="0" applyFont="1" applyFill="1" applyAlignment="1">
      <alignment vertical="center" wrapText="1"/>
    </xf>
    <xf numFmtId="0" fontId="0" fillId="0" borderId="0" xfId="0" applyAlignment="1">
      <alignment horizontal="center" vertical="center"/>
    </xf>
    <xf numFmtId="0" fontId="0" fillId="0" borderId="8" xfId="0" applyBorder="1" applyAlignment="1">
      <alignment vertical="center"/>
    </xf>
    <xf numFmtId="9" fontId="0" fillId="12" borderId="0" xfId="0" applyNumberFormat="1" applyFill="1" applyAlignment="1">
      <alignment horizontal="center" vertical="center"/>
    </xf>
    <xf numFmtId="167" fontId="26" fillId="11" borderId="7" xfId="0" applyNumberFormat="1" applyFont="1" applyFill="1" applyBorder="1" applyAlignment="1">
      <alignment horizontal="center" vertical="center" wrapText="1"/>
    </xf>
    <xf numFmtId="0" fontId="22" fillId="2" borderId="0" xfId="0" applyFont="1" applyFill="1" applyAlignment="1">
      <alignment vertical="center"/>
    </xf>
    <xf numFmtId="0" fontId="0" fillId="0" borderId="26" xfId="0" applyBorder="1" applyAlignment="1">
      <alignment vertical="center"/>
    </xf>
    <xf numFmtId="0" fontId="0" fillId="0" borderId="27" xfId="0" applyBorder="1" applyAlignment="1">
      <alignment vertical="center"/>
    </xf>
    <xf numFmtId="168" fontId="0" fillId="6" borderId="5" xfId="0" applyNumberFormat="1" applyFill="1" applyBorder="1" applyAlignment="1">
      <alignment horizontal="center" vertical="center"/>
    </xf>
    <xf numFmtId="168" fontId="0" fillId="0" borderId="6" xfId="0" applyNumberFormat="1" applyBorder="1" applyAlignment="1">
      <alignment horizontal="center" vertical="center"/>
    </xf>
    <xf numFmtId="0" fontId="0" fillId="0" borderId="3" xfId="0" applyBorder="1" applyAlignment="1">
      <alignment vertical="center"/>
    </xf>
    <xf numFmtId="0" fontId="0" fillId="6" borderId="1" xfId="0" applyFill="1" applyBorder="1" applyAlignment="1">
      <alignment horizontal="center" vertical="center"/>
    </xf>
    <xf numFmtId="0" fontId="27" fillId="0" borderId="0" xfId="0" applyFont="1" applyAlignment="1">
      <alignment vertical="center"/>
    </xf>
    <xf numFmtId="168" fontId="26" fillId="5" borderId="1" xfId="1" applyNumberFormat="1" applyFont="1" applyFill="1" applyBorder="1" applyAlignment="1">
      <alignment horizontal="center" vertical="center" wrapText="1"/>
    </xf>
    <xf numFmtId="1" fontId="26" fillId="0" borderId="1" xfId="1" applyNumberFormat="1" applyFont="1" applyBorder="1" applyAlignment="1">
      <alignment horizontal="center" vertical="center" wrapText="1"/>
    </xf>
    <xf numFmtId="168" fontId="21" fillId="0" borderId="1" xfId="1" applyNumberFormat="1" applyFont="1" applyFill="1" applyBorder="1" applyAlignment="1">
      <alignment horizontal="center" vertical="center" wrapText="1"/>
    </xf>
    <xf numFmtId="9" fontId="26" fillId="11" borderId="7" xfId="0" applyNumberFormat="1" applyFont="1" applyFill="1" applyBorder="1" applyAlignment="1">
      <alignment horizontal="center" vertical="center" wrapText="1"/>
    </xf>
    <xf numFmtId="0" fontId="28" fillId="0" borderId="6" xfId="0" applyFont="1" applyBorder="1" applyAlignment="1">
      <alignment horizontal="left" vertical="center" wrapText="1" indent="2"/>
    </xf>
    <xf numFmtId="167" fontId="28" fillId="0" borderId="7" xfId="0" applyNumberFormat="1" applyFont="1" applyBorder="1" applyAlignment="1">
      <alignment horizontal="center" vertical="center" wrapText="1"/>
    </xf>
    <xf numFmtId="167" fontId="28" fillId="11" borderId="7" xfId="0" applyNumberFormat="1" applyFont="1" applyFill="1" applyBorder="1" applyAlignment="1">
      <alignment horizontal="center" vertical="center" wrapText="1"/>
    </xf>
    <xf numFmtId="1" fontId="28" fillId="0" borderId="1" xfId="1" applyNumberFormat="1" applyFont="1" applyBorder="1" applyAlignment="1">
      <alignment horizontal="center" vertical="center" wrapText="1"/>
    </xf>
    <xf numFmtId="0" fontId="28" fillId="5" borderId="1" xfId="1" applyNumberFormat="1" applyFont="1" applyFill="1" applyBorder="1" applyAlignment="1">
      <alignment horizontal="center" vertical="center" wrapText="1"/>
    </xf>
    <xf numFmtId="3" fontId="12" fillId="0" borderId="0" xfId="1" applyNumberFormat="1" applyFont="1" applyFill="1" applyAlignment="1">
      <alignment horizontal="center" vertical="center" wrapText="1"/>
    </xf>
    <xf numFmtId="3" fontId="12" fillId="0" borderId="0" xfId="3" applyNumberFormat="1" applyFont="1" applyAlignment="1">
      <alignment horizontal="center" vertical="center" wrapText="1"/>
    </xf>
    <xf numFmtId="3" fontId="2" fillId="0" borderId="0" xfId="1" applyNumberFormat="1" applyFont="1" applyFill="1" applyBorder="1" applyAlignment="1">
      <alignment horizontal="center"/>
    </xf>
    <xf numFmtId="1" fontId="2" fillId="0" borderId="17" xfId="1" applyNumberFormat="1" applyFont="1" applyBorder="1" applyAlignment="1">
      <alignment horizontal="center"/>
    </xf>
    <xf numFmtId="0" fontId="6" fillId="0" borderId="22" xfId="3" applyFont="1" applyBorder="1" applyAlignment="1">
      <alignment horizontal="center"/>
    </xf>
    <xf numFmtId="0" fontId="6" fillId="0" borderId="23" xfId="3" applyFont="1" applyBorder="1" applyAlignment="1">
      <alignment horizontal="center"/>
    </xf>
    <xf numFmtId="0" fontId="6" fillId="0" borderId="24" xfId="3" applyFont="1" applyBorder="1" applyAlignment="1">
      <alignment horizontal="center"/>
    </xf>
    <xf numFmtId="3" fontId="12" fillId="0" borderId="10" xfId="3" applyNumberFormat="1" applyFont="1" applyBorder="1" applyAlignment="1">
      <alignment horizontal="center" vertical="center" wrapText="1"/>
    </xf>
    <xf numFmtId="3" fontId="12" fillId="0" borderId="0" xfId="3" applyNumberFormat="1" applyFont="1" applyAlignment="1">
      <alignment horizontal="center"/>
    </xf>
    <xf numFmtId="3" fontId="12" fillId="0" borderId="0" xfId="1" applyNumberFormat="1" applyFont="1" applyFill="1" applyAlignment="1">
      <alignment horizontal="center"/>
    </xf>
    <xf numFmtId="3" fontId="12" fillId="0" borderId="17" xfId="1" applyNumberFormat="1" applyFont="1" applyFill="1" applyBorder="1" applyAlignment="1">
      <alignment horizontal="center"/>
    </xf>
    <xf numFmtId="3" fontId="12" fillId="0" borderId="17" xfId="1" applyNumberFormat="1" applyFont="1" applyBorder="1" applyAlignment="1">
      <alignment horizontal="center"/>
    </xf>
    <xf numFmtId="171" fontId="12" fillId="0" borderId="10" xfId="3" applyNumberFormat="1" applyFont="1" applyBorder="1" applyAlignment="1">
      <alignment horizontal="center" vertical="center" wrapText="1"/>
    </xf>
    <xf numFmtId="171" fontId="12" fillId="5" borderId="0" xfId="3" applyNumberFormat="1" applyFont="1" applyFill="1" applyAlignment="1">
      <alignment horizontal="center" vertical="center" wrapText="1"/>
    </xf>
    <xf numFmtId="171" fontId="12" fillId="0" borderId="0" xfId="3" applyNumberFormat="1" applyFont="1" applyAlignment="1">
      <alignment horizontal="center" vertical="center" wrapText="1"/>
    </xf>
    <xf numFmtId="171" fontId="12" fillId="0" borderId="0" xfId="3" applyNumberFormat="1" applyFont="1" applyAlignment="1">
      <alignment horizontal="center"/>
    </xf>
    <xf numFmtId="171" fontId="12" fillId="6" borderId="0" xfId="3" applyNumberFormat="1" applyFont="1" applyFill="1" applyAlignment="1">
      <alignment horizontal="center" vertical="center" wrapText="1"/>
    </xf>
    <xf numFmtId="3" fontId="2" fillId="6" borderId="0" xfId="1" applyNumberFormat="1" applyFont="1" applyFill="1" applyBorder="1" applyAlignment="1">
      <alignment horizontal="center"/>
    </xf>
    <xf numFmtId="3" fontId="12" fillId="6" borderId="0" xfId="3" applyNumberFormat="1" applyFont="1" applyFill="1" applyAlignment="1">
      <alignment horizontal="center" vertical="center" wrapText="1"/>
    </xf>
    <xf numFmtId="0" fontId="29" fillId="0" borderId="6" xfId="0" applyFont="1" applyBorder="1" applyAlignment="1">
      <alignment horizontal="left" vertical="center" wrapText="1" indent="2"/>
    </xf>
    <xf numFmtId="168" fontId="29" fillId="5" borderId="1" xfId="1" applyNumberFormat="1" applyFont="1" applyFill="1" applyBorder="1" applyAlignment="1">
      <alignment horizontal="center" vertical="center" wrapText="1"/>
    </xf>
    <xf numFmtId="1" fontId="29" fillId="0" borderId="1" xfId="1" applyNumberFormat="1" applyFont="1" applyBorder="1" applyAlignment="1">
      <alignment horizontal="center" vertical="center" wrapText="1"/>
    </xf>
    <xf numFmtId="3" fontId="14" fillId="13" borderId="0" xfId="1" applyNumberFormat="1" applyFont="1" applyFill="1" applyAlignment="1">
      <alignment horizontal="center"/>
    </xf>
    <xf numFmtId="3" fontId="14" fillId="13" borderId="10" xfId="3" applyNumberFormat="1" applyFont="1" applyFill="1" applyBorder="1" applyAlignment="1">
      <alignment horizontal="center"/>
    </xf>
    <xf numFmtId="0" fontId="3" fillId="0" borderId="0" xfId="3" applyFont="1"/>
    <xf numFmtId="0" fontId="11" fillId="0" borderId="0" xfId="3" applyFont="1"/>
    <xf numFmtId="9" fontId="2" fillId="0" borderId="17" xfId="2" applyFont="1" applyFill="1" applyBorder="1" applyAlignment="1">
      <alignment horizontal="center"/>
    </xf>
    <xf numFmtId="171" fontId="12" fillId="0" borderId="10" xfId="3" applyNumberFormat="1" applyFont="1" applyBorder="1" applyAlignment="1">
      <alignment horizontal="center"/>
    </xf>
    <xf numFmtId="9" fontId="6" fillId="13" borderId="17" xfId="3" applyNumberFormat="1" applyFont="1" applyFill="1" applyBorder="1" applyAlignment="1">
      <alignment horizontal="center"/>
    </xf>
    <xf numFmtId="9" fontId="12" fillId="6" borderId="24" xfId="3" applyNumberFormat="1" applyFont="1" applyFill="1" applyBorder="1"/>
    <xf numFmtId="9" fontId="14" fillId="13" borderId="11" xfId="3" applyNumberFormat="1" applyFont="1" applyFill="1" applyBorder="1" applyAlignment="1">
      <alignment horizontal="center"/>
    </xf>
    <xf numFmtId="9" fontId="14" fillId="13" borderId="14" xfId="3" applyNumberFormat="1" applyFont="1" applyFill="1" applyBorder="1" applyAlignment="1">
      <alignment horizontal="center"/>
    </xf>
    <xf numFmtId="9" fontId="2" fillId="5" borderId="0" xfId="5" applyFont="1" applyFill="1" applyBorder="1" applyAlignment="1">
      <alignment horizontal="center"/>
    </xf>
    <xf numFmtId="9" fontId="6" fillId="13" borderId="0" xfId="5" applyFont="1" applyFill="1" applyBorder="1" applyAlignment="1">
      <alignment horizontal="center"/>
    </xf>
    <xf numFmtId="9" fontId="2" fillId="5" borderId="2" xfId="5" applyFont="1" applyFill="1" applyBorder="1" applyAlignment="1">
      <alignment horizontal="center"/>
    </xf>
    <xf numFmtId="9" fontId="7" fillId="0" borderId="17" xfId="5" applyFont="1" applyBorder="1" applyAlignment="1">
      <alignment horizontal="center"/>
    </xf>
    <xf numFmtId="0" fontId="2" fillId="0" borderId="14" xfId="1" applyNumberFormat="1" applyFont="1" applyFill="1" applyBorder="1" applyAlignment="1">
      <alignment horizontal="center"/>
    </xf>
    <xf numFmtId="0" fontId="2" fillId="0" borderId="13" xfId="1" applyNumberFormat="1" applyFont="1" applyFill="1" applyBorder="1" applyAlignment="1">
      <alignment horizontal="center"/>
    </xf>
    <xf numFmtId="168" fontId="2" fillId="0" borderId="14" xfId="1" applyNumberFormat="1" applyFont="1" applyFill="1" applyBorder="1" applyAlignment="1">
      <alignment horizontal="center"/>
    </xf>
    <xf numFmtId="9" fontId="12" fillId="13" borderId="18" xfId="3" applyNumberFormat="1" applyFont="1" applyFill="1" applyBorder="1"/>
    <xf numFmtId="167" fontId="12" fillId="13" borderId="11" xfId="3" applyNumberFormat="1" applyFont="1" applyFill="1" applyBorder="1" applyAlignment="1">
      <alignment wrapText="1"/>
    </xf>
    <xf numFmtId="169" fontId="12" fillId="13" borderId="14" xfId="4" applyNumberFormat="1" applyFont="1" applyFill="1" applyBorder="1" applyAlignment="1">
      <alignment wrapText="1"/>
    </xf>
    <xf numFmtId="169" fontId="12" fillId="13" borderId="18" xfId="4" applyNumberFormat="1" applyFont="1" applyFill="1" applyBorder="1" applyAlignment="1">
      <alignment wrapText="1"/>
    </xf>
    <xf numFmtId="9" fontId="2" fillId="5" borderId="0" xfId="2" applyFont="1" applyFill="1" applyBorder="1" applyAlignment="1">
      <alignment horizontal="center"/>
    </xf>
    <xf numFmtId="9" fontId="2" fillId="5" borderId="2" xfId="2" applyFont="1" applyFill="1" applyBorder="1" applyAlignment="1">
      <alignment horizontal="center"/>
    </xf>
    <xf numFmtId="9" fontId="6" fillId="13" borderId="0" xfId="2" applyFont="1" applyFill="1" applyBorder="1" applyAlignment="1">
      <alignment horizontal="center"/>
    </xf>
    <xf numFmtId="9" fontId="6" fillId="13" borderId="2" xfId="2" applyFont="1" applyFill="1" applyBorder="1" applyAlignment="1">
      <alignment horizontal="center"/>
    </xf>
    <xf numFmtId="9" fontId="2" fillId="0" borderId="17" xfId="2" applyFont="1" applyBorder="1" applyAlignment="1">
      <alignment horizontal="center"/>
    </xf>
    <xf numFmtId="2" fontId="6" fillId="14" borderId="18" xfId="1" applyNumberFormat="1" applyFont="1" applyFill="1" applyBorder="1" applyAlignment="1">
      <alignment horizontal="center"/>
    </xf>
    <xf numFmtId="9" fontId="7" fillId="0" borderId="0" xfId="5" applyFont="1" applyBorder="1" applyAlignment="1">
      <alignment horizontal="center"/>
    </xf>
    <xf numFmtId="168" fontId="16" fillId="0" borderId="0" xfId="1" applyNumberFormat="1" applyFont="1" applyBorder="1" applyAlignment="1">
      <alignment horizontal="center"/>
    </xf>
    <xf numFmtId="2" fontId="6" fillId="0" borderId="0" xfId="1" applyNumberFormat="1" applyFont="1" applyFill="1" applyBorder="1" applyAlignment="1">
      <alignment horizontal="center"/>
    </xf>
    <xf numFmtId="9" fontId="7" fillId="0" borderId="0" xfId="2" applyFont="1" applyBorder="1" applyAlignment="1">
      <alignment horizontal="center"/>
    </xf>
    <xf numFmtId="9" fontId="2" fillId="0" borderId="0" xfId="2" applyFont="1" applyBorder="1" applyAlignment="1">
      <alignment horizontal="center"/>
    </xf>
    <xf numFmtId="168" fontId="6" fillId="0" borderId="18" xfId="1" applyNumberFormat="1" applyFont="1" applyBorder="1" applyAlignment="1">
      <alignment horizontal="center"/>
    </xf>
    <xf numFmtId="0" fontId="14" fillId="0" borderId="16" xfId="3" applyFont="1" applyBorder="1"/>
    <xf numFmtId="9" fontId="6" fillId="13" borderId="2" xfId="5" applyFont="1" applyFill="1" applyBorder="1" applyAlignment="1">
      <alignment horizontal="center"/>
    </xf>
    <xf numFmtId="168" fontId="2" fillId="0" borderId="13" xfId="1" applyNumberFormat="1" applyFont="1" applyFill="1" applyBorder="1" applyAlignment="1">
      <alignment horizontal="center"/>
    </xf>
    <xf numFmtId="0" fontId="30" fillId="0" borderId="0" xfId="0" applyFont="1"/>
    <xf numFmtId="0" fontId="3" fillId="0" borderId="0" xfId="3" applyFont="1" applyAlignment="1">
      <alignment horizontal="center" vertical="center"/>
    </xf>
    <xf numFmtId="9" fontId="12" fillId="6" borderId="14" xfId="3" applyNumberFormat="1" applyFont="1" applyFill="1" applyBorder="1" applyAlignment="1">
      <alignment wrapText="1"/>
    </xf>
    <xf numFmtId="0" fontId="2" fillId="0" borderId="0" xfId="3" applyAlignment="1">
      <alignment wrapText="1"/>
    </xf>
    <xf numFmtId="169" fontId="2" fillId="0" borderId="0" xfId="4" applyNumberFormat="1" applyFont="1" applyFill="1"/>
    <xf numFmtId="169" fontId="2" fillId="0" borderId="0" xfId="4" applyNumberFormat="1" applyFont="1"/>
    <xf numFmtId="0" fontId="16" fillId="0" borderId="0" xfId="3" applyFont="1" applyAlignment="1">
      <alignment vertical="center" wrapText="1"/>
    </xf>
    <xf numFmtId="168" fontId="16" fillId="0" borderId="0" xfId="3" applyNumberFormat="1" applyFont="1" applyAlignment="1">
      <alignment vertical="center" wrapText="1"/>
    </xf>
    <xf numFmtId="3" fontId="14" fillId="13" borderId="0" xfId="3" applyNumberFormat="1" applyFont="1" applyFill="1" applyAlignment="1">
      <alignment horizontal="center"/>
    </xf>
    <xf numFmtId="9" fontId="14" fillId="13" borderId="14" xfId="3" applyNumberFormat="1" applyFont="1" applyFill="1" applyBorder="1"/>
    <xf numFmtId="166" fontId="7" fillId="0" borderId="0" xfId="1" applyNumberFormat="1" applyFont="1" applyAlignment="1">
      <alignment wrapText="1"/>
    </xf>
    <xf numFmtId="0" fontId="2" fillId="0" borderId="0" xfId="3"/>
    <xf numFmtId="0" fontId="2" fillId="2" borderId="0" xfId="3" applyFill="1"/>
    <xf numFmtId="9" fontId="2" fillId="0" borderId="0" xfId="3" applyNumberFormat="1"/>
    <xf numFmtId="0" fontId="2" fillId="0" borderId="9" xfId="3" applyBorder="1"/>
    <xf numFmtId="0" fontId="2" fillId="6" borderId="10" xfId="3" applyFill="1" applyBorder="1" applyAlignment="1">
      <alignment horizontal="center"/>
    </xf>
    <xf numFmtId="0" fontId="2" fillId="0" borderId="11" xfId="3" applyBorder="1" applyAlignment="1">
      <alignment horizontal="center"/>
    </xf>
    <xf numFmtId="0" fontId="2" fillId="0" borderId="15" xfId="3" applyBorder="1"/>
    <xf numFmtId="0" fontId="2" fillId="6" borderId="0" xfId="3" applyFill="1" applyAlignment="1">
      <alignment horizontal="center"/>
    </xf>
    <xf numFmtId="1" fontId="2" fillId="0" borderId="14" xfId="3" applyNumberFormat="1" applyBorder="1" applyAlignment="1">
      <alignment horizontal="center"/>
    </xf>
    <xf numFmtId="0" fontId="2" fillId="0" borderId="0" xfId="3" applyAlignment="1">
      <alignment horizontal="center"/>
    </xf>
    <xf numFmtId="0" fontId="2" fillId="0" borderId="16" xfId="3" applyBorder="1"/>
    <xf numFmtId="0" fontId="2" fillId="0" borderId="17" xfId="3" applyBorder="1" applyAlignment="1">
      <alignment horizontal="center"/>
    </xf>
    <xf numFmtId="0" fontId="2" fillId="0" borderId="18" xfId="3" applyBorder="1"/>
    <xf numFmtId="3" fontId="2" fillId="0" borderId="17" xfId="3" applyNumberFormat="1" applyBorder="1" applyAlignment="1">
      <alignment horizontal="center"/>
    </xf>
    <xf numFmtId="3" fontId="2" fillId="0" borderId="0" xfId="3" applyNumberFormat="1" applyAlignment="1">
      <alignment horizontal="center"/>
    </xf>
    <xf numFmtId="171" fontId="2" fillId="0" borderId="14" xfId="3" applyNumberFormat="1" applyBorder="1" applyAlignment="1">
      <alignment horizontal="center"/>
    </xf>
    <xf numFmtId="0" fontId="2" fillId="0" borderId="16" xfId="3" applyBorder="1" applyAlignment="1">
      <alignment horizontal="center"/>
    </xf>
    <xf numFmtId="0" fontId="2" fillId="0" borderId="18" xfId="3" applyBorder="1" applyAlignment="1">
      <alignment horizontal="center"/>
    </xf>
    <xf numFmtId="0" fontId="2" fillId="0" borderId="25" xfId="3" applyBorder="1"/>
    <xf numFmtId="1" fontId="2" fillId="0" borderId="0" xfId="3" applyNumberFormat="1"/>
    <xf numFmtId="0" fontId="2" fillId="0" borderId="16" xfId="3" applyBorder="1" applyAlignment="1">
      <alignment wrapText="1"/>
    </xf>
    <xf numFmtId="0" fontId="2" fillId="0" borderId="2" xfId="3" applyBorder="1" applyAlignment="1">
      <alignment horizontal="center" wrapText="1"/>
    </xf>
    <xf numFmtId="0" fontId="2" fillId="0" borderId="27" xfId="3" applyBorder="1" applyAlignment="1">
      <alignment horizontal="center" wrapText="1"/>
    </xf>
    <xf numFmtId="0" fontId="2" fillId="0" borderId="13" xfId="3" applyBorder="1" applyAlignment="1">
      <alignment horizontal="center" wrapText="1"/>
    </xf>
    <xf numFmtId="168" fontId="2" fillId="6" borderId="8" xfId="3" applyNumberFormat="1" applyFill="1" applyBorder="1" applyAlignment="1">
      <alignment horizontal="center"/>
    </xf>
    <xf numFmtId="168" fontId="2" fillId="6" borderId="27" xfId="3" applyNumberFormat="1" applyFill="1" applyBorder="1" applyAlignment="1">
      <alignment horizontal="center"/>
    </xf>
    <xf numFmtId="168" fontId="2" fillId="0" borderId="29" xfId="3" applyNumberFormat="1" applyBorder="1" applyAlignment="1">
      <alignment horizontal="center"/>
    </xf>
    <xf numFmtId="168" fontId="2" fillId="0" borderId="0" xfId="3" applyNumberFormat="1" applyAlignment="1">
      <alignment horizontal="center"/>
    </xf>
    <xf numFmtId="0" fontId="2" fillId="6" borderId="8" xfId="3" applyFill="1" applyBorder="1" applyAlignment="1">
      <alignment horizontal="center"/>
    </xf>
    <xf numFmtId="0" fontId="2" fillId="6" borderId="27" xfId="3" applyFill="1" applyBorder="1" applyAlignment="1">
      <alignment horizontal="center"/>
    </xf>
    <xf numFmtId="1" fontId="2" fillId="0" borderId="0" xfId="3" applyNumberFormat="1" applyAlignment="1">
      <alignment horizontal="center"/>
    </xf>
    <xf numFmtId="170" fontId="2" fillId="0" borderId="0" xfId="3" applyNumberFormat="1"/>
    <xf numFmtId="1" fontId="7" fillId="0" borderId="10" xfId="3" applyNumberFormat="1" applyFont="1" applyBorder="1" applyAlignment="1">
      <alignment horizontal="center" wrapText="1"/>
    </xf>
    <xf numFmtId="0" fontId="7" fillId="0" borderId="11" xfId="3" applyFont="1" applyBorder="1" applyAlignment="1">
      <alignment horizontal="center" wrapText="1"/>
    </xf>
    <xf numFmtId="171" fontId="15" fillId="0" borderId="10" xfId="3" applyNumberFormat="1" applyFont="1" applyBorder="1" applyAlignment="1">
      <alignment horizontal="center" vertical="center" wrapText="1"/>
    </xf>
    <xf numFmtId="3" fontId="7" fillId="0" borderId="11" xfId="3" applyNumberFormat="1" applyFont="1" applyBorder="1" applyAlignment="1">
      <alignment horizontal="center"/>
    </xf>
    <xf numFmtId="171" fontId="15" fillId="0" borderId="0" xfId="3" applyNumberFormat="1" applyFont="1" applyAlignment="1">
      <alignment horizontal="center" vertical="center" wrapText="1"/>
    </xf>
    <xf numFmtId="3" fontId="7" fillId="0" borderId="14" xfId="3" applyNumberFormat="1" applyFont="1" applyBorder="1" applyAlignment="1">
      <alignment horizontal="center"/>
    </xf>
    <xf numFmtId="3" fontId="15" fillId="0" borderId="0" xfId="3" applyNumberFormat="1" applyFont="1" applyAlignment="1">
      <alignment horizontal="center" vertical="center" wrapText="1"/>
    </xf>
    <xf numFmtId="3" fontId="17" fillId="0" borderId="0" xfId="3" applyNumberFormat="1" applyFont="1" applyAlignment="1">
      <alignment horizontal="center" vertical="center" wrapText="1"/>
    </xf>
    <xf numFmtId="3" fontId="7" fillId="0" borderId="17" xfId="3" applyNumberFormat="1" applyFont="1" applyBorder="1" applyAlignment="1">
      <alignment horizontal="center"/>
    </xf>
    <xf numFmtId="3" fontId="7" fillId="0" borderId="18" xfId="3" applyNumberFormat="1" applyFont="1" applyBorder="1" applyAlignment="1">
      <alignment horizontal="center"/>
    </xf>
    <xf numFmtId="3" fontId="7" fillId="0" borderId="10" xfId="1" applyNumberFormat="1" applyFont="1" applyBorder="1" applyAlignment="1">
      <alignment horizontal="center"/>
    </xf>
    <xf numFmtId="171" fontId="7" fillId="0" borderId="11" xfId="1" applyNumberFormat="1" applyFont="1" applyBorder="1" applyAlignment="1">
      <alignment horizontal="center"/>
    </xf>
    <xf numFmtId="171" fontId="7" fillId="0" borderId="0" xfId="3" applyNumberFormat="1" applyFont="1" applyAlignment="1">
      <alignment horizontal="center"/>
    </xf>
    <xf numFmtId="171" fontId="7" fillId="0" borderId="0" xfId="1" applyNumberFormat="1" applyFont="1" applyAlignment="1">
      <alignment horizontal="center"/>
    </xf>
    <xf numFmtId="171" fontId="7" fillId="0" borderId="14" xfId="1" applyNumberFormat="1" applyFont="1" applyBorder="1" applyAlignment="1">
      <alignment horizontal="center"/>
    </xf>
    <xf numFmtId="171" fontId="15" fillId="0" borderId="14" xfId="1" applyNumberFormat="1" applyFont="1" applyBorder="1" applyAlignment="1">
      <alignment horizontal="center"/>
    </xf>
    <xf numFmtId="171" fontId="15" fillId="0" borderId="14" xfId="5" applyNumberFormat="1" applyFont="1" applyBorder="1" applyAlignment="1">
      <alignment horizontal="center"/>
    </xf>
    <xf numFmtId="171" fontId="7" fillId="0" borderId="17" xfId="1" applyNumberFormat="1" applyFont="1" applyBorder="1" applyAlignment="1">
      <alignment horizontal="center"/>
    </xf>
    <xf numFmtId="171" fontId="7" fillId="0" borderId="18" xfId="1" applyNumberFormat="1" applyFont="1" applyBorder="1" applyAlignment="1">
      <alignment horizontal="center"/>
    </xf>
    <xf numFmtId="171" fontId="7" fillId="0" borderId="10" xfId="1" applyNumberFormat="1" applyFont="1" applyBorder="1" applyAlignment="1">
      <alignment horizontal="center"/>
    </xf>
    <xf numFmtId="171" fontId="15" fillId="0" borderId="11" xfId="1" applyNumberFormat="1" applyFont="1" applyBorder="1" applyAlignment="1">
      <alignment horizontal="center"/>
    </xf>
    <xf numFmtId="9" fontId="2" fillId="0" borderId="0" xfId="5" applyFont="1"/>
    <xf numFmtId="165" fontId="2" fillId="6" borderId="11" xfId="1" applyNumberFormat="1" applyFont="1" applyFill="1" applyBorder="1"/>
    <xf numFmtId="165" fontId="2" fillId="6" borderId="14" xfId="1" applyNumberFormat="1" applyFont="1" applyFill="1" applyBorder="1"/>
    <xf numFmtId="165" fontId="2" fillId="0" borderId="14" xfId="1" applyNumberFormat="1" applyFont="1" applyBorder="1"/>
    <xf numFmtId="9" fontId="2" fillId="6" borderId="14" xfId="5" applyFont="1" applyFill="1" applyBorder="1"/>
    <xf numFmtId="166" fontId="2" fillId="0" borderId="14" xfId="1" applyNumberFormat="1" applyFont="1" applyBorder="1"/>
    <xf numFmtId="0" fontId="31" fillId="0" borderId="0" xfId="0" applyFont="1"/>
    <xf numFmtId="0" fontId="24" fillId="2" borderId="0" xfId="0" applyFont="1" applyFill="1"/>
    <xf numFmtId="0" fontId="32" fillId="2" borderId="0" xfId="0" applyFont="1" applyFill="1"/>
    <xf numFmtId="0" fontId="0" fillId="2" borderId="0" xfId="0" applyFill="1"/>
    <xf numFmtId="0" fontId="6" fillId="15" borderId="0" xfId="3" applyFont="1" applyFill="1" applyAlignment="1">
      <alignment wrapText="1"/>
    </xf>
    <xf numFmtId="169" fontId="6" fillId="15" borderId="0" xfId="4" applyNumberFormat="1" applyFont="1" applyFill="1"/>
    <xf numFmtId="169" fontId="16" fillId="15" borderId="0" xfId="4" applyNumberFormat="1" applyFont="1" applyFill="1" applyAlignment="1">
      <alignment wrapText="1"/>
    </xf>
    <xf numFmtId="169" fontId="6" fillId="15" borderId="0" xfId="4" applyNumberFormat="1" applyFont="1" applyFill="1" applyAlignment="1">
      <alignment wrapText="1"/>
    </xf>
    <xf numFmtId="166" fontId="16" fillId="15" borderId="0" xfId="1" applyNumberFormat="1" applyFont="1" applyFill="1" applyAlignment="1">
      <alignment wrapText="1"/>
    </xf>
    <xf numFmtId="0" fontId="33" fillId="2" borderId="0" xfId="3" applyFont="1" applyFill="1" applyAlignment="1">
      <alignment wrapText="1"/>
    </xf>
    <xf numFmtId="169" fontId="33" fillId="2" borderId="0" xfId="4" applyNumberFormat="1" applyFont="1" applyFill="1"/>
    <xf numFmtId="169" fontId="34" fillId="2" borderId="0" xfId="4" applyNumberFormat="1" applyFont="1" applyFill="1" applyAlignment="1">
      <alignment wrapText="1"/>
    </xf>
    <xf numFmtId="169" fontId="33" fillId="2" borderId="0" xfId="4" applyNumberFormat="1" applyFont="1" applyFill="1" applyAlignment="1">
      <alignment wrapText="1"/>
    </xf>
    <xf numFmtId="166" fontId="34" fillId="2" borderId="0" xfId="1" applyNumberFormat="1" applyFont="1" applyFill="1" applyAlignment="1">
      <alignment wrapText="1"/>
    </xf>
    <xf numFmtId="0" fontId="21" fillId="0" borderId="0" xfId="0" applyFont="1"/>
    <xf numFmtId="0" fontId="20" fillId="2" borderId="2" xfId="0" applyFont="1" applyFill="1" applyBorder="1" applyAlignment="1">
      <alignment horizontal="center" vertical="center"/>
    </xf>
    <xf numFmtId="0" fontId="20" fillId="2" borderId="5" xfId="0" applyFont="1" applyFill="1" applyBorder="1" applyAlignment="1">
      <alignment horizontal="center" vertical="center" wrapText="1"/>
    </xf>
    <xf numFmtId="0" fontId="20" fillId="2" borderId="6" xfId="0" applyFont="1" applyFill="1" applyBorder="1" applyAlignment="1">
      <alignment horizontal="center" vertical="center" wrapText="1"/>
    </xf>
    <xf numFmtId="0" fontId="20" fillId="2" borderId="3" xfId="0" applyFont="1" applyFill="1" applyBorder="1" applyAlignment="1">
      <alignment horizontal="center" vertical="center" wrapText="1"/>
    </xf>
    <xf numFmtId="0" fontId="20" fillId="2" borderId="4" xfId="0" applyFont="1" applyFill="1" applyBorder="1" applyAlignment="1">
      <alignment horizontal="center" vertical="center" wrapText="1"/>
    </xf>
    <xf numFmtId="0" fontId="20" fillId="2" borderId="1" xfId="0" applyFont="1" applyFill="1" applyBorder="1" applyAlignment="1">
      <alignment horizontal="center" vertical="center" wrapText="1"/>
    </xf>
    <xf numFmtId="0" fontId="0" fillId="0" borderId="0" xfId="0" applyAlignment="1">
      <alignment horizontal="left" vertical="center" wrapText="1"/>
    </xf>
    <xf numFmtId="0" fontId="6" fillId="0" borderId="19" xfId="3" applyFont="1" applyBorder="1" applyAlignment="1">
      <alignment horizontal="center" vertical="center" wrapText="1"/>
    </xf>
    <xf numFmtId="0" fontId="6" fillId="0" borderId="20" xfId="3" applyFont="1" applyBorder="1" applyAlignment="1">
      <alignment horizontal="center" vertical="center" wrapText="1"/>
    </xf>
    <xf numFmtId="0" fontId="6" fillId="0" borderId="21" xfId="3" applyFont="1" applyBorder="1" applyAlignment="1">
      <alignment horizontal="center" vertical="center" wrapText="1"/>
    </xf>
    <xf numFmtId="0" fontId="2" fillId="0" borderId="10" xfId="3" applyBorder="1" applyAlignment="1">
      <alignment horizontal="center" wrapText="1"/>
    </xf>
    <xf numFmtId="0" fontId="6" fillId="0" borderId="9" xfId="3" applyFont="1" applyBorder="1" applyAlignment="1">
      <alignment horizontal="center"/>
    </xf>
    <xf numFmtId="0" fontId="6" fillId="0" borderId="10" xfId="3" applyFont="1" applyBorder="1" applyAlignment="1">
      <alignment horizontal="center"/>
    </xf>
    <xf numFmtId="0" fontId="12" fillId="0" borderId="0" xfId="3" applyFont="1" applyAlignment="1">
      <alignment horizontal="left" vertical="center" wrapText="1"/>
    </xf>
    <xf numFmtId="0" fontId="6" fillId="0" borderId="11" xfId="3" applyFont="1" applyBorder="1" applyAlignment="1">
      <alignment horizontal="center"/>
    </xf>
    <xf numFmtId="0" fontId="14" fillId="0" borderId="0" xfId="3" applyFont="1" applyAlignment="1">
      <alignment horizontal="center"/>
    </xf>
    <xf numFmtId="0" fontId="6" fillId="0" borderId="9" xfId="3" applyFont="1" applyBorder="1" applyAlignment="1">
      <alignment horizontal="left" vertical="center"/>
    </xf>
    <xf numFmtId="0" fontId="6" fillId="0" borderId="12" xfId="3" applyFont="1" applyBorder="1" applyAlignment="1">
      <alignment horizontal="left" vertical="center"/>
    </xf>
    <xf numFmtId="0" fontId="2" fillId="0" borderId="28" xfId="3" applyBorder="1" applyAlignment="1">
      <alignment horizontal="center" wrapText="1"/>
    </xf>
    <xf numFmtId="0" fontId="2" fillId="0" borderId="11" xfId="3" applyBorder="1" applyAlignment="1">
      <alignment horizontal="center" wrapText="1"/>
    </xf>
    <xf numFmtId="9" fontId="9" fillId="0" borderId="0" xfId="3" applyNumberFormat="1" applyFont="1" applyFill="1"/>
  </cellXfs>
  <cellStyles count="6">
    <cellStyle name="Milliers" xfId="1" builtinId="3"/>
    <cellStyle name="Milliers 2" xfId="4" xr:uid="{00000000-0005-0000-0000-000001000000}"/>
    <cellStyle name="Normal" xfId="0" builtinId="0"/>
    <cellStyle name="Normal 2" xfId="3" xr:uid="{00000000-0005-0000-0000-000003000000}"/>
    <cellStyle name="Pourcentage" xfId="2" builtinId="5"/>
    <cellStyle name="Pourcentage 2" xfId="5" xr:uid="{00000000-0005-0000-0000-000005000000}"/>
  </cellStyles>
  <dxfs count="16">
    <dxf>
      <font>
        <b/>
        <i/>
        <strike val="0"/>
        <condense val="0"/>
        <extend val="0"/>
        <outline val="0"/>
        <shadow val="0"/>
        <u val="none"/>
        <vertAlign val="baseline"/>
        <sz val="11"/>
        <color theme="1"/>
        <name val="Arial"/>
        <family val="2"/>
        <scheme val="minor"/>
      </font>
      <numFmt numFmtId="169" formatCode="_-* #,##0\ _€_-;\-* #,##0\ _€_-;_-* &quot;-&quot;??\ _€_-;_-@_-"/>
      <fill>
        <patternFill patternType="none">
          <fgColor indexed="64"/>
          <bgColor indexed="65"/>
        </patternFill>
      </fill>
      <alignment horizontal="general" vertical="bottom" textRotation="0" wrapText="1" indent="0" justifyLastLine="0" shrinkToFit="0" readingOrder="0"/>
    </dxf>
    <dxf>
      <font>
        <b/>
        <i val="0"/>
        <strike val="0"/>
        <condense val="0"/>
        <extend val="0"/>
        <outline val="0"/>
        <shadow val="0"/>
        <u val="none"/>
        <vertAlign val="baseline"/>
        <sz val="11"/>
        <color theme="1"/>
        <name val="Arial"/>
        <family val="2"/>
        <scheme val="minor"/>
      </font>
      <numFmt numFmtId="169" formatCode="_-* #,##0\ _€_-;\-* #,##0\ _€_-;_-* &quot;-&quot;??\ _€_-;_-@_-"/>
      <fill>
        <patternFill patternType="none">
          <fgColor indexed="64"/>
          <bgColor indexed="65"/>
        </patternFill>
      </fill>
      <alignment horizontal="general" vertical="bottom" textRotation="0" wrapText="1" indent="0" justifyLastLine="0" shrinkToFit="0" readingOrder="0"/>
    </dxf>
    <dxf>
      <font>
        <b val="0"/>
        <i val="0"/>
        <strike val="0"/>
        <condense val="0"/>
        <extend val="0"/>
        <outline val="0"/>
        <shadow val="0"/>
        <u val="none"/>
        <vertAlign val="baseline"/>
        <sz val="11"/>
        <color theme="1"/>
        <name val="Arial"/>
        <family val="2"/>
        <scheme val="minor"/>
      </font>
      <numFmt numFmtId="169" formatCode="_-* #,##0\ _€_-;\-* #,##0\ _€_-;_-* &quot;-&quot;??\ _€_-;_-@_-"/>
      <alignment horizontal="general" vertical="bottom" textRotation="0" wrapText="1" indent="0" justifyLastLine="0" shrinkToFit="0" readingOrder="0"/>
    </dxf>
    <dxf>
      <font>
        <i val="0"/>
        <strike val="0"/>
        <outline val="0"/>
        <shadow val="0"/>
        <u val="none"/>
        <vertAlign val="baseline"/>
        <sz val="11"/>
        <color theme="1"/>
        <name val="Arial"/>
        <family val="2"/>
        <scheme val="minor"/>
      </font>
    </dxf>
    <dxf>
      <font>
        <i val="0"/>
        <strike val="0"/>
        <outline val="0"/>
        <shadow val="0"/>
        <u val="none"/>
        <vertAlign val="baseline"/>
        <sz val="11"/>
        <color theme="1"/>
        <name val="Arial"/>
        <family val="2"/>
        <scheme val="minor"/>
      </font>
      <alignment horizontal="general" vertical="bottom" textRotation="0" wrapText="1" indent="0" justifyLastLine="0" shrinkToFit="0" readingOrder="0"/>
    </dxf>
    <dxf>
      <font>
        <i val="0"/>
        <strike val="0"/>
        <outline val="0"/>
        <shadow val="0"/>
        <u val="none"/>
        <vertAlign val="baseline"/>
        <sz val="11"/>
        <color theme="1"/>
        <name val="Arial"/>
        <family val="2"/>
        <scheme val="minor"/>
      </font>
      <alignment horizontal="general" vertical="bottom" textRotation="0" wrapText="1" indent="0" justifyLastLine="0" shrinkToFit="0" readingOrder="0"/>
    </dxf>
    <dxf>
      <font>
        <b/>
        <i val="0"/>
        <strike val="0"/>
        <condense val="0"/>
        <extend val="0"/>
        <outline val="0"/>
        <shadow val="0"/>
        <u val="none"/>
        <vertAlign val="baseline"/>
        <sz val="11"/>
        <color theme="1"/>
        <name val="Arial"/>
        <scheme val="minor"/>
      </font>
      <alignment horizontal="general" vertical="center" textRotation="0" indent="0" justifyLastLine="0" shrinkToFit="0" readingOrder="0"/>
    </dxf>
    <dxf>
      <font>
        <i/>
        <strike val="0"/>
        <outline val="0"/>
        <shadow val="0"/>
        <u val="none"/>
        <vertAlign val="baseline"/>
        <sz val="11"/>
        <name val="Arial"/>
        <family val="2"/>
        <scheme val="minor"/>
      </font>
      <numFmt numFmtId="166" formatCode="_-* #,##0.0_-;\-* #,##0.0_-;_-* &quot;-&quot;??_-;_-@_-"/>
      <alignment horizontal="general" vertical="bottom" textRotation="0" wrapText="1" indent="0" justifyLastLine="0" shrinkToFit="0" readingOrder="0"/>
    </dxf>
    <dxf>
      <font>
        <b/>
        <i/>
        <strike val="0"/>
        <condense val="0"/>
        <extend val="0"/>
        <outline val="0"/>
        <shadow val="0"/>
        <u val="none"/>
        <vertAlign val="baseline"/>
        <sz val="11"/>
        <color theme="1"/>
        <name val="Arial"/>
        <family val="2"/>
        <scheme val="minor"/>
      </font>
      <numFmt numFmtId="169" formatCode="_-* #,##0\ _€_-;\-* #,##0\ _€_-;_-* &quot;-&quot;??\ _€_-;_-@_-"/>
      <fill>
        <patternFill patternType="none">
          <fgColor indexed="64"/>
          <bgColor indexed="65"/>
        </patternFill>
      </fill>
      <alignment horizontal="general" vertical="bottom" textRotation="0" wrapText="1" indent="0" justifyLastLine="0" shrinkToFit="0" readingOrder="0"/>
    </dxf>
    <dxf>
      <font>
        <b/>
        <i val="0"/>
        <strike val="0"/>
        <condense val="0"/>
        <extend val="0"/>
        <outline val="0"/>
        <shadow val="0"/>
        <u val="none"/>
        <vertAlign val="baseline"/>
        <sz val="11"/>
        <color theme="1"/>
        <name val="Arial"/>
        <family val="2"/>
        <scheme val="minor"/>
      </font>
      <numFmt numFmtId="169" formatCode="_-* #,##0\ _€_-;\-* #,##0\ _€_-;_-* &quot;-&quot;??\ _€_-;_-@_-"/>
      <fill>
        <patternFill patternType="none">
          <fgColor indexed="64"/>
          <bgColor indexed="65"/>
        </patternFill>
      </fill>
      <alignment horizontal="general" vertical="bottom" textRotation="0" wrapText="1" indent="0" justifyLastLine="0" shrinkToFit="0" readingOrder="0"/>
    </dxf>
    <dxf>
      <font>
        <b/>
        <i/>
        <strike val="0"/>
        <outline val="0"/>
        <shadow val="0"/>
        <u val="none"/>
        <vertAlign val="baseline"/>
        <sz val="11"/>
        <name val="Arial"/>
        <family val="2"/>
        <scheme val="minor"/>
      </font>
      <numFmt numFmtId="169" formatCode="_-* #,##0\ _€_-;\-* #,##0\ _€_-;_-* &quot;-&quot;??\ _€_-;_-@_-"/>
      <fill>
        <patternFill patternType="none">
          <fgColor indexed="64"/>
          <bgColor indexed="65"/>
        </patternFill>
      </fill>
      <alignment horizontal="general" vertical="bottom" textRotation="0" wrapText="1" indent="0" justifyLastLine="0" shrinkToFit="0" readingOrder="0"/>
    </dxf>
    <dxf>
      <font>
        <b val="0"/>
        <i val="0"/>
        <strike val="0"/>
        <condense val="0"/>
        <extend val="0"/>
        <outline val="0"/>
        <shadow val="0"/>
        <u val="none"/>
        <vertAlign val="baseline"/>
        <sz val="11"/>
        <color theme="1"/>
        <name val="Arial"/>
        <family val="2"/>
        <scheme val="minor"/>
      </font>
      <numFmt numFmtId="169" formatCode="_-* #,##0\ _€_-;\-* #,##0\ _€_-;_-* &quot;-&quot;??\ _€_-;_-@_-"/>
      <alignment horizontal="general" vertical="bottom" textRotation="0" wrapText="1" indent="0" justifyLastLine="0" shrinkToFit="0" readingOrder="0"/>
    </dxf>
    <dxf>
      <font>
        <i val="0"/>
        <strike val="0"/>
        <outline val="0"/>
        <shadow val="0"/>
        <u val="none"/>
        <vertAlign val="baseline"/>
        <sz val="11"/>
        <name val="Arial"/>
        <family val="2"/>
        <scheme val="minor"/>
      </font>
    </dxf>
    <dxf>
      <font>
        <i val="0"/>
        <strike val="0"/>
        <outline val="0"/>
        <shadow val="0"/>
        <u val="none"/>
        <vertAlign val="baseline"/>
        <sz val="11"/>
        <name val="Arial"/>
        <family val="2"/>
        <scheme val="minor"/>
      </font>
      <alignment horizontal="general" vertical="bottom" textRotation="0" wrapText="1" indent="0" justifyLastLine="0" shrinkToFit="0" readingOrder="0"/>
    </dxf>
    <dxf>
      <font>
        <i val="0"/>
        <strike val="0"/>
        <outline val="0"/>
        <shadow val="0"/>
        <u val="none"/>
        <vertAlign val="baseline"/>
        <sz val="11"/>
        <name val="Arial"/>
        <family val="2"/>
        <scheme val="minor"/>
      </font>
      <alignment horizontal="general" vertical="bottom" textRotation="0" wrapText="1" indent="0" justifyLastLine="0" shrinkToFit="0" readingOrder="0"/>
    </dxf>
    <dxf>
      <font>
        <b/>
        <i val="0"/>
        <strike val="0"/>
        <condense val="0"/>
        <extend val="0"/>
        <outline val="0"/>
        <shadow val="0"/>
        <u val="none"/>
        <vertAlign val="baseline"/>
        <sz val="11"/>
        <color theme="1"/>
        <name val="Arial"/>
        <family val="2"/>
        <scheme val="minor"/>
      </font>
      <alignment horizontal="general" vertical="center" textRotation="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22-04-21%20-%20Chiffrage%20emploi%20ve&#769;lo%20v4.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ypothèses mobilité revues"/>
      <sheetName val="Modèle Emploi Vélo V1"/>
      <sheetName val="Légende"/>
    </sheetNames>
    <sheetDataSet>
      <sheetData sheetId="0"/>
      <sheetData sheetId="1"/>
      <sheetData sheetId="2"/>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34" displayName="Table134" ref="B99:H105" totalsRowShown="0" headerRowDxfId="15" dataDxfId="14">
  <autoFilter ref="B99:H105" xr:uid="{00000000-0009-0000-0100-000001000000}"/>
  <tableColumns count="7">
    <tableColumn id="1" xr3:uid="{00000000-0010-0000-0000-000001000000}" name="Activité" dataDxfId="13"/>
    <tableColumn id="2" xr3:uid="{00000000-0010-0000-0000-000002000000}" name="Emploi 2018 (ETP)" dataDxfId="12"/>
    <tableColumn id="6" xr3:uid="{00000000-0010-0000-0000-000006000000}" name="Emploi 2030 (ETP)" dataDxfId="11" dataCellStyle="Milliers 2"/>
    <tableColumn id="7" xr3:uid="{00000000-0010-0000-0000-000007000000}" name="Evolution nette 2030 (ETP)" dataDxfId="10" dataCellStyle="Milliers 2">
      <calculatedColumnFormula>Table134[[#This Row],[Emploi 2030 (ETP)]]-Table134[[#This Row],[Emploi 2018 (ETP)]]</calculatedColumnFormula>
    </tableColumn>
    <tableColumn id="9" xr3:uid="{00000000-0010-0000-0000-000009000000}" name="Emploi 2050 (ETP)" dataDxfId="9" dataCellStyle="Milliers 2"/>
    <tableColumn id="8" xr3:uid="{00000000-0010-0000-0000-000008000000}" name="Evolution nette 2050 (ETP)" dataDxfId="8" dataCellStyle="Milliers 2">
      <calculatedColumnFormula>Table134[[#This Row],[Emploi 2050 (ETP)]]-Table134[[#This Row],[Emploi 2018 (ETP)]]</calculatedColumnFormula>
    </tableColumn>
    <tableColumn id="3" xr3:uid="{C0632E89-FD99-6A47-90C1-8403A88CE6B1}" name="Evolution nette 2050 (multiple)" dataDxfId="7">
      <calculatedColumnFormula>Table134[[#This Row],[Emploi 2050 (ETP)]]/Table134[[#This Row],[Emploi 2018 (ETP)]]</calculatedColumnFormula>
    </tableColumn>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EA43C7B-CE0A-EC43-B15F-D0DDAE7D8927}" name="Table1343" displayName="Table1343" ref="A3:E9" totalsRowShown="0" headerRowDxfId="6" dataDxfId="5">
  <autoFilter ref="A3:E9" xr:uid="{2EA43C7B-CE0A-EC43-B15F-D0DDAE7D8927}"/>
  <tableColumns count="5">
    <tableColumn id="1" xr3:uid="{F5401605-2468-CD4B-BDC4-F2A248B7D5F0}" name="Activité" dataDxfId="4"/>
    <tableColumn id="2" xr3:uid="{E61956C1-2CB0-ED48-B74E-C53930F2BCF5}" name="Emploi 2018 (ETP)" dataDxfId="3">
      <calculatedColumnFormula>ROUND('Modèle Emploi Vélo'!C100, 1-LOG('Modèle Emploi Vélo'!C100))</calculatedColumnFormula>
    </tableColumn>
    <tableColumn id="6" xr3:uid="{18FAA59F-64D0-D649-B32F-0213EF428CA3}" name="Emploi 2030 (ETP)" dataDxfId="2" dataCellStyle="Milliers 2">
      <calculatedColumnFormula>ROUND('Modèle Emploi Vélo'!D100, 1-LOG('Modèle Emploi Vélo'!D100))</calculatedColumnFormula>
    </tableColumn>
    <tableColumn id="9" xr3:uid="{E978756B-D4FE-2749-96D0-AABB02FFBA10}" name="Emploi 2050 (ETP)" dataDxfId="1" dataCellStyle="Milliers 2">
      <calculatedColumnFormula>ROUND('Modèle Emploi Vélo'!F100, 1-LOG('Modèle Emploi Vélo'!F100))</calculatedColumnFormula>
    </tableColumn>
    <tableColumn id="8" xr3:uid="{079719B8-8AB9-9F41-8FE9-8377C87B0AE9}" name="Evolution nette 2050 (ETP)" dataDxfId="0" dataCellStyle="Milliers 2">
      <calculatedColumnFormula>ROUND('Modèle Emploi Vélo'!G100, 1-LOG('Modèle Emploi Vélo'!G100))</calculatedColumnFormula>
    </tableColumn>
  </tableColumns>
  <tableStyleInfo name="TableStyleLight10" showFirstColumn="0" showLastColumn="0" showRowStripes="1" showColumnStripes="0"/>
</table>
</file>

<file path=xl/theme/theme1.xml><?xml version="1.0" encoding="utf-8"?>
<a:theme xmlns:a="http://schemas.openxmlformats.org/drawingml/2006/main" name="TSP">
  <a:themeElements>
    <a:clrScheme name="TSP">
      <a:dk1>
        <a:srgbClr val="000000"/>
      </a:dk1>
      <a:lt1>
        <a:srgbClr val="FFFFFF"/>
      </a:lt1>
      <a:dk2>
        <a:srgbClr val="00005A"/>
      </a:dk2>
      <a:lt2>
        <a:srgbClr val="FFFFFF"/>
      </a:lt2>
      <a:accent1>
        <a:srgbClr val="00005A"/>
      </a:accent1>
      <a:accent2>
        <a:srgbClr val="FF8200"/>
      </a:accent2>
      <a:accent3>
        <a:srgbClr val="FAB758"/>
      </a:accent3>
      <a:accent4>
        <a:srgbClr val="FFDC23"/>
      </a:accent4>
      <a:accent5>
        <a:srgbClr val="00CAFE"/>
      </a:accent5>
      <a:accent6>
        <a:srgbClr val="0028DC"/>
      </a:accent6>
      <a:hlink>
        <a:srgbClr val="FF8200"/>
      </a:hlink>
      <a:folHlink>
        <a:srgbClr val="FF8200"/>
      </a:folHlink>
    </a:clrScheme>
    <a:fontScheme name="TSP">
      <a:majorFont>
        <a:latin typeface="Poppins"/>
        <a:ea typeface=""/>
        <a:cs typeface=""/>
      </a:majorFont>
      <a:minorFont>
        <a:latin typeface="Arial"/>
        <a:ea typeface=""/>
        <a:cs typeface=""/>
      </a:minorFont>
    </a:fontScheme>
    <a:fmtScheme name="Office">
      <a:fillStyleLst>
        <a:solidFill>
          <a:schemeClr val="phClr"/>
        </a:solidFill>
        <a:gradFill>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solidFill>
          <a:schemeClr val="phClr">
            <a:tint val="95000"/>
            <a:satMod val="170000"/>
          </a:schemeClr>
        </a:solidFill>
        <a:gradFill>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14BDD7-3879-8E41-968C-7366D1203D91}">
  <dimension ref="A1:B21"/>
  <sheetViews>
    <sheetView tabSelected="1" zoomScaleNormal="100" workbookViewId="0">
      <selection activeCell="A7" sqref="A7"/>
    </sheetView>
  </sheetViews>
  <sheetFormatPr baseColWidth="10" defaultColWidth="11.53515625" defaultRowHeight="15.5" x14ac:dyDescent="0.35"/>
  <cols>
    <col min="1" max="1" width="16.69140625" customWidth="1"/>
    <col min="2" max="2" width="32.84375" customWidth="1"/>
  </cols>
  <sheetData>
    <row r="1" spans="1:2" x14ac:dyDescent="0.35">
      <c r="A1" s="52" t="s">
        <v>0</v>
      </c>
      <c r="B1" s="52" t="s">
        <v>1</v>
      </c>
    </row>
    <row r="2" spans="1:2" x14ac:dyDescent="0.35">
      <c r="A2" s="57"/>
      <c r="B2" t="s">
        <v>2</v>
      </c>
    </row>
    <row r="3" spans="1:2" x14ac:dyDescent="0.35">
      <c r="A3" s="56"/>
      <c r="B3" t="s">
        <v>3</v>
      </c>
    </row>
    <row r="4" spans="1:2" x14ac:dyDescent="0.35">
      <c r="A4" s="55"/>
      <c r="B4" t="s">
        <v>4</v>
      </c>
    </row>
    <row r="5" spans="1:2" x14ac:dyDescent="0.35">
      <c r="A5" s="54"/>
      <c r="B5" t="s">
        <v>5</v>
      </c>
    </row>
    <row r="6" spans="1:2" x14ac:dyDescent="0.35">
      <c r="A6" s="53"/>
      <c r="B6" t="s">
        <v>6</v>
      </c>
    </row>
    <row r="8" spans="1:2" x14ac:dyDescent="0.35">
      <c r="A8" s="52" t="s">
        <v>7</v>
      </c>
      <c r="B8" s="52"/>
    </row>
    <row r="9" spans="1:2" x14ac:dyDescent="0.35">
      <c r="A9" t="s">
        <v>8</v>
      </c>
    </row>
    <row r="10" spans="1:2" x14ac:dyDescent="0.35">
      <c r="A10" t="s">
        <v>9</v>
      </c>
    </row>
    <row r="12" spans="1:2" x14ac:dyDescent="0.35">
      <c r="A12" s="52" t="s">
        <v>10</v>
      </c>
      <c r="B12" s="52"/>
    </row>
    <row r="13" spans="1:2" x14ac:dyDescent="0.35">
      <c r="A13" t="s">
        <v>11</v>
      </c>
    </row>
    <row r="14" spans="1:2" x14ac:dyDescent="0.35">
      <c r="A14" t="s">
        <v>12</v>
      </c>
    </row>
    <row r="15" spans="1:2" x14ac:dyDescent="0.35">
      <c r="A15" t="s">
        <v>13</v>
      </c>
    </row>
    <row r="16" spans="1:2" x14ac:dyDescent="0.35">
      <c r="A16" t="s">
        <v>14</v>
      </c>
    </row>
    <row r="18" spans="1:2" x14ac:dyDescent="0.35">
      <c r="A18" s="52" t="s">
        <v>15</v>
      </c>
      <c r="B18" s="52"/>
    </row>
    <row r="19" spans="1:2" x14ac:dyDescent="0.35">
      <c r="A19" t="s">
        <v>16</v>
      </c>
    </row>
    <row r="20" spans="1:2" x14ac:dyDescent="0.35">
      <c r="A20" t="s">
        <v>17</v>
      </c>
    </row>
    <row r="21" spans="1:2" x14ac:dyDescent="0.35">
      <c r="A21" t="s">
        <v>18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29"/>
  <sheetViews>
    <sheetView zoomScaleNormal="100" workbookViewId="0">
      <selection activeCell="A3" sqref="A3"/>
    </sheetView>
  </sheetViews>
  <sheetFormatPr baseColWidth="10" defaultColWidth="10.69140625" defaultRowHeight="15.5" x14ac:dyDescent="0.35"/>
  <cols>
    <col min="1" max="1" width="33.4609375" style="65" customWidth="1"/>
    <col min="2" max="3" width="19.84375" style="65" customWidth="1"/>
    <col min="4" max="4" width="24.84375" style="65" customWidth="1"/>
    <col min="5" max="5" width="25.69140625" style="65" customWidth="1"/>
    <col min="6" max="10" width="19.84375" style="65" customWidth="1"/>
    <col min="11" max="16384" width="10.69140625" style="65"/>
  </cols>
  <sheetData>
    <row r="1" spans="1:14" ht="73" customHeight="1" x14ac:dyDescent="0.35">
      <c r="A1" s="58" t="s">
        <v>19</v>
      </c>
      <c r="B1" s="238" t="s">
        <v>20</v>
      </c>
      <c r="C1" s="238"/>
      <c r="D1" s="238"/>
      <c r="E1" s="238"/>
      <c r="F1" s="238"/>
      <c r="G1" s="238"/>
      <c r="H1" s="238"/>
      <c r="I1" s="64"/>
      <c r="J1" s="64"/>
      <c r="K1" s="64"/>
      <c r="L1" s="64"/>
      <c r="M1" s="64"/>
      <c r="N1" s="64"/>
    </row>
    <row r="2" spans="1:14" x14ac:dyDescent="0.35">
      <c r="A2" s="58" t="s">
        <v>21</v>
      </c>
      <c r="B2" s="65" t="s">
        <v>22</v>
      </c>
    </row>
    <row r="5" spans="1:14" x14ac:dyDescent="0.35">
      <c r="B5" s="232" t="s">
        <v>23</v>
      </c>
      <c r="C5" s="232"/>
    </row>
    <row r="6" spans="1:14" x14ac:dyDescent="0.35">
      <c r="B6" s="59" t="s">
        <v>24</v>
      </c>
      <c r="C6" s="59" t="s">
        <v>25</v>
      </c>
    </row>
    <row r="7" spans="1:14" x14ac:dyDescent="0.35">
      <c r="B7" s="66">
        <v>550</v>
      </c>
      <c r="C7" s="66">
        <v>550</v>
      </c>
    </row>
    <row r="9" spans="1:14" x14ac:dyDescent="0.35">
      <c r="A9" s="233" t="s">
        <v>26</v>
      </c>
      <c r="B9" s="235" t="s">
        <v>27</v>
      </c>
      <c r="C9" s="236"/>
    </row>
    <row r="10" spans="1:14" x14ac:dyDescent="0.35">
      <c r="A10" s="234"/>
      <c r="B10" s="59" t="s">
        <v>24</v>
      </c>
      <c r="C10" s="59" t="s">
        <v>25</v>
      </c>
    </row>
    <row r="11" spans="1:14" ht="31" x14ac:dyDescent="0.35">
      <c r="A11" s="60" t="s">
        <v>28</v>
      </c>
      <c r="B11" s="61">
        <f>B23/$B$7</f>
        <v>2.8638181818181818E-3</v>
      </c>
      <c r="C11" s="83">
        <v>0.17</v>
      </c>
      <c r="D11" s="67" t="s">
        <v>29</v>
      </c>
    </row>
    <row r="12" spans="1:14" x14ac:dyDescent="0.35">
      <c r="A12" s="84" t="s">
        <v>30</v>
      </c>
      <c r="B12" s="85">
        <f>B24/$B$7</f>
        <v>2.8638181818181818E-3</v>
      </c>
      <c r="C12" s="85">
        <f>C11*D12</f>
        <v>8.5000000000000006E-2</v>
      </c>
      <c r="D12" s="70">
        <v>0.5</v>
      </c>
    </row>
    <row r="13" spans="1:14" ht="31" x14ac:dyDescent="0.35">
      <c r="A13" s="84" t="s">
        <v>31</v>
      </c>
      <c r="B13" s="86">
        <f>B25/$B$7</f>
        <v>0</v>
      </c>
      <c r="C13" s="85">
        <f>C11-C12</f>
        <v>8.5000000000000006E-2</v>
      </c>
    </row>
    <row r="14" spans="1:14" x14ac:dyDescent="0.35">
      <c r="A14" s="60" t="s">
        <v>32</v>
      </c>
      <c r="B14" s="71">
        <v>0.01</v>
      </c>
      <c r="C14" s="83">
        <v>0.08</v>
      </c>
    </row>
    <row r="16" spans="1:14" x14ac:dyDescent="0.35">
      <c r="A16" s="72" t="s">
        <v>33</v>
      </c>
      <c r="B16" s="72"/>
      <c r="C16" s="79" t="s">
        <v>34</v>
      </c>
    </row>
    <row r="17" spans="1:14" x14ac:dyDescent="0.35">
      <c r="A17" s="73" t="s">
        <v>35</v>
      </c>
      <c r="B17" s="75">
        <f>(102+134+255+338)/1000</f>
        <v>0.82899999999999996</v>
      </c>
      <c r="C17" s="65" t="s">
        <v>36</v>
      </c>
    </row>
    <row r="18" spans="1:14" x14ac:dyDescent="0.35">
      <c r="A18" s="77" t="s">
        <v>37</v>
      </c>
      <c r="B18" s="78">
        <v>1.9</v>
      </c>
      <c r="C18" s="65" t="s">
        <v>38</v>
      </c>
    </row>
    <row r="19" spans="1:14" x14ac:dyDescent="0.35">
      <c r="A19" s="74" t="s">
        <v>39</v>
      </c>
      <c r="B19" s="76">
        <f>B17*B18</f>
        <v>1.5750999999999999</v>
      </c>
    </row>
    <row r="21" spans="1:14" x14ac:dyDescent="0.35">
      <c r="A21" s="233" t="s">
        <v>26</v>
      </c>
      <c r="B21" s="237" t="s">
        <v>40</v>
      </c>
      <c r="C21" s="237"/>
      <c r="D21" s="79" t="s">
        <v>41</v>
      </c>
    </row>
    <row r="22" spans="1:14" x14ac:dyDescent="0.35">
      <c r="A22" s="234"/>
      <c r="B22" s="59" t="s">
        <v>24</v>
      </c>
      <c r="C22" s="59" t="s">
        <v>25</v>
      </c>
    </row>
    <row r="23" spans="1:14" ht="31" x14ac:dyDescent="0.35">
      <c r="A23" s="60" t="s">
        <v>28</v>
      </c>
      <c r="B23" s="80">
        <f>SUM(B24:B25)</f>
        <v>1.5750999999999999</v>
      </c>
      <c r="C23" s="81">
        <f>C$7*C11</f>
        <v>93.5</v>
      </c>
      <c r="N23" s="69"/>
    </row>
    <row r="24" spans="1:14" x14ac:dyDescent="0.35">
      <c r="A24" s="108" t="s">
        <v>30</v>
      </c>
      <c r="B24" s="109">
        <f>B19</f>
        <v>1.5750999999999999</v>
      </c>
      <c r="C24" s="110">
        <f>C$7*C12</f>
        <v>46.75</v>
      </c>
    </row>
    <row r="25" spans="1:14" ht="31" x14ac:dyDescent="0.35">
      <c r="A25" s="84" t="s">
        <v>31</v>
      </c>
      <c r="B25" s="88">
        <v>0</v>
      </c>
      <c r="C25" s="87">
        <f>C$7*C13</f>
        <v>46.75</v>
      </c>
    </row>
    <row r="26" spans="1:14" x14ac:dyDescent="0.35">
      <c r="A26" s="62" t="s">
        <v>32</v>
      </c>
      <c r="B26" s="82">
        <f>B14*B7</f>
        <v>5.5</v>
      </c>
      <c r="C26" s="63">
        <f>C$7*C14</f>
        <v>44</v>
      </c>
    </row>
    <row r="27" spans="1:14" x14ac:dyDescent="0.35">
      <c r="B27" s="68"/>
      <c r="C27" s="68"/>
    </row>
    <row r="28" spans="1:14" x14ac:dyDescent="0.35">
      <c r="B28" s="68"/>
      <c r="C28" s="68"/>
    </row>
    <row r="29" spans="1:14" x14ac:dyDescent="0.35">
      <c r="B29" s="68"/>
      <c r="C29" s="68"/>
    </row>
  </sheetData>
  <mergeCells count="6">
    <mergeCell ref="B5:C5"/>
    <mergeCell ref="A9:A10"/>
    <mergeCell ref="B9:C9"/>
    <mergeCell ref="B21:C21"/>
    <mergeCell ref="B1:H1"/>
    <mergeCell ref="A21:A2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sheetPr>
  <dimension ref="A1:R110"/>
  <sheetViews>
    <sheetView zoomScaleNormal="100" workbookViewId="0">
      <pane xSplit="2" topLeftCell="C1" activePane="topRight" state="frozen"/>
      <selection pane="topRight" activeCell="A3" sqref="A3"/>
    </sheetView>
  </sheetViews>
  <sheetFormatPr baseColWidth="10" defaultColWidth="8.69140625" defaultRowHeight="14" x14ac:dyDescent="0.3"/>
  <cols>
    <col min="1" max="1" width="12.84375" style="158" customWidth="1"/>
    <col min="2" max="2" width="49.53515625" style="158" customWidth="1"/>
    <col min="3" max="7" width="10.53515625" style="158" customWidth="1"/>
    <col min="8" max="8" width="12.53515625" style="158" customWidth="1"/>
    <col min="9" max="10" width="10.53515625" style="158" customWidth="1"/>
    <col min="11" max="11" width="14" style="158" customWidth="1"/>
    <col min="12" max="13" width="15.4609375" style="158" customWidth="1"/>
    <col min="14" max="14" width="8.69140625" style="158"/>
    <col min="15" max="15" width="8.69140625" style="158" customWidth="1"/>
    <col min="16" max="17" width="8.69140625" style="158"/>
    <col min="18" max="18" width="26.69140625" style="158" customWidth="1"/>
    <col min="19" max="19" width="8.69140625" style="158"/>
    <col min="20" max="20" width="19.84375" style="158" customWidth="1"/>
    <col min="21" max="16384" width="8.69140625" style="158"/>
  </cols>
  <sheetData>
    <row r="1" spans="1:10" x14ac:dyDescent="0.3">
      <c r="A1" s="1" t="s">
        <v>42</v>
      </c>
      <c r="B1" s="2"/>
      <c r="C1" s="2"/>
      <c r="D1" s="2"/>
      <c r="E1" s="2"/>
      <c r="F1" s="2"/>
      <c r="G1" s="2"/>
      <c r="H1" s="2"/>
      <c r="I1" s="2"/>
      <c r="J1" s="2"/>
    </row>
    <row r="2" spans="1:10" x14ac:dyDescent="0.3">
      <c r="A2" s="158" t="s">
        <v>43</v>
      </c>
      <c r="G2" s="44"/>
      <c r="H2" s="44"/>
    </row>
    <row r="3" spans="1:10" x14ac:dyDescent="0.3">
      <c r="B3" s="50"/>
    </row>
    <row r="4" spans="1:10" x14ac:dyDescent="0.3">
      <c r="A4" s="1" t="s">
        <v>44</v>
      </c>
      <c r="B4" s="159"/>
      <c r="C4" s="159"/>
      <c r="D4" s="159"/>
      <c r="E4" s="159"/>
      <c r="F4" s="159"/>
      <c r="G4" s="159"/>
      <c r="H4" s="159"/>
      <c r="I4" s="159"/>
      <c r="J4" s="159"/>
    </row>
    <row r="5" spans="1:10" ht="15" thickBot="1" x14ac:dyDescent="0.4">
      <c r="A5" s="3"/>
      <c r="B5" s="160"/>
    </row>
    <row r="6" spans="1:10" ht="14.5" thickBot="1" x14ac:dyDescent="0.35">
      <c r="C6" s="93" t="s">
        <v>45</v>
      </c>
      <c r="D6" s="94" t="s">
        <v>46</v>
      </c>
      <c r="E6" s="95" t="s">
        <v>47</v>
      </c>
      <c r="F6" s="24" t="s">
        <v>48</v>
      </c>
    </row>
    <row r="7" spans="1:10" ht="14.5" x14ac:dyDescent="0.35">
      <c r="A7" s="4"/>
      <c r="B7" s="161" t="s">
        <v>49</v>
      </c>
      <c r="C7" s="162">
        <v>211</v>
      </c>
      <c r="D7" s="162">
        <v>15</v>
      </c>
      <c r="E7" s="163" cm="1">
        <f t="array" ref="E7">exp_vélo_valeur+exp_vae_valeur</f>
        <v>226</v>
      </c>
      <c r="F7" s="5" t="s">
        <v>50</v>
      </c>
    </row>
    <row r="8" spans="1:10" ht="14.5" x14ac:dyDescent="0.35">
      <c r="A8" s="4"/>
      <c r="B8" s="164" t="s">
        <v>51</v>
      </c>
      <c r="C8" s="165">
        <v>486</v>
      </c>
      <c r="D8" s="165">
        <v>74</v>
      </c>
      <c r="E8" s="166">
        <f>SUM(C8:D8)</f>
        <v>560</v>
      </c>
      <c r="F8" s="5" t="s">
        <v>50</v>
      </c>
      <c r="I8" s="6"/>
    </row>
    <row r="9" spans="1:10" ht="14.5" x14ac:dyDescent="0.35">
      <c r="A9" s="4"/>
      <c r="B9" s="164" t="s">
        <v>52</v>
      </c>
      <c r="C9" s="167">
        <f>C8-exp_vélo_valeur</f>
        <v>275</v>
      </c>
      <c r="D9" s="167">
        <f>D8-exp_vae_valeur</f>
        <v>59</v>
      </c>
      <c r="E9" s="166">
        <f>E8-E7</f>
        <v>334</v>
      </c>
      <c r="F9" s="5"/>
      <c r="I9" s="6"/>
    </row>
    <row r="10" spans="1:10" ht="14.5" x14ac:dyDescent="0.35">
      <c r="A10" s="4"/>
      <c r="B10" s="164" t="s">
        <v>53</v>
      </c>
      <c r="C10" s="165">
        <v>720</v>
      </c>
      <c r="D10" s="165">
        <v>95</v>
      </c>
      <c r="E10" s="166">
        <f>SUM(C10:D10)</f>
        <v>815</v>
      </c>
      <c r="F10" s="5" t="s">
        <v>50</v>
      </c>
    </row>
    <row r="11" spans="1:10" ht="15" thickBot="1" x14ac:dyDescent="0.4">
      <c r="B11" s="168" t="s">
        <v>54</v>
      </c>
      <c r="C11" s="169">
        <f>C8/C10*1000</f>
        <v>675</v>
      </c>
      <c r="D11" s="92">
        <f>D8/D10*1000</f>
        <v>778.9473684210526</v>
      </c>
      <c r="E11" s="170"/>
      <c r="F11" s="164"/>
      <c r="H11" s="3"/>
      <c r="J11" s="7"/>
    </row>
    <row r="12" spans="1:10" ht="15" thickBot="1" x14ac:dyDescent="0.4">
      <c r="H12" s="3"/>
    </row>
    <row r="13" spans="1:10" ht="15" thickBot="1" x14ac:dyDescent="0.4">
      <c r="B13" s="20" t="s">
        <v>55</v>
      </c>
      <c r="C13" s="118">
        <v>0.2</v>
      </c>
      <c r="H13" s="3"/>
    </row>
    <row r="15" spans="1:10" x14ac:dyDescent="0.3">
      <c r="A15" s="1" t="s">
        <v>56</v>
      </c>
      <c r="B15" s="2"/>
      <c r="C15" s="2"/>
      <c r="D15" s="2"/>
      <c r="E15" s="2"/>
      <c r="F15" s="2"/>
      <c r="G15" s="2"/>
      <c r="H15" s="2"/>
      <c r="I15" s="2"/>
      <c r="J15" s="2"/>
    </row>
    <row r="16" spans="1:10" x14ac:dyDescent="0.3">
      <c r="A16" s="9" t="s">
        <v>57</v>
      </c>
      <c r="C16" s="9"/>
      <c r="D16" s="9"/>
      <c r="E16" s="9"/>
      <c r="F16" s="9"/>
      <c r="G16" s="9"/>
    </row>
    <row r="17" spans="1:13" ht="14.5" thickBot="1" x14ac:dyDescent="0.35">
      <c r="A17" s="9"/>
      <c r="C17" s="9"/>
      <c r="D17" s="9"/>
      <c r="E17" s="9"/>
      <c r="F17" s="9"/>
      <c r="G17" s="9"/>
    </row>
    <row r="18" spans="1:13" ht="29.5" thickBot="1" x14ac:dyDescent="0.4">
      <c r="B18" s="161"/>
      <c r="C18" s="42" t="s">
        <v>45</v>
      </c>
      <c r="D18" s="190" t="s">
        <v>58</v>
      </c>
      <c r="E18" s="42" t="s">
        <v>46</v>
      </c>
      <c r="F18" s="190" t="s">
        <v>58</v>
      </c>
      <c r="G18" s="42" t="s">
        <v>47</v>
      </c>
      <c r="H18" s="191" t="s">
        <v>58</v>
      </c>
      <c r="I18" s="24" t="s">
        <v>48</v>
      </c>
    </row>
    <row r="19" spans="1:13" ht="29.5" customHeight="1" x14ac:dyDescent="0.35">
      <c r="A19" s="239" t="s">
        <v>59</v>
      </c>
      <c r="B19" s="11" t="s">
        <v>60</v>
      </c>
      <c r="C19" s="101">
        <f>'Objectifs de report modal PTEF'!B26</f>
        <v>5.5</v>
      </c>
      <c r="D19" s="192"/>
      <c r="E19" s="101">
        <f>'Objectifs de report modal PTEF'!B24</f>
        <v>1.5750999999999999</v>
      </c>
      <c r="F19" s="192"/>
      <c r="G19" s="101" cm="1">
        <f t="array" ref="G19">mob_vélo_initial+mob_VAE_initial</f>
        <v>7.0750999999999999</v>
      </c>
      <c r="H19" s="193"/>
    </row>
    <row r="20" spans="1:13" ht="14.5" x14ac:dyDescent="0.35">
      <c r="A20" s="240"/>
      <c r="B20" s="12" t="s">
        <v>61</v>
      </c>
      <c r="C20" s="105">
        <v>17.399999999999999</v>
      </c>
      <c r="D20" s="194"/>
      <c r="E20" s="105">
        <f>'Objectifs de report modal PTEF'!B17</f>
        <v>0.82899999999999996</v>
      </c>
      <c r="F20" s="194"/>
      <c r="G20" s="103">
        <f>C20+E20</f>
        <v>18.228999999999999</v>
      </c>
      <c r="H20" s="195"/>
      <c r="I20" s="5" t="s">
        <v>62</v>
      </c>
    </row>
    <row r="21" spans="1:13" ht="14.5" x14ac:dyDescent="0.35">
      <c r="A21" s="240"/>
      <c r="B21" s="12" t="s">
        <v>63</v>
      </c>
      <c r="C21" s="102">
        <f>marché_tot_initial-marché_vae_initial</f>
        <v>2.3620000000000001</v>
      </c>
      <c r="D21" s="194"/>
      <c r="E21" s="105">
        <v>0.33800000000000002</v>
      </c>
      <c r="F21" s="194"/>
      <c r="G21" s="105">
        <v>2.7</v>
      </c>
      <c r="H21" s="195"/>
      <c r="I21" s="5" t="s">
        <v>64</v>
      </c>
    </row>
    <row r="22" spans="1:13" ht="14.5" x14ac:dyDescent="0.35">
      <c r="A22" s="240"/>
      <c r="B22" s="12" t="s">
        <v>65</v>
      </c>
      <c r="C22" s="89">
        <f>mob_vélo_initial/marché_vélo_initial*1000</f>
        <v>2328.535139712108</v>
      </c>
      <c r="D22" s="196"/>
      <c r="E22" s="89">
        <f>mob_VAE_initial/marché_vae_initial*1000</f>
        <v>4660.0591715976325</v>
      </c>
      <c r="F22" s="196"/>
      <c r="G22" s="90"/>
      <c r="H22" s="195"/>
      <c r="I22" s="5"/>
    </row>
    <row r="23" spans="1:13" ht="14.5" x14ac:dyDescent="0.35">
      <c r="A23" s="240"/>
      <c r="B23" s="12" t="s">
        <v>66</v>
      </c>
      <c r="C23" s="89">
        <f>(G23*marché_tot_initial-E23*marché_vae_initial)/marché_vélo_initial</f>
        <v>297.87044877222701</v>
      </c>
      <c r="D23" s="197"/>
      <c r="E23" s="106">
        <v>1585</v>
      </c>
      <c r="F23" s="196"/>
      <c r="G23" s="107">
        <v>459</v>
      </c>
      <c r="H23" s="195"/>
      <c r="I23" s="5" t="s">
        <v>67</v>
      </c>
    </row>
    <row r="24" spans="1:13" ht="14.5" x14ac:dyDescent="0.35">
      <c r="A24" s="240"/>
      <c r="B24" s="12" t="s">
        <v>68</v>
      </c>
      <c r="C24" s="91">
        <f>C23/(1+TVA)</f>
        <v>248.22537397685585</v>
      </c>
      <c r="D24" s="196"/>
      <c r="E24" s="91">
        <f>E23/(1+TVA)</f>
        <v>1320.8333333333335</v>
      </c>
      <c r="F24" s="196"/>
      <c r="G24" s="90">
        <f>marché_constr_initial_valeur/marché_tot_initial</f>
        <v>382.50000000000006</v>
      </c>
      <c r="H24" s="195"/>
      <c r="I24" s="5"/>
    </row>
    <row r="25" spans="1:13" ht="15" thickBot="1" x14ac:dyDescent="0.4">
      <c r="A25" s="241"/>
      <c r="B25" s="13" t="s">
        <v>69</v>
      </c>
      <c r="C25" s="171">
        <f>marché_vélo_initial*C24</f>
        <v>586.30833333333351</v>
      </c>
      <c r="D25" s="198"/>
      <c r="E25" s="171">
        <f>marché_vae_initial*E24</f>
        <v>446.44166666666672</v>
      </c>
      <c r="F25" s="198"/>
      <c r="G25" s="171">
        <f>C25+E25</f>
        <v>1032.7500000000002</v>
      </c>
      <c r="H25" s="199"/>
      <c r="M25" s="6"/>
    </row>
    <row r="26" spans="1:13" ht="14.5" x14ac:dyDescent="0.35">
      <c r="A26" s="239" t="s">
        <v>70</v>
      </c>
      <c r="B26" s="14" t="s">
        <v>71</v>
      </c>
      <c r="C26" s="112">
        <v>15</v>
      </c>
      <c r="D26" s="200">
        <f>C26/mob_vélo_initial</f>
        <v>2.7272727272727271</v>
      </c>
      <c r="E26" s="112">
        <v>15</v>
      </c>
      <c r="F26" s="200">
        <f>E26/mob_VAE_initial</f>
        <v>9.5232048758808965</v>
      </c>
      <c r="G26" s="96">
        <f>C26+E26</f>
        <v>30</v>
      </c>
      <c r="H26" s="201">
        <f>G26/mob_tot_initial</f>
        <v>4.2402227530352929</v>
      </c>
    </row>
    <row r="27" spans="1:13" ht="14.5" x14ac:dyDescent="0.35">
      <c r="A27" s="240"/>
      <c r="B27" s="12" t="s">
        <v>65</v>
      </c>
      <c r="C27" s="111">
        <v>5000</v>
      </c>
      <c r="D27" s="202"/>
      <c r="E27" s="111">
        <v>7500</v>
      </c>
      <c r="F27" s="202"/>
      <c r="G27" s="172"/>
      <c r="H27" s="173"/>
    </row>
    <row r="28" spans="1:13" ht="14.5" x14ac:dyDescent="0.35">
      <c r="A28" s="240"/>
      <c r="B28" s="15" t="s">
        <v>63</v>
      </c>
      <c r="C28" s="104">
        <f>C26/C27*1000</f>
        <v>3</v>
      </c>
      <c r="D28" s="203">
        <f>C28/marché_vélo_initial</f>
        <v>1.2701100762066044</v>
      </c>
      <c r="E28" s="104">
        <f>E26/E27*1000</f>
        <v>2</v>
      </c>
      <c r="F28" s="203">
        <f>E28/marché_vélo_initial</f>
        <v>0.84674005080440307</v>
      </c>
      <c r="G28" s="104">
        <f>C28+E28</f>
        <v>5</v>
      </c>
      <c r="H28" s="204">
        <f>G28/marché_tot_initial</f>
        <v>1.8518518518518516</v>
      </c>
    </row>
    <row r="29" spans="1:13" ht="14.5" x14ac:dyDescent="0.35">
      <c r="A29" s="240"/>
      <c r="B29" s="12" t="s">
        <v>66</v>
      </c>
      <c r="C29" s="155">
        <v>600</v>
      </c>
      <c r="D29" s="203">
        <f>C29/C23</f>
        <v>2.0142985061898599</v>
      </c>
      <c r="E29" s="155">
        <v>1800</v>
      </c>
      <c r="F29" s="203">
        <f>E29/E23</f>
        <v>1.1356466876971609</v>
      </c>
      <c r="G29" s="97"/>
      <c r="H29" s="205"/>
    </row>
    <row r="30" spans="1:13" ht="14.5" x14ac:dyDescent="0.35">
      <c r="A30" s="240"/>
      <c r="B30" s="16" t="s">
        <v>68</v>
      </c>
      <c r="C30" s="98">
        <f>C29/(1+TVA)</f>
        <v>500</v>
      </c>
      <c r="D30" s="203"/>
      <c r="E30" s="98">
        <f>E29/(1+TVA)</f>
        <v>1500</v>
      </c>
      <c r="F30" s="203"/>
      <c r="G30" s="97">
        <f>G31/G28</f>
        <v>900</v>
      </c>
      <c r="H30" s="206"/>
    </row>
    <row r="31" spans="1:13" ht="15" thickBot="1" x14ac:dyDescent="0.4">
      <c r="A31" s="241"/>
      <c r="B31" s="13" t="s">
        <v>69</v>
      </c>
      <c r="C31" s="99">
        <f>C28*C30</f>
        <v>1500</v>
      </c>
      <c r="D31" s="207">
        <f>C31/C25</f>
        <v>2.5583808291996526</v>
      </c>
      <c r="E31" s="99">
        <f>E28*E30</f>
        <v>3000</v>
      </c>
      <c r="F31" s="207">
        <f>E31/E25</f>
        <v>6.7198028857820162</v>
      </c>
      <c r="G31" s="100">
        <f>C31+E31</f>
        <v>4500</v>
      </c>
      <c r="H31" s="208">
        <f>G31/marché_constr_initial_valeur</f>
        <v>4.3572984749455328</v>
      </c>
    </row>
    <row r="32" spans="1:13" ht="15" customHeight="1" x14ac:dyDescent="0.35">
      <c r="A32" s="239" t="s">
        <v>72</v>
      </c>
      <c r="B32" s="14" t="s">
        <v>71</v>
      </c>
      <c r="C32" s="116">
        <f>'Objectifs de report modal PTEF'!C26</f>
        <v>44</v>
      </c>
      <c r="D32" s="209">
        <f>mob_vélo_final/mob_vélo_initial</f>
        <v>8</v>
      </c>
      <c r="E32" s="116">
        <f>'Objectifs de report modal PTEF'!C24</f>
        <v>46.75</v>
      </c>
      <c r="F32" s="209">
        <f>mob_vae_final/mob_VAE_initial</f>
        <v>29.680655196495461</v>
      </c>
      <c r="G32" s="104">
        <f>mob_vélo_final+mob_vae_final</f>
        <v>90.75</v>
      </c>
      <c r="H32" s="210">
        <f>(mob_vélo_final+mob_vae_final)/(mob_vélo_initial+mob_VAE_initial)</f>
        <v>12.82667382793176</v>
      </c>
      <c r="I32" s="9"/>
    </row>
    <row r="33" spans="1:18" ht="14.5" x14ac:dyDescent="0.35">
      <c r="A33" s="240"/>
      <c r="B33" s="12" t="s">
        <v>65</v>
      </c>
      <c r="C33" s="111">
        <v>10000</v>
      </c>
      <c r="D33" s="202"/>
      <c r="E33" s="111">
        <v>15000</v>
      </c>
      <c r="F33" s="202"/>
      <c r="G33" s="172"/>
      <c r="H33" s="173"/>
    </row>
    <row r="34" spans="1:18" ht="14.5" x14ac:dyDescent="0.35">
      <c r="A34" s="240"/>
      <c r="B34" s="15" t="s">
        <v>63</v>
      </c>
      <c r="C34" s="104">
        <f>mob_vélo_final/C33*1000</f>
        <v>4.4000000000000004</v>
      </c>
      <c r="D34" s="203">
        <f>marché_vélo_final/marché_vélo_initial</f>
        <v>1.8628281117696868</v>
      </c>
      <c r="E34" s="104">
        <f>mob_vae_final/E33*1000</f>
        <v>3.1166666666666663</v>
      </c>
      <c r="F34" s="203">
        <f>marché_vae_final/marché_vae_initial</f>
        <v>9.2209072978303723</v>
      </c>
      <c r="G34" s="104" cm="1">
        <f t="array" ref="G34">marché_vélo_final+marché_vae_final</f>
        <v>7.5166666666666666</v>
      </c>
      <c r="H34" s="205">
        <f>(marché_vélo_final+marché_vae_final)/(marché_vélo_initial+marché_vae_initial)</f>
        <v>2.7839506172839505</v>
      </c>
      <c r="N34" s="7"/>
    </row>
    <row r="35" spans="1:18" ht="14.5" x14ac:dyDescent="0.35">
      <c r="A35" s="240"/>
      <c r="B35" s="12" t="s">
        <v>66</v>
      </c>
      <c r="C35" s="111">
        <v>800</v>
      </c>
      <c r="D35" s="203">
        <f>C35/C23</f>
        <v>2.6857313415864796</v>
      </c>
      <c r="E35" s="111">
        <v>2000</v>
      </c>
      <c r="F35" s="203">
        <f>E35/E23</f>
        <v>1.2618296529968454</v>
      </c>
      <c r="G35" s="97"/>
      <c r="H35" s="205"/>
      <c r="N35" s="7"/>
    </row>
    <row r="36" spans="1:18" ht="14.5" x14ac:dyDescent="0.35">
      <c r="A36" s="240"/>
      <c r="B36" s="16" t="s">
        <v>68</v>
      </c>
      <c r="C36" s="98">
        <f>C35/(1+TVA)</f>
        <v>666.66666666666674</v>
      </c>
      <c r="D36" s="203"/>
      <c r="E36" s="98">
        <f>E35/(1+TVA)</f>
        <v>1666.6666666666667</v>
      </c>
      <c r="F36" s="202"/>
      <c r="G36" s="97">
        <f>élec_tot_final/marché_tot_final</f>
        <v>1081.3008130081303</v>
      </c>
      <c r="H36" s="206"/>
      <c r="I36" s="10"/>
      <c r="M36" s="10"/>
    </row>
    <row r="37" spans="1:18" ht="15" thickBot="1" x14ac:dyDescent="0.4">
      <c r="A37" s="241"/>
      <c r="B37" s="13" t="s">
        <v>69</v>
      </c>
      <c r="C37" s="99">
        <f>marché_vélo_final*C36</f>
        <v>2933.3333333333339</v>
      </c>
      <c r="D37" s="207">
        <f>élec_Vélo_final/C25</f>
        <v>5.0030558437682107</v>
      </c>
      <c r="E37" s="99">
        <f>marché_vae_final*E36</f>
        <v>5194.4444444444443</v>
      </c>
      <c r="F37" s="207">
        <f>élec_Vae_final/E25</f>
        <v>11.635214255937379</v>
      </c>
      <c r="G37" s="100">
        <f>élec_Vélo_final+élec_Vae_final</f>
        <v>8127.7777777777783</v>
      </c>
      <c r="H37" s="208">
        <f>élec_tot_final/marché_constr_initial_valeur</f>
        <v>7.8700341590682896</v>
      </c>
      <c r="I37" s="10"/>
      <c r="R37" s="7"/>
    </row>
    <row r="38" spans="1:18" ht="14.5" x14ac:dyDescent="0.35">
      <c r="B38" s="18"/>
      <c r="C38" s="9"/>
      <c r="D38" s="9"/>
      <c r="E38" s="9"/>
      <c r="F38" s="9"/>
      <c r="G38" s="9"/>
    </row>
    <row r="39" spans="1:18" x14ac:dyDescent="0.3">
      <c r="B39" s="9"/>
      <c r="C39" s="9"/>
      <c r="D39" s="9"/>
      <c r="E39" s="9"/>
      <c r="F39" s="9"/>
      <c r="G39" s="9"/>
    </row>
    <row r="40" spans="1:18" ht="14.5" x14ac:dyDescent="0.35">
      <c r="A40" s="1" t="s">
        <v>73</v>
      </c>
      <c r="B40" s="2"/>
      <c r="C40" s="2"/>
      <c r="D40" s="2"/>
      <c r="E40" s="2"/>
      <c r="F40" s="2"/>
      <c r="G40" s="2"/>
      <c r="H40" s="8"/>
      <c r="I40" s="8"/>
      <c r="J40" s="8"/>
    </row>
    <row r="41" spans="1:18" ht="15" thickBot="1" x14ac:dyDescent="0.4">
      <c r="A41" s="113"/>
      <c r="B41" s="50"/>
      <c r="C41" s="50"/>
      <c r="D41" s="50"/>
      <c r="E41" s="50"/>
      <c r="F41" s="50"/>
      <c r="G41" s="50"/>
      <c r="H41" s="114"/>
      <c r="I41" s="114"/>
      <c r="J41" s="114"/>
    </row>
    <row r="42" spans="1:18" x14ac:dyDescent="0.3">
      <c r="C42" s="243" t="s">
        <v>45</v>
      </c>
      <c r="D42" s="244"/>
      <c r="E42" s="244" t="s">
        <v>46</v>
      </c>
      <c r="F42" s="246"/>
    </row>
    <row r="43" spans="1:18" ht="14.5" thickBot="1" x14ac:dyDescent="0.35">
      <c r="C43" s="174" t="s">
        <v>74</v>
      </c>
      <c r="D43" s="169" t="s">
        <v>75</v>
      </c>
      <c r="E43" s="169" t="s">
        <v>74</v>
      </c>
      <c r="F43" s="175" t="s">
        <v>75</v>
      </c>
    </row>
    <row r="44" spans="1:18" ht="14.5" thickBot="1" x14ac:dyDescent="0.35">
      <c r="B44" s="176" t="s">
        <v>76</v>
      </c>
      <c r="C44" s="115">
        <f>C9/C25</f>
        <v>0.46903648535326964</v>
      </c>
      <c r="D44" s="117">
        <v>1</v>
      </c>
      <c r="E44" s="115">
        <f>D9/E25</f>
        <v>0.13215612342037966</v>
      </c>
      <c r="F44" s="117">
        <v>1</v>
      </c>
      <c r="G44" s="9"/>
      <c r="H44" s="9"/>
      <c r="I44" s="9"/>
    </row>
    <row r="45" spans="1:18" x14ac:dyDescent="0.3">
      <c r="B45" s="9"/>
      <c r="C45" s="10"/>
      <c r="D45" s="9"/>
      <c r="E45" s="9"/>
      <c r="F45" s="9"/>
      <c r="G45" s="9"/>
    </row>
    <row r="46" spans="1:18" x14ac:dyDescent="0.3">
      <c r="A46" s="7"/>
      <c r="B46" s="9"/>
      <c r="C46" s="9"/>
      <c r="D46" s="9"/>
      <c r="E46" s="9"/>
      <c r="F46" s="9"/>
      <c r="G46" s="9"/>
    </row>
    <row r="47" spans="1:18" x14ac:dyDescent="0.3">
      <c r="A47" s="1" t="s">
        <v>77</v>
      </c>
      <c r="B47" s="2"/>
      <c r="C47" s="2"/>
      <c r="D47" s="2"/>
      <c r="E47" s="2"/>
      <c r="F47" s="2"/>
      <c r="G47" s="2"/>
      <c r="H47" s="2"/>
      <c r="I47" s="2"/>
      <c r="J47" s="2"/>
    </row>
    <row r="48" spans="1:18" ht="30" customHeight="1" x14ac:dyDescent="0.3">
      <c r="A48" s="245" t="s">
        <v>78</v>
      </c>
      <c r="B48" s="245"/>
      <c r="C48" s="245"/>
      <c r="D48" s="245"/>
      <c r="E48" s="245"/>
      <c r="F48" s="245"/>
      <c r="G48" s="245"/>
      <c r="H48" s="245"/>
      <c r="I48" s="245"/>
      <c r="J48" s="245"/>
    </row>
    <row r="49" spans="1:10" x14ac:dyDescent="0.3">
      <c r="A49" s="9" t="s">
        <v>79</v>
      </c>
      <c r="B49" s="9"/>
      <c r="C49" s="9"/>
      <c r="D49" s="9"/>
      <c r="E49" s="9"/>
      <c r="F49" s="9"/>
      <c r="G49" s="9"/>
    </row>
    <row r="50" spans="1:10" x14ac:dyDescent="0.3">
      <c r="C50" s="9"/>
      <c r="D50" s="9"/>
      <c r="E50" s="9"/>
      <c r="F50" s="9"/>
      <c r="G50" s="9"/>
    </row>
    <row r="51" spans="1:10" ht="14.5" thickBot="1" x14ac:dyDescent="0.35">
      <c r="A51" s="9"/>
      <c r="C51" s="9"/>
      <c r="D51" s="24" t="s">
        <v>48</v>
      </c>
      <c r="E51" s="9"/>
      <c r="F51" s="9"/>
      <c r="G51" s="9"/>
    </row>
    <row r="52" spans="1:10" x14ac:dyDescent="0.3">
      <c r="A52" s="9"/>
      <c r="B52" s="14" t="s">
        <v>80</v>
      </c>
      <c r="C52" s="119">
        <v>0.3</v>
      </c>
      <c r="D52" s="23"/>
      <c r="G52" s="9"/>
      <c r="I52" s="177"/>
    </row>
    <row r="53" spans="1:10" x14ac:dyDescent="0.3">
      <c r="A53" s="9"/>
      <c r="B53" s="15" t="s">
        <v>81</v>
      </c>
      <c r="C53" s="120">
        <v>0.1</v>
      </c>
      <c r="D53" s="23"/>
      <c r="E53" s="21"/>
      <c r="F53" s="9"/>
      <c r="G53" s="9"/>
    </row>
    <row r="54" spans="1:10" ht="29" thickBot="1" x14ac:dyDescent="0.4">
      <c r="A54" s="9"/>
      <c r="B54" s="178" t="s">
        <v>82</v>
      </c>
      <c r="C54" s="137">
        <v>1.35</v>
      </c>
      <c r="D54" s="25" t="s">
        <v>83</v>
      </c>
      <c r="E54" s="21"/>
      <c r="F54" s="9"/>
      <c r="G54" s="247"/>
      <c r="H54" s="247"/>
      <c r="I54" s="247"/>
      <c r="J54" s="247"/>
    </row>
    <row r="55" spans="1:10" x14ac:dyDescent="0.3">
      <c r="A55" s="9"/>
      <c r="B55" s="150"/>
      <c r="C55" s="140"/>
      <c r="D55" s="23"/>
      <c r="E55" s="21"/>
      <c r="F55" s="9"/>
      <c r="G55" s="51"/>
      <c r="H55" s="51"/>
      <c r="I55" s="51"/>
      <c r="J55" s="51"/>
    </row>
    <row r="56" spans="1:10" ht="14.5" thickBot="1" x14ac:dyDescent="0.35">
      <c r="B56" s="9"/>
      <c r="C56" s="9"/>
      <c r="D56" s="9"/>
      <c r="E56" s="39"/>
      <c r="F56" s="39"/>
      <c r="G56" s="24" t="s">
        <v>48</v>
      </c>
    </row>
    <row r="57" spans="1:10" ht="40" customHeight="1" x14ac:dyDescent="0.3">
      <c r="B57" s="248" t="s">
        <v>45</v>
      </c>
      <c r="C57" s="242" t="s">
        <v>84</v>
      </c>
      <c r="D57" s="242"/>
      <c r="E57" s="250" t="s">
        <v>85</v>
      </c>
      <c r="F57" s="251"/>
    </row>
    <row r="58" spans="1:10" x14ac:dyDescent="0.3">
      <c r="B58" s="249"/>
      <c r="C58" s="179" t="s">
        <v>74</v>
      </c>
      <c r="D58" s="179" t="s">
        <v>75</v>
      </c>
      <c r="E58" s="180" t="s">
        <v>74</v>
      </c>
      <c r="F58" s="181" t="s">
        <v>75</v>
      </c>
    </row>
    <row r="59" spans="1:10" ht="14.5" x14ac:dyDescent="0.35">
      <c r="B59" s="19" t="s">
        <v>86</v>
      </c>
      <c r="C59" s="121">
        <v>0.5</v>
      </c>
      <c r="D59" s="122">
        <v>0.3</v>
      </c>
      <c r="E59" s="182">
        <v>2</v>
      </c>
      <c r="F59" s="127">
        <f>E59+$C$54*$C$52/30%</f>
        <v>3.35</v>
      </c>
      <c r="G59" s="5" t="s">
        <v>87</v>
      </c>
    </row>
    <row r="60" spans="1:10" ht="14.5" x14ac:dyDescent="0.35">
      <c r="B60" s="19" t="s">
        <v>88</v>
      </c>
      <c r="C60" s="121">
        <v>0.48</v>
      </c>
      <c r="D60" s="122">
        <v>0.55000000000000004</v>
      </c>
      <c r="E60" s="182">
        <v>5</v>
      </c>
      <c r="F60" s="127">
        <f t="shared" ref="F60:F61" si="0">E60+$C$54*$C$52/30%</f>
        <v>6.35</v>
      </c>
      <c r="G60" s="5" t="s">
        <v>87</v>
      </c>
    </row>
    <row r="61" spans="1:10" ht="14.5" x14ac:dyDescent="0.35">
      <c r="B61" s="49" t="s">
        <v>89</v>
      </c>
      <c r="C61" s="123">
        <v>0.02</v>
      </c>
      <c r="D61" s="145">
        <v>0.15</v>
      </c>
      <c r="E61" s="183">
        <v>10</v>
      </c>
      <c r="F61" s="146">
        <f t="shared" si="0"/>
        <v>11.35</v>
      </c>
      <c r="G61" s="5" t="s">
        <v>90</v>
      </c>
    </row>
    <row r="62" spans="1:10" ht="15" thickBot="1" x14ac:dyDescent="0.4">
      <c r="B62" s="144" t="s">
        <v>91</v>
      </c>
      <c r="C62" s="124">
        <f>SUM(C59:C61)</f>
        <v>1</v>
      </c>
      <c r="D62" s="124">
        <f>SUM(D59:D61)</f>
        <v>1</v>
      </c>
      <c r="E62" s="184">
        <f>SUMPRODUCT(C59:C61,E59:E61)</f>
        <v>3.6</v>
      </c>
      <c r="F62" s="143">
        <f>SUMPRODUCT(F59:F61,$D$59:$D$61)</f>
        <v>6.2</v>
      </c>
      <c r="G62" s="5" t="s">
        <v>92</v>
      </c>
    </row>
    <row r="63" spans="1:10" ht="14.5" x14ac:dyDescent="0.35">
      <c r="B63" s="40"/>
      <c r="C63" s="138"/>
      <c r="D63" s="138"/>
      <c r="E63" s="185"/>
      <c r="F63" s="139"/>
      <c r="G63" s="5"/>
    </row>
    <row r="64" spans="1:10" ht="15" thickBot="1" x14ac:dyDescent="0.4">
      <c r="B64" s="40"/>
      <c r="C64" s="43"/>
      <c r="D64" s="41"/>
      <c r="F64" s="41"/>
      <c r="G64" s="5"/>
    </row>
    <row r="65" spans="1:13" ht="38.15" customHeight="1" x14ac:dyDescent="0.35">
      <c r="B65" s="248" t="s">
        <v>46</v>
      </c>
      <c r="C65" s="242" t="s">
        <v>84</v>
      </c>
      <c r="D65" s="242"/>
      <c r="E65" s="250" t="s">
        <v>85</v>
      </c>
      <c r="F65" s="251"/>
      <c r="G65" s="5"/>
    </row>
    <row r="66" spans="1:13" ht="14.5" x14ac:dyDescent="0.35">
      <c r="B66" s="249"/>
      <c r="C66" s="179" t="s">
        <v>74</v>
      </c>
      <c r="D66" s="179" t="s">
        <v>75</v>
      </c>
      <c r="E66" s="180" t="s">
        <v>74</v>
      </c>
      <c r="F66" s="181" t="s">
        <v>75</v>
      </c>
      <c r="G66" s="5"/>
    </row>
    <row r="67" spans="1:13" ht="14.5" x14ac:dyDescent="0.35">
      <c r="B67" s="19" t="s">
        <v>86</v>
      </c>
      <c r="C67" s="132">
        <v>0.5</v>
      </c>
      <c r="D67" s="134">
        <v>0.3</v>
      </c>
      <c r="E67" s="186">
        <v>1.5</v>
      </c>
      <c r="F67" s="125">
        <f>E67+$C$54*$C$52/30%</f>
        <v>2.85</v>
      </c>
      <c r="G67" s="5" t="s">
        <v>87</v>
      </c>
    </row>
    <row r="68" spans="1:13" ht="14.5" x14ac:dyDescent="0.35">
      <c r="B68" s="19" t="s">
        <v>88</v>
      </c>
      <c r="C68" s="132">
        <v>0.48</v>
      </c>
      <c r="D68" s="134">
        <v>0.55000000000000004</v>
      </c>
      <c r="E68" s="186">
        <v>4.8</v>
      </c>
      <c r="F68" s="125">
        <f t="shared" ref="F68:F69" si="1">E68+$C$54*$C$52/30%</f>
        <v>6.15</v>
      </c>
      <c r="G68" s="5" t="s">
        <v>87</v>
      </c>
    </row>
    <row r="69" spans="1:13" ht="14.5" x14ac:dyDescent="0.35">
      <c r="B69" s="49" t="s">
        <v>89</v>
      </c>
      <c r="C69" s="133">
        <v>0.02</v>
      </c>
      <c r="D69" s="135">
        <v>0.15</v>
      </c>
      <c r="E69" s="187">
        <v>10</v>
      </c>
      <c r="F69" s="126">
        <f t="shared" si="1"/>
        <v>11.35</v>
      </c>
      <c r="G69" s="5" t="s">
        <v>90</v>
      </c>
    </row>
    <row r="70" spans="1:13" ht="15" thickBot="1" x14ac:dyDescent="0.4">
      <c r="B70" s="144" t="s">
        <v>91</v>
      </c>
      <c r="C70" s="136">
        <f>SUM(C67:C69)</f>
        <v>1</v>
      </c>
      <c r="D70" s="136">
        <f>SUM(D67:D69)</f>
        <v>1</v>
      </c>
      <c r="E70" s="184">
        <f>SUMPRODUCT(C67:C69,E67:E69)</f>
        <v>3.254</v>
      </c>
      <c r="F70" s="143">
        <f>SUMPRODUCT(F67:F69,$D$59:$D$61)</f>
        <v>5.94</v>
      </c>
      <c r="G70" s="5" t="s">
        <v>93</v>
      </c>
    </row>
    <row r="71" spans="1:13" ht="14.5" x14ac:dyDescent="0.35">
      <c r="B71" s="40"/>
      <c r="C71" s="141"/>
      <c r="D71" s="141"/>
      <c r="E71" s="167"/>
      <c r="F71" s="139"/>
      <c r="G71" s="142"/>
      <c r="H71" s="142"/>
      <c r="I71" s="188"/>
      <c r="J71" s="188"/>
      <c r="K71" s="188"/>
      <c r="L71" s="188"/>
      <c r="M71" s="189"/>
    </row>
    <row r="72" spans="1:13" ht="15" customHeight="1" x14ac:dyDescent="0.3">
      <c r="B72" s="9"/>
      <c r="C72" s="211"/>
      <c r="D72" s="211"/>
      <c r="E72" s="211"/>
    </row>
    <row r="73" spans="1:13" x14ac:dyDescent="0.3">
      <c r="A73" s="1" t="s">
        <v>94</v>
      </c>
      <c r="B73" s="2"/>
      <c r="C73" s="2"/>
      <c r="D73" s="2"/>
      <c r="E73" s="2"/>
      <c r="F73" s="2"/>
      <c r="G73" s="2"/>
      <c r="H73" s="2"/>
      <c r="I73" s="2"/>
      <c r="J73" s="2"/>
    </row>
    <row r="74" spans="1:13" x14ac:dyDescent="0.3">
      <c r="A74" s="158" t="s">
        <v>95</v>
      </c>
      <c r="B74" s="148"/>
      <c r="C74" s="148"/>
      <c r="D74" s="148"/>
      <c r="E74" s="148"/>
      <c r="F74" s="148"/>
      <c r="G74" s="148"/>
      <c r="H74" s="148"/>
      <c r="I74" s="148"/>
      <c r="J74" s="148"/>
    </row>
    <row r="75" spans="1:13" x14ac:dyDescent="0.3">
      <c r="B75" s="148"/>
      <c r="C75" s="148"/>
      <c r="D75" s="148"/>
      <c r="E75" s="148"/>
      <c r="F75" s="148"/>
      <c r="G75" s="148"/>
      <c r="H75" s="148"/>
      <c r="I75" s="148"/>
      <c r="J75" s="148"/>
    </row>
    <row r="76" spans="1:13" ht="14.5" thickBot="1" x14ac:dyDescent="0.35">
      <c r="B76" s="9"/>
      <c r="C76" s="211"/>
      <c r="D76" s="147" t="s">
        <v>96</v>
      </c>
      <c r="E76" s="211"/>
      <c r="F76" s="211"/>
      <c r="G76" s="9"/>
    </row>
    <row r="77" spans="1:13" ht="14.5" x14ac:dyDescent="0.35">
      <c r="B77" s="38" t="s">
        <v>97</v>
      </c>
      <c r="C77" s="212">
        <v>1800</v>
      </c>
      <c r="D77" s="5"/>
      <c r="F77" s="211"/>
    </row>
    <row r="78" spans="1:13" ht="14.5" x14ac:dyDescent="0.35">
      <c r="B78" s="19" t="s">
        <v>98</v>
      </c>
      <c r="C78" s="213">
        <v>2300</v>
      </c>
      <c r="D78" s="5"/>
      <c r="F78" s="211"/>
      <c r="G78" s="9"/>
    </row>
    <row r="79" spans="1:13" x14ac:dyDescent="0.3">
      <c r="B79" s="164" t="s">
        <v>99</v>
      </c>
      <c r="C79" s="156">
        <v>0.5</v>
      </c>
      <c r="F79" s="211"/>
      <c r="G79" s="9"/>
    </row>
    <row r="80" spans="1:13" x14ac:dyDescent="0.3">
      <c r="B80" s="19" t="s">
        <v>100</v>
      </c>
      <c r="C80" s="214">
        <f>C78+C77*C79</f>
        <v>3200</v>
      </c>
      <c r="F80" s="211"/>
      <c r="G80" s="9"/>
    </row>
    <row r="81" spans="1:14" ht="14.5" x14ac:dyDescent="0.35">
      <c r="B81" s="19" t="s">
        <v>101</v>
      </c>
      <c r="C81" s="215">
        <v>0.19</v>
      </c>
      <c r="D81" s="5"/>
      <c r="F81" s="211"/>
      <c r="G81" s="9"/>
    </row>
    <row r="82" spans="1:14" ht="14.5" x14ac:dyDescent="0.35">
      <c r="B82" s="19" t="s">
        <v>102</v>
      </c>
      <c r="C82" s="213">
        <f>marché_tot_initial*1000</f>
        <v>2700</v>
      </c>
      <c r="D82" s="5"/>
      <c r="F82" s="211"/>
      <c r="G82" s="9"/>
    </row>
    <row r="83" spans="1:14" ht="14.5" x14ac:dyDescent="0.35">
      <c r="B83" s="19" t="s">
        <v>103</v>
      </c>
      <c r="C83" s="216">
        <f>C80/(C82*C81)</f>
        <v>6.2378167641325533</v>
      </c>
      <c r="F83" s="21"/>
      <c r="G83" s="22"/>
    </row>
    <row r="84" spans="1:14" ht="15" thickBot="1" x14ac:dyDescent="0.4">
      <c r="B84" s="17" t="s">
        <v>104</v>
      </c>
      <c r="C84" s="128">
        <v>0</v>
      </c>
      <c r="F84" s="21"/>
      <c r="G84" s="22"/>
    </row>
    <row r="85" spans="1:14" ht="14.5" x14ac:dyDescent="0.35">
      <c r="B85" s="21"/>
      <c r="C85" s="23"/>
      <c r="F85" s="21"/>
      <c r="G85" s="22"/>
    </row>
    <row r="86" spans="1:14" ht="14.5" x14ac:dyDescent="0.35">
      <c r="A86" s="9"/>
      <c r="B86" s="21"/>
      <c r="C86" s="23"/>
      <c r="D86" s="23"/>
      <c r="E86" s="21"/>
      <c r="F86" s="21"/>
      <c r="G86" s="22"/>
      <c r="L86" s="7"/>
    </row>
    <row r="87" spans="1:14" x14ac:dyDescent="0.3">
      <c r="A87" s="1" t="s">
        <v>105</v>
      </c>
      <c r="B87" s="2"/>
      <c r="C87" s="2"/>
      <c r="D87" s="2"/>
      <c r="E87" s="2"/>
      <c r="F87" s="2"/>
      <c r="G87" s="2"/>
      <c r="H87" s="2"/>
      <c r="I87" s="2"/>
      <c r="J87" s="2"/>
    </row>
    <row r="88" spans="1:14" ht="14.5" x14ac:dyDescent="0.35">
      <c r="A88" s="158" t="s">
        <v>106</v>
      </c>
      <c r="B88" s="21"/>
      <c r="C88" s="23"/>
      <c r="D88" s="23"/>
      <c r="E88" s="21"/>
      <c r="F88" s="21"/>
      <c r="G88" s="22"/>
      <c r="N88" s="7"/>
    </row>
    <row r="89" spans="1:14" ht="14.5" x14ac:dyDescent="0.35">
      <c r="A89" s="158" t="s">
        <v>107</v>
      </c>
      <c r="B89" s="21"/>
      <c r="C89" s="23"/>
      <c r="D89" s="23"/>
      <c r="E89" s="21"/>
      <c r="F89" s="21"/>
      <c r="G89" s="22"/>
      <c r="N89" s="7"/>
    </row>
    <row r="90" spans="1:14" ht="15" thickBot="1" x14ac:dyDescent="0.4">
      <c r="A90" s="23"/>
      <c r="B90" s="21"/>
      <c r="C90" s="23"/>
      <c r="D90" s="23"/>
      <c r="E90" s="21"/>
      <c r="F90" s="21"/>
      <c r="G90" s="22"/>
    </row>
    <row r="91" spans="1:14" ht="14.5" x14ac:dyDescent="0.35">
      <c r="B91" s="161" t="s">
        <v>108</v>
      </c>
      <c r="C91" s="129">
        <v>0</v>
      </c>
      <c r="E91" s="21"/>
      <c r="F91" s="21"/>
      <c r="G91" s="22"/>
      <c r="N91" s="7"/>
    </row>
    <row r="92" spans="1:14" ht="14.5" x14ac:dyDescent="0.35">
      <c r="B92" s="164" t="s">
        <v>109</v>
      </c>
      <c r="C92" s="149">
        <v>0.22</v>
      </c>
      <c r="D92" s="5" t="s">
        <v>110</v>
      </c>
      <c r="E92" s="21"/>
      <c r="F92" s="21"/>
      <c r="G92" s="22"/>
      <c r="N92" s="7"/>
    </row>
    <row r="93" spans="1:14" ht="14.5" x14ac:dyDescent="0.35">
      <c r="B93" s="164" t="s">
        <v>111</v>
      </c>
      <c r="C93" s="130">
        <v>10</v>
      </c>
      <c r="D93" s="23"/>
      <c r="E93" s="21"/>
      <c r="F93" s="21"/>
      <c r="G93" s="22"/>
      <c r="N93" s="7"/>
    </row>
    <row r="94" spans="1:14" ht="15" thickBot="1" x14ac:dyDescent="0.4">
      <c r="B94" s="168" t="s">
        <v>112</v>
      </c>
      <c r="C94" s="131">
        <v>30</v>
      </c>
      <c r="D94" s="252"/>
      <c r="E94" s="21"/>
      <c r="F94" s="21"/>
      <c r="G94" s="22"/>
      <c r="N94" s="7"/>
    </row>
    <row r="95" spans="1:14" ht="14.5" x14ac:dyDescent="0.35">
      <c r="B95" s="24"/>
      <c r="C95" s="18"/>
      <c r="D95" s="23"/>
      <c r="E95" s="21"/>
      <c r="F95" s="21"/>
      <c r="G95" s="22"/>
      <c r="J95" s="7"/>
    </row>
    <row r="97" spans="1:16" x14ac:dyDescent="0.3">
      <c r="A97" s="1" t="s">
        <v>113</v>
      </c>
      <c r="B97" s="2"/>
      <c r="C97" s="2"/>
      <c r="D97" s="2"/>
      <c r="E97" s="2"/>
      <c r="F97" s="2"/>
      <c r="G97" s="2"/>
      <c r="H97" s="2"/>
      <c r="I97" s="2"/>
      <c r="J97" s="2"/>
    </row>
    <row r="98" spans="1:16" s="9" customFormat="1" x14ac:dyDescent="0.3">
      <c r="A98" s="26"/>
    </row>
    <row r="99" spans="1:16" ht="46" customHeight="1" x14ac:dyDescent="0.3">
      <c r="B99" s="27" t="s">
        <v>114</v>
      </c>
      <c r="C99" s="28" t="s">
        <v>115</v>
      </c>
      <c r="D99" s="28" t="s">
        <v>116</v>
      </c>
      <c r="E99" s="153" t="s">
        <v>117</v>
      </c>
      <c r="F99" s="28" t="s">
        <v>118</v>
      </c>
      <c r="G99" s="154" t="s">
        <v>119</v>
      </c>
      <c r="H99" s="153" t="s">
        <v>120</v>
      </c>
    </row>
    <row r="100" spans="1:16" s="5" customFormat="1" ht="40" customHeight="1" x14ac:dyDescent="0.35">
      <c r="B100" s="150" t="s">
        <v>121</v>
      </c>
      <c r="C100" s="151">
        <f>E62*C8</f>
        <v>1749.6000000000001</v>
      </c>
      <c r="D100" s="152">
        <f>$D$44*C31*($F$62+$E$62)/2</f>
        <v>7350.0000000000009</v>
      </c>
      <c r="E100" s="47">
        <f>Table134[[#This Row],[Emploi 2030 (ETP)]]-Table134[[#This Row],[Emploi 2018 (ETP)]]</f>
        <v>5600.4000000000005</v>
      </c>
      <c r="F100" s="48">
        <f>($D$44*élec_Vélo_final/(1+$I$62))*$F$62</f>
        <v>18186.666666666672</v>
      </c>
      <c r="G100" s="47">
        <f>Table134[[#This Row],[Emploi 2050 (ETP)]]-Table134[[#This Row],[Emploi 2018 (ETP)]]</f>
        <v>16437.066666666673</v>
      </c>
      <c r="H100" s="157">
        <f>Table134[[#This Row],[Emploi 2050 (ETP)]]/Table134[[#This Row],[Emploi 2018 (ETP)]]</f>
        <v>10.394756896814512</v>
      </c>
    </row>
    <row r="101" spans="1:16" s="5" customFormat="1" ht="40" customHeight="1" x14ac:dyDescent="0.35">
      <c r="B101" s="150" t="s">
        <v>122</v>
      </c>
      <c r="C101" s="151">
        <f>E70*D8</f>
        <v>240.79599999999999</v>
      </c>
      <c r="D101" s="152">
        <f>$F$44*E31*($F$70+$E$70)/2</f>
        <v>13791.000000000002</v>
      </c>
      <c r="E101" s="47">
        <f>Table134[[#This Row],[Emploi 2030 (ETP)]]-Table134[[#This Row],[Emploi 2018 (ETP)]]</f>
        <v>13550.204000000002</v>
      </c>
      <c r="F101" s="48">
        <f>($F$44*élec_Vae_final/(1+$I$70))*$F$70</f>
        <v>30855</v>
      </c>
      <c r="G101" s="47">
        <f>Table134[[#This Row],[Emploi 2050 (ETP)]]-Table134[[#This Row],[Emploi 2018 (ETP)]]</f>
        <v>30614.204000000002</v>
      </c>
      <c r="H101" s="157">
        <f>Table134[[#This Row],[Emploi 2050 (ETP)]]/Table134[[#This Row],[Emploi 2018 (ETP)]]</f>
        <v>128.13751058987691</v>
      </c>
    </row>
    <row r="102" spans="1:16" x14ac:dyDescent="0.3">
      <c r="B102" s="221" t="s">
        <v>123</v>
      </c>
      <c r="C102" s="222">
        <f>C100+C101</f>
        <v>1990.3960000000002</v>
      </c>
      <c r="D102" s="222">
        <f>D100+D101</f>
        <v>21141.000000000004</v>
      </c>
      <c r="E102" s="223">
        <f>Table134[[#This Row],[Emploi 2030 (ETP)]]-Table134[[#This Row],[Emploi 2018 (ETP)]]</f>
        <v>19150.604000000003</v>
      </c>
      <c r="F102" s="224">
        <f>F100+F101</f>
        <v>49041.666666666672</v>
      </c>
      <c r="G102" s="223">
        <f>Table134[[#This Row],[Emploi 2050 (ETP)]]-Table134[[#This Row],[Emploi 2018 (ETP)]]</f>
        <v>47051.270666666671</v>
      </c>
      <c r="H102" s="225">
        <f>Table134[[#This Row],[Emploi 2050 (ETP)]]/Table134[[#This Row],[Emploi 2018 (ETP)]]</f>
        <v>24.639150534198556</v>
      </c>
      <c r="I102" s="150"/>
      <c r="J102" s="150"/>
      <c r="K102" s="150"/>
      <c r="L102" s="150"/>
      <c r="M102" s="150"/>
      <c r="N102" s="150"/>
      <c r="O102" s="150"/>
      <c r="P102" s="150"/>
    </row>
    <row r="103" spans="1:16" s="5" customFormat="1" ht="40" customHeight="1" x14ac:dyDescent="0.35">
      <c r="B103" s="150" t="s">
        <v>124</v>
      </c>
      <c r="C103" s="152">
        <f>C83*C82</f>
        <v>16842.105263157893</v>
      </c>
      <c r="D103" s="152">
        <f>C103*H26</f>
        <v>71414.277945857553</v>
      </c>
      <c r="E103" s="47">
        <f>Table134[[#This Row],[Emploi 2030 (ETP)]]-Table134[[#This Row],[Emploi 2018 (ETP)]]</f>
        <v>54572.17268269966</v>
      </c>
      <c r="F103" s="48">
        <f>C103*mob_tot_évolution</f>
        <v>216028.19078621909</v>
      </c>
      <c r="G103" s="47">
        <f>Table134[[#This Row],[Emploi 2050 (ETP)]]-Table134[[#This Row],[Emploi 2018 (ETP)]]</f>
        <v>199186.08552306119</v>
      </c>
      <c r="H103" s="157">
        <f>Table134[[#This Row],[Emploi 2050 (ETP)]]/Table134[[#This Row],[Emploi 2018 (ETP)]]</f>
        <v>12.82667382793176</v>
      </c>
      <c r="I103" s="33"/>
      <c r="J103" s="33"/>
      <c r="K103" s="33"/>
      <c r="L103" s="33"/>
      <c r="M103" s="33"/>
      <c r="N103" s="29"/>
      <c r="O103" s="29"/>
      <c r="P103" s="29"/>
    </row>
    <row r="104" spans="1:16" x14ac:dyDescent="0.3">
      <c r="B104" s="221" t="s">
        <v>125</v>
      </c>
      <c r="C104" s="222">
        <f>SUM(C103:C103)</f>
        <v>16842.105263157893</v>
      </c>
      <c r="D104" s="222">
        <f>SUM(D103:D103)</f>
        <v>71414.277945857553</v>
      </c>
      <c r="E104" s="223">
        <f>Table134[[#This Row],[Emploi 2030 (ETP)]]-Table134[[#This Row],[Emploi 2018 (ETP)]]</f>
        <v>54572.17268269966</v>
      </c>
      <c r="F104" s="224">
        <f>SUM(F103:F103)</f>
        <v>216028.19078621909</v>
      </c>
      <c r="G104" s="223">
        <f>Table134[[#This Row],[Emploi 2050 (ETP)]]-Table134[[#This Row],[Emploi 2018 (ETP)]]</f>
        <v>199186.08552306119</v>
      </c>
      <c r="H104" s="225">
        <f>Table134[[#This Row],[Emploi 2050 (ETP)]]/Table134[[#This Row],[Emploi 2018 (ETP)]]</f>
        <v>12.82667382793176</v>
      </c>
      <c r="I104" s="150"/>
      <c r="J104" s="150"/>
      <c r="K104" s="150"/>
      <c r="L104" s="150"/>
      <c r="M104" s="150"/>
      <c r="N104" s="150"/>
      <c r="O104" s="150"/>
      <c r="P104" s="150"/>
    </row>
    <row r="105" spans="1:16" s="4" customFormat="1" x14ac:dyDescent="0.3">
      <c r="B105" s="226" t="s">
        <v>47</v>
      </c>
      <c r="C105" s="227">
        <f>SUM(C102,C104)</f>
        <v>18832.501263157894</v>
      </c>
      <c r="D105" s="227">
        <f>SUM(D102,D104)</f>
        <v>92555.277945857553</v>
      </c>
      <c r="E105" s="228">
        <f>Table134[[#This Row],[Emploi 2030 (ETP)]]-Table134[[#This Row],[Emploi 2018 (ETP)]]</f>
        <v>73722.776682699652</v>
      </c>
      <c r="F105" s="229">
        <f>SUM(F102,F104)</f>
        <v>265069.85745288577</v>
      </c>
      <c r="G105" s="228">
        <f>Table134[[#This Row],[Emploi 2050 (ETP)]]-Table134[[#This Row],[Emploi 2018 (ETP)]]</f>
        <v>246237.35618972787</v>
      </c>
      <c r="H105" s="230">
        <f>Table134[[#This Row],[Emploi 2050 (ETP)]]/Table134[[#This Row],[Emploi 2018 (ETP)]]</f>
        <v>14.075127554694134</v>
      </c>
      <c r="I105" s="37"/>
      <c r="J105" s="37"/>
      <c r="K105" s="37"/>
      <c r="L105" s="37"/>
      <c r="M105" s="37"/>
      <c r="N105" s="37"/>
      <c r="O105" s="37"/>
      <c r="P105" s="37"/>
    </row>
    <row r="107" spans="1:16" ht="14.5" x14ac:dyDescent="0.35">
      <c r="B107" s="29"/>
    </row>
    <row r="108" spans="1:16" ht="14.5" x14ac:dyDescent="0.35">
      <c r="B108" s="29"/>
    </row>
    <row r="110" spans="1:16" ht="14.5" x14ac:dyDescent="0.35">
      <c r="B110" s="29"/>
    </row>
  </sheetData>
  <mergeCells count="13">
    <mergeCell ref="B65:B66"/>
    <mergeCell ref="E57:F57"/>
    <mergeCell ref="B57:B58"/>
    <mergeCell ref="C65:D65"/>
    <mergeCell ref="E65:F65"/>
    <mergeCell ref="A19:A25"/>
    <mergeCell ref="A26:A31"/>
    <mergeCell ref="A32:A37"/>
    <mergeCell ref="C57:D57"/>
    <mergeCell ref="C42:D42"/>
    <mergeCell ref="A48:J48"/>
    <mergeCell ref="E42:F42"/>
    <mergeCell ref="G54:J54"/>
  </mergeCells>
  <phoneticPr fontId="19" type="noConversion"/>
  <dataValidations count="15">
    <dataValidation type="list" allowBlank="1" showInputMessage="1" promptTitle="Valeur par défaut dans la liste" sqref="C33" xr:uid="{359BAF97-B3AB-534D-B8C6-A6DDF63928FE}">
      <formula1>"10000"</formula1>
    </dataValidation>
    <dataValidation type="list" allowBlank="1" showInputMessage="1" promptTitle="Valeur par défaut dans la liste" sqref="C27" xr:uid="{1B4FE230-C853-F946-9138-5A3976277B64}">
      <formula1>"5000"</formula1>
    </dataValidation>
    <dataValidation type="list" allowBlank="1" showInputMessage="1" promptTitle="Valeur par défaut dans la liste" sqref="E33" xr:uid="{342CB737-55EF-7C4C-A062-40B08A6170DF}">
      <formula1>"15000"</formula1>
    </dataValidation>
    <dataValidation type="list" allowBlank="1" showInputMessage="1" promptTitle="Valeur par défaut dans la liste" sqref="E27" xr:uid="{4EA51FE2-1F8C-D445-9DC1-E9899E67FDC4}">
      <formula1>"7500"</formula1>
    </dataValidation>
    <dataValidation type="list" allowBlank="1" showInputMessage="1" promptTitle="Valeur par défaut en liste" sqref="C26 E26" xr:uid="{A45B913B-D34A-6B46-AB9A-F23732411F95}">
      <formula1>"15"</formula1>
    </dataValidation>
    <dataValidation type="list" allowBlank="1" showInputMessage="1" promptTitle="Valeur par défaut dans la liste" sqref="C35" xr:uid="{D3269182-FC52-2741-A125-F0A248751C66}">
      <formula1>"800"</formula1>
    </dataValidation>
    <dataValidation type="list" allowBlank="1" showInputMessage="1" promptTitle="Valeur par défaut dans la liste" sqref="E35" xr:uid="{D6A33DA8-E333-3946-B730-7DA8AA2894F8}">
      <formula1>"2000"</formula1>
    </dataValidation>
    <dataValidation type="list" allowBlank="1" showInputMessage="1" promptTitle="Valeur par défaut dans le menu" sqref="C54" xr:uid="{98158992-EBCB-234E-A3D0-CC36958B0AE1}">
      <mc:AlternateContent xmlns:x12ac="http://schemas.microsoft.com/office/spreadsheetml/2011/1/ac" xmlns:mc="http://schemas.openxmlformats.org/markup-compatibility/2006">
        <mc:Choice Requires="x12ac">
          <x12ac:list>"1,35"</x12ac:list>
        </mc:Choice>
        <mc:Fallback>
          <formula1>"1,35"</formula1>
        </mc:Fallback>
      </mc:AlternateContent>
    </dataValidation>
    <dataValidation type="list" allowBlank="1" showInputMessage="1" prompt="Valeur par défaut dans le menu déroulant" sqref="D44 F44" xr:uid="{1279807E-4016-2A49-A65D-B2EDCFB32706}">
      <formula1>"100%"</formula1>
    </dataValidation>
    <dataValidation type="list" allowBlank="1" showInputMessage="1" prompt="Valeur par défaut dans le menu déroulant" sqref="C52 D59 D67" xr:uid="{00AB2F88-E1E6-A84B-A6A5-AF1B67AFDD64}">
      <formula1>"30%"</formula1>
    </dataValidation>
    <dataValidation type="list" allowBlank="1" showInputMessage="1" prompt="Valeur par défaut dans le menu déroulant" sqref="C53" xr:uid="{00895228-DA36-5F46-A45C-A2EB7F0A6739}">
      <formula1>"10%"</formula1>
    </dataValidation>
    <dataValidation type="list" allowBlank="1" showInputMessage="1" prompt="Valeur par défaut dans le menu déroulant" sqref="D60 D68" xr:uid="{0D502B32-F68C-A444-91D1-479E191F6BE5}">
      <formula1>"55%"</formula1>
    </dataValidation>
    <dataValidation type="list" allowBlank="1" showInputMessage="1" prompt="Valeur par défaut dans le menu déroulant" sqref="D61 D69" xr:uid="{9CC35D5D-8A9C-8341-96DA-8203751C20BA}">
      <formula1>"15%"</formula1>
    </dataValidation>
    <dataValidation type="list" allowBlank="1" showInputMessage="1" prompt="Valeur par défaut dans le menu déroulant" sqref="C79" xr:uid="{71B3B1A8-AE81-2A4B-A060-476E1B0AC638}">
      <formula1>"50%"</formula1>
    </dataValidation>
    <dataValidation type="list" allowBlank="1" showInputMessage="1" prompt="Valeur par défaut dans le menu déroulant" sqref="C84" xr:uid="{D102B3FE-808D-244E-A00F-D02E84A235D2}">
      <formula1>"0%"</formula1>
    </dataValidation>
  </dataValidations>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F22794-A105-7644-BB72-D6B5FD3FFBEB}">
  <sheetPr>
    <tabColor theme="6"/>
  </sheetPr>
  <dimension ref="A1:H13"/>
  <sheetViews>
    <sheetView workbookViewId="0">
      <selection activeCell="A2" sqref="A2"/>
    </sheetView>
  </sheetViews>
  <sheetFormatPr baseColWidth="10" defaultColWidth="11.53515625" defaultRowHeight="15.5" x14ac:dyDescent="0.35"/>
  <cols>
    <col min="1" max="1" width="25.53515625" customWidth="1"/>
  </cols>
  <sheetData>
    <row r="1" spans="1:8" x14ac:dyDescent="0.35">
      <c r="A1" s="218" t="s">
        <v>126</v>
      </c>
      <c r="B1" s="219"/>
      <c r="C1" s="219"/>
      <c r="D1" s="219"/>
      <c r="E1" s="219"/>
      <c r="F1" s="219"/>
      <c r="G1" s="220"/>
      <c r="H1" s="220"/>
    </row>
    <row r="3" spans="1:8" ht="42" x14ac:dyDescent="0.35">
      <c r="A3" s="27" t="s">
        <v>114</v>
      </c>
      <c r="B3" s="28" t="s">
        <v>115</v>
      </c>
      <c r="C3" s="28" t="s">
        <v>116</v>
      </c>
      <c r="D3" s="28" t="s">
        <v>118</v>
      </c>
      <c r="E3" s="154" t="s">
        <v>119</v>
      </c>
    </row>
    <row r="4" spans="1:8" x14ac:dyDescent="0.35">
      <c r="A4" s="150" t="s">
        <v>127</v>
      </c>
      <c r="B4" s="151">
        <f>ROUND('Modèle Emploi Vélo'!C100, 1-LOG('Modèle Emploi Vélo'!C100))</f>
        <v>1700</v>
      </c>
      <c r="C4" s="152">
        <f>ROUND('Modèle Emploi Vélo'!D100, 1-LOG('Modèle Emploi Vélo'!D100))</f>
        <v>7400</v>
      </c>
      <c r="D4" s="48">
        <f>ROUND('Modèle Emploi Vélo'!F100, 1-LOG('Modèle Emploi Vélo'!F100))</f>
        <v>18000</v>
      </c>
      <c r="E4" s="47">
        <f>ROUND('Modèle Emploi Vélo'!G100, 1-LOG('Modèle Emploi Vélo'!G100))</f>
        <v>16000</v>
      </c>
    </row>
    <row r="5" spans="1:8" x14ac:dyDescent="0.35">
      <c r="A5" s="150" t="s">
        <v>128</v>
      </c>
      <c r="B5" s="151">
        <f>ROUND('Modèle Emploi Vélo'!C101, 1-LOG('Modèle Emploi Vélo'!C101))</f>
        <v>240</v>
      </c>
      <c r="C5" s="152">
        <f>ROUND('Modèle Emploi Vélo'!D101, 1-LOG('Modèle Emploi Vélo'!D101))</f>
        <v>14000</v>
      </c>
      <c r="D5" s="48">
        <f>ROUND('Modèle Emploi Vélo'!F101, 1-LOG('Modèle Emploi Vélo'!F101))</f>
        <v>31000</v>
      </c>
      <c r="E5" s="47">
        <f>ROUND('Modèle Emploi Vélo'!G101, 1-LOG('Modèle Emploi Vélo'!G101))</f>
        <v>31000</v>
      </c>
    </row>
    <row r="6" spans="1:8" ht="28.5" x14ac:dyDescent="0.35">
      <c r="A6" s="30" t="s">
        <v>123</v>
      </c>
      <c r="B6" s="31">
        <f>ROUND('Modèle Emploi Vélo'!C102, 1-LOG('Modèle Emploi Vélo'!C102))</f>
        <v>2000</v>
      </c>
      <c r="C6" s="31">
        <f>ROUND('Modèle Emploi Vélo'!D102, 1-LOG('Modèle Emploi Vélo'!D102))</f>
        <v>21000</v>
      </c>
      <c r="D6" s="46">
        <f>ROUND('Modèle Emploi Vélo'!F102, 1-LOG('Modèle Emploi Vélo'!F102))</f>
        <v>49000</v>
      </c>
      <c r="E6" s="32">
        <f>ROUND('Modèle Emploi Vélo'!G102, 1-LOG('Modèle Emploi Vélo'!G102))</f>
        <v>47000</v>
      </c>
    </row>
    <row r="7" spans="1:8" ht="28.5" x14ac:dyDescent="0.35">
      <c r="A7" s="150" t="s">
        <v>124</v>
      </c>
      <c r="B7" s="152">
        <f>ROUND('Modèle Emploi Vélo'!C103, 1-LOG('Modèle Emploi Vélo'!C103))</f>
        <v>17000</v>
      </c>
      <c r="C7" s="152">
        <f>ROUND('Modèle Emploi Vélo'!D103, 1-LOG('Modèle Emploi Vélo'!D103))</f>
        <v>71000</v>
      </c>
      <c r="D7" s="48">
        <f>ROUND('Modèle Emploi Vélo'!F103, 1-LOG('Modèle Emploi Vélo'!F103))</f>
        <v>220000</v>
      </c>
      <c r="E7" s="47">
        <f>ROUND('Modèle Emploi Vélo'!G103, 1-LOG('Modèle Emploi Vélo'!G103))</f>
        <v>200000</v>
      </c>
    </row>
    <row r="8" spans="1:8" x14ac:dyDescent="0.35">
      <c r="A8" s="30" t="s">
        <v>125</v>
      </c>
      <c r="B8" s="31">
        <f>ROUND('Modèle Emploi Vélo'!C104, 1-LOG('Modèle Emploi Vélo'!C104))</f>
        <v>17000</v>
      </c>
      <c r="C8" s="31">
        <f>ROUND('Modèle Emploi Vélo'!D104, 1-LOG('Modèle Emploi Vélo'!D104))</f>
        <v>71000</v>
      </c>
      <c r="D8" s="46">
        <f>ROUND('Modèle Emploi Vélo'!F104, 1-LOG('Modèle Emploi Vélo'!F104))</f>
        <v>220000</v>
      </c>
      <c r="E8" s="32">
        <f>ROUND('Modèle Emploi Vélo'!G104, 1-LOG('Modèle Emploi Vélo'!G104))</f>
        <v>200000</v>
      </c>
    </row>
    <row r="9" spans="1:8" x14ac:dyDescent="0.35">
      <c r="A9" s="34" t="s">
        <v>47</v>
      </c>
      <c r="B9" s="35">
        <f>ROUND('Modèle Emploi Vélo'!C105, 1-LOG('Modèle Emploi Vélo'!C105))</f>
        <v>19000</v>
      </c>
      <c r="C9" s="35">
        <f>ROUND('Modèle Emploi Vélo'!D105, 1-LOG('Modèle Emploi Vélo'!D105))</f>
        <v>93000</v>
      </c>
      <c r="D9" s="36">
        <f>ROUND('Modèle Emploi Vélo'!F105, 1-LOG('Modèle Emploi Vélo'!F105))</f>
        <v>270000</v>
      </c>
      <c r="E9" s="45">
        <f>ROUND('Modèle Emploi Vélo'!G105, 1-LOG('Modèle Emploi Vélo'!G105))</f>
        <v>250000</v>
      </c>
    </row>
    <row r="11" spans="1:8" x14ac:dyDescent="0.35">
      <c r="A11" s="217" t="s">
        <v>129</v>
      </c>
    </row>
    <row r="13" spans="1:8" x14ac:dyDescent="0.35">
      <c r="A13" s="231" t="s">
        <v>130</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e249ac2a-b211-4fea-a23e-058f661af758">
      <Terms xmlns="http://schemas.microsoft.com/office/infopath/2007/PartnerControls"/>
    </lcf76f155ced4ddcb4097134ff3c332f>
    <TaxCatchAll xmlns="8f1b8a44-2e81-425d-8025-2e5e0436f25e" xsi:nil="true"/>
    <_ModernAudienceTargetUserField xmlns="e249ac2a-b211-4fea-a23e-058f661af758">
      <UserInfo>
        <DisplayName/>
        <AccountId xsi:nil="true"/>
        <AccountType/>
      </UserInfo>
    </_ModernAudienceTargetUserField>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9F8D0E12706CA4F88F078CAAF1F0285" ma:contentTypeVersion="15" ma:contentTypeDescription="Crée un document." ma:contentTypeScope="" ma:versionID="d61ebabf05edb172a4796a2a26dcc231">
  <xsd:schema xmlns:xsd="http://www.w3.org/2001/XMLSchema" xmlns:xs="http://www.w3.org/2001/XMLSchema" xmlns:p="http://schemas.microsoft.com/office/2006/metadata/properties" xmlns:ns2="e249ac2a-b211-4fea-a23e-058f661af758" xmlns:ns3="8f1b8a44-2e81-425d-8025-2e5e0436f25e" targetNamespace="http://schemas.microsoft.com/office/2006/metadata/properties" ma:root="true" ma:fieldsID="0ecdbb82de15a51058ed3f6676f3dbd1" ns2:_="" ns3:_="">
    <xsd:import namespace="e249ac2a-b211-4fea-a23e-058f661af758"/>
    <xsd:import namespace="8f1b8a44-2e81-425d-8025-2e5e0436f25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element ref="ns2:_ModernAudienceTargetUserField" minOccurs="0"/>
                <xsd:element ref="ns2:_ModernAudienceAadObjectI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249ac2a-b211-4fea-a23e-058f661af75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Balises d’images" ma:readOnly="false" ma:fieldId="{5cf76f15-5ced-4ddc-b409-7134ff3c332f}" ma:taxonomyMulti="true" ma:sspId="9c47289d-44d4-4518-8531-d864f6d3e1e1"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indexed="true" ma:internalName="MediaServiceLocation" ma:readOnly="true">
      <xsd:simpleType>
        <xsd:restriction base="dms:Text"/>
      </xsd:simpleType>
    </xsd:element>
    <xsd:element name="MediaServiceBillingMetadata" ma:index="20" nillable="true" ma:displayName="MediaServiceBillingMetadata" ma:hidden="true" ma:internalName="MediaServiceBillingMetadata" ma:readOnly="true">
      <xsd:simpleType>
        <xsd:restriction base="dms:Note"/>
      </xsd:simpleType>
    </xsd:element>
    <xsd:element name="_ModernAudienceTargetUserField" ma:index="21" nillable="true" ma:displayName="Audience" ma:list="UserInfo" ma:SharePointGroup="0" ma:internalName="_ModernAudienceTargetUserField"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ModernAudienceAadObjectIds" ma:index="22" nillable="true" ma:displayName="AudienceIds" ma:list="{9b001c38-b593-437a-acce-521679d6ec8e}" ma:internalName="_ModernAudienceAadObjectIds" ma:readOnly="true" ma:showField="_AadObjectIdForUser" ma:web="8f1b8a44-2e81-425d-8025-2e5e0436f25e">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8f1b8a44-2e81-425d-8025-2e5e0436f25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f8f2c3c-97c3-401f-9e00-dc202c827de0}" ma:internalName="TaxCatchAll" ma:showField="CatchAllData" ma:web="8f1b8a44-2e81-425d-8025-2e5e0436f25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24DD899-1B14-4A20-B9A0-8E0928F1E3F7}">
  <ds:schemaRefs>
    <ds:schemaRef ds:uri="http://schemas.microsoft.com/sharepoint/v3/contenttype/forms"/>
  </ds:schemaRefs>
</ds:datastoreItem>
</file>

<file path=customXml/itemProps2.xml><?xml version="1.0" encoding="utf-8"?>
<ds:datastoreItem xmlns:ds="http://schemas.openxmlformats.org/officeDocument/2006/customXml" ds:itemID="{0C8B66DA-49E4-42A6-B5D7-2F9D55868C32}">
  <ds:schemaRefs>
    <ds:schemaRef ds:uri="http://schemas.microsoft.com/office/2006/metadata/properties"/>
    <ds:schemaRef ds:uri="http://schemas.microsoft.com/office/infopath/2007/PartnerControls"/>
    <ds:schemaRef ds:uri="e249ac2a-b211-4fea-a23e-058f661af758"/>
    <ds:schemaRef ds:uri="8f1b8a44-2e81-425d-8025-2e5e0436f25e"/>
  </ds:schemaRefs>
</ds:datastoreItem>
</file>

<file path=customXml/itemProps3.xml><?xml version="1.0" encoding="utf-8"?>
<ds:datastoreItem xmlns:ds="http://schemas.openxmlformats.org/officeDocument/2006/customXml" ds:itemID="{132ECD42-2C97-48DC-962F-1060A0850C8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4</vt:i4>
      </vt:variant>
      <vt:variant>
        <vt:lpstr>Plages nommées</vt:lpstr>
      </vt:variant>
      <vt:variant>
        <vt:i4>53</vt:i4>
      </vt:variant>
    </vt:vector>
  </HeadingPairs>
  <TitlesOfParts>
    <vt:vector size="57" baseType="lpstr">
      <vt:lpstr>Légende - Sources - Unités</vt:lpstr>
      <vt:lpstr>Objectifs de report modal PTEF</vt:lpstr>
      <vt:lpstr>Modèle Emploi Vélo</vt:lpstr>
      <vt:lpstr>Visualisation</vt:lpstr>
      <vt:lpstr>CA_int_constr_2016</vt:lpstr>
      <vt:lpstr>CA_tot_constr_2016</vt:lpstr>
      <vt:lpstr>croissance_prod</vt:lpstr>
      <vt:lpstr>'Modèle Emploi Vélo'!élec_activité_maintenance</vt:lpstr>
      <vt:lpstr>'Modèle Emploi Vélo'!élec_activité_noyau</vt:lpstr>
      <vt:lpstr>'Modèle Emploi Vélo'!élec_tot_final</vt:lpstr>
      <vt:lpstr>élec_Vae_final</vt:lpstr>
      <vt:lpstr>élec_Vélo_final</vt:lpstr>
      <vt:lpstr>'Modèle Emploi Vélo'!élec_VP_final</vt:lpstr>
      <vt:lpstr>'Modèle Emploi Vélo'!élec_VUL_final</vt:lpstr>
      <vt:lpstr>exp_vae_valeur</vt:lpstr>
      <vt:lpstr>exp_vélo_valeur</vt:lpstr>
      <vt:lpstr>exp_vp_valeur</vt:lpstr>
      <vt:lpstr>exp_vul_valeur</vt:lpstr>
      <vt:lpstr>marché_constr_initial_valeur</vt:lpstr>
      <vt:lpstr>'Modèle Emploi Vélo'!marché_tot_évolution</vt:lpstr>
      <vt:lpstr>marché_tot_final</vt:lpstr>
      <vt:lpstr>marché_tot_initial</vt:lpstr>
      <vt:lpstr>marché_vae_final</vt:lpstr>
      <vt:lpstr>marché_vae_final_euro</vt:lpstr>
      <vt:lpstr>marché_vae_initial</vt:lpstr>
      <vt:lpstr>marché_vélo_final</vt:lpstr>
      <vt:lpstr>marché_vélo_final_eur</vt:lpstr>
      <vt:lpstr>marché_vélo_final_euros</vt:lpstr>
      <vt:lpstr>marché_vélo_fineuro</vt:lpstr>
      <vt:lpstr>marché_vélo_initial</vt:lpstr>
      <vt:lpstr>'Modèle Emploi Vélo'!marché_VP_évolution</vt:lpstr>
      <vt:lpstr>'Modèle Emploi Vélo'!marché_VP_final</vt:lpstr>
      <vt:lpstr>'Modèle Emploi Vélo'!marché_VP_initial</vt:lpstr>
      <vt:lpstr>'Modèle Emploi Vélo'!marché_VUL_évolution</vt:lpstr>
      <vt:lpstr>'Modèle Emploi Vélo'!marché_VUL_final</vt:lpstr>
      <vt:lpstr>'Modèle Emploi Vélo'!marché_VUL_initial</vt:lpstr>
      <vt:lpstr>'Modèle Emploi Vélo'!mob_tot_évolution</vt:lpstr>
      <vt:lpstr>Visualisation!mob_tot_évolution</vt:lpstr>
      <vt:lpstr>mob_tot_final</vt:lpstr>
      <vt:lpstr>mob_tot_initial</vt:lpstr>
      <vt:lpstr>mob_vae_évolution</vt:lpstr>
      <vt:lpstr>mob_vae_final</vt:lpstr>
      <vt:lpstr>mob_VAE_initial</vt:lpstr>
      <vt:lpstr>mob_vélo_évolution</vt:lpstr>
      <vt:lpstr>mob_vélo_final</vt:lpstr>
      <vt:lpstr>mob_vélo_initial</vt:lpstr>
      <vt:lpstr>'Modèle Emploi Vélo'!mob_VP_évolution</vt:lpstr>
      <vt:lpstr>'Modèle Emploi Vélo'!mob_VP_final</vt:lpstr>
      <vt:lpstr>'Modèle Emploi Vélo'!mob_VP_initial</vt:lpstr>
      <vt:lpstr>'Modèle Emploi Vélo'!mob_VUL_évolution</vt:lpstr>
      <vt:lpstr>'Modèle Emploi Vélo'!mob_VUL_final</vt:lpstr>
      <vt:lpstr>'Modèle Emploi Vélo'!mob_VUL_initial</vt:lpstr>
      <vt:lpstr>nb_annees</vt:lpstr>
      <vt:lpstr>prod_constr_évolution</vt:lpstr>
      <vt:lpstr>prod_constr_final_valeur</vt:lpstr>
      <vt:lpstr>prod_constr_initial_valeur</vt:lpstr>
      <vt:lpstr>TVA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Vinciane Martin</cp:lastModifiedBy>
  <cp:revision/>
  <dcterms:created xsi:type="dcterms:W3CDTF">2021-04-06T12:55:05Z</dcterms:created>
  <dcterms:modified xsi:type="dcterms:W3CDTF">2026-01-15T11:37:20Z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0x01010059F8D0E12706CA4F88F078CAAF1F0285</vt:lpwstr>
  </property>
  <property fmtid="{D5CDD505-2E9C-101B-9397-08002B2CF9AE}" pid="3" name="MediaServiceImageTags">
    <vt:lpwstr/>
  </property>
</Properties>
</file>