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1.xml" ContentType="application/vnd.openxmlformats-officedocument.spreadsheetml.pivotTab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hidePivotFieldList="1"/>
  <mc:AlternateContent xmlns:mc="http://schemas.openxmlformats.org/markup-compatibility/2006">
    <mc:Choice Requires="x15">
      <x15ac:absPath xmlns:x15ac="http://schemas.microsoft.com/office/spreadsheetml/2010/11/ac" url="https://theshiftpr0ject.sharepoint.com/sites/TSP/Projets/Programme EMFOR/11- Emploi &amp; Formation transverse/3 - Modèles PTEF Emploi/MLD/"/>
    </mc:Choice>
  </mc:AlternateContent>
  <xr:revisionPtr revIDLastSave="21" documentId="13_ncr:1_{C51BEE52-8B93-4659-9DEE-D6BDD0B28C8D}" xr6:coauthVersionLast="47" xr6:coauthVersionMax="47" xr10:uidLastSave="{E79BB445-1678-45F6-A87C-260796834211}"/>
  <bookViews>
    <workbookView xWindow="-110" yWindow="-110" windowWidth="19420" windowHeight="10300" tabRatio="672" xr2:uid="{00000000-000D-0000-FFFF-FFFF00000000}"/>
  </bookViews>
  <sheets>
    <sheet name="Légende - Sources - Unités" sheetId="13" r:id="rId1"/>
    <sheet name="Synthèse - Visualisation" sheetId="12" r:id="rId2"/>
    <sheet name="Modèle Emploi Ferroviaire" sheetId="10" r:id="rId3"/>
    <sheet name="Métiers SNCF" sheetId="11" r:id="rId4"/>
    <sheet name="Modèle Emploi Aérien" sheetId="1" r:id="rId5"/>
    <sheet name="Trafic par aéroport" sheetId="6" r:id="rId6"/>
    <sheet name="Industrie ferroviaire" sheetId="16" r:id="rId7"/>
  </sheets>
  <definedNames>
    <definedName name="_xlnm._FilterDatabase" localSheetId="5" hidden="1">'Trafic par aéroport'!$A$18:$U$62</definedName>
    <definedName name="part_dir_indus_fret">'Modèle Emploi Ferroviaire'!$C$48</definedName>
    <definedName name="part_dir_indus_gl">'Modèle Emploi Ferroviaire'!$C$47</definedName>
    <definedName name="part_dir_indus_ter">'Modèle Emploi Ferroviaire'!$C$46</definedName>
    <definedName name="part_dir_indus_trans">'Modèle Emploi Ferroviaire'!$C$45</definedName>
  </definedNames>
  <calcPr calcId="191029"/>
  <pivotCaches>
    <pivotCache cacheId="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6" i="16" l="1"/>
  <c r="C45" i="16"/>
  <c r="D12" i="12"/>
  <c r="E12" i="12"/>
  <c r="C12" i="12"/>
  <c r="F12" i="12" l="1"/>
  <c r="D44" i="16" l="1"/>
  <c r="E44" i="16"/>
  <c r="F44" i="16"/>
  <c r="G44" i="16"/>
  <c r="H44" i="16"/>
  <c r="I44" i="16"/>
  <c r="J44" i="16"/>
  <c r="K44" i="16"/>
  <c r="L44" i="16"/>
  <c r="M44" i="16"/>
  <c r="N44" i="16"/>
  <c r="O44" i="16"/>
  <c r="P44" i="16"/>
  <c r="Q44" i="16"/>
  <c r="R44" i="16"/>
  <c r="S44" i="16"/>
  <c r="T44" i="16"/>
  <c r="U44" i="16"/>
  <c r="V44" i="16"/>
  <c r="W44" i="16"/>
  <c r="X44" i="16"/>
  <c r="Y44" i="16"/>
  <c r="Z44" i="16"/>
  <c r="AA44" i="16"/>
  <c r="AB44" i="16"/>
  <c r="AC44" i="16"/>
  <c r="AD44" i="16"/>
  <c r="AE44" i="16"/>
  <c r="C44" i="16"/>
  <c r="F12" i="16"/>
  <c r="AE23" i="16" s="1"/>
  <c r="E12" i="16"/>
  <c r="R23" i="16" s="1"/>
  <c r="D12" i="16"/>
  <c r="H23" i="16" s="1"/>
  <c r="C12" i="16"/>
  <c r="C23" i="16" s="1"/>
  <c r="C28" i="16" s="1"/>
  <c r="F8" i="16"/>
  <c r="E8" i="16"/>
  <c r="D8" i="16"/>
  <c r="C8" i="16"/>
  <c r="C22" i="16" s="1"/>
  <c r="C27" i="16" s="1"/>
  <c r="R28" i="16" l="1"/>
  <c r="AE28" i="16"/>
  <c r="H28" i="16"/>
  <c r="S23" i="16"/>
  <c r="T23" i="16" s="1"/>
  <c r="T28" i="16" s="1"/>
  <c r="I23" i="16"/>
  <c r="D14" i="16"/>
  <c r="D13" i="16" s="1"/>
  <c r="H22" i="16"/>
  <c r="H27" i="16" s="1"/>
  <c r="E14" i="16"/>
  <c r="E13" i="16" s="1"/>
  <c r="R22" i="16"/>
  <c r="F14" i="16"/>
  <c r="F13" i="16" s="1"/>
  <c r="D23" i="16"/>
  <c r="D28" i="16" s="1"/>
  <c r="C14" i="16"/>
  <c r="C24" i="16"/>
  <c r="AE22" i="16"/>
  <c r="AE27" i="16" s="1"/>
  <c r="D9" i="16" l="1"/>
  <c r="D22" i="16"/>
  <c r="D27" i="16" s="1"/>
  <c r="R24" i="16"/>
  <c r="R27" i="16"/>
  <c r="I30" i="16"/>
  <c r="I28" i="16"/>
  <c r="H24" i="16"/>
  <c r="S30" i="16"/>
  <c r="S46" i="16" s="1"/>
  <c r="S28" i="16"/>
  <c r="E9" i="16"/>
  <c r="E15" i="16"/>
  <c r="J23" i="16"/>
  <c r="F9" i="16"/>
  <c r="I22" i="16"/>
  <c r="I24" i="16" s="1"/>
  <c r="S22" i="16"/>
  <c r="E23" i="16"/>
  <c r="E28" i="16" s="1"/>
  <c r="D30" i="16"/>
  <c r="D46" i="16" s="1"/>
  <c r="T30" i="16"/>
  <c r="T46" i="16" s="1"/>
  <c r="U23" i="16"/>
  <c r="U28" i="16" s="1"/>
  <c r="AE24" i="16"/>
  <c r="F15" i="16"/>
  <c r="C9" i="16"/>
  <c r="D15" i="16"/>
  <c r="C13" i="16"/>
  <c r="I46" i="16" l="1"/>
  <c r="D24" i="16"/>
  <c r="E22" i="16"/>
  <c r="E27" i="16" s="1"/>
  <c r="D29" i="16"/>
  <c r="D45" i="16" s="1"/>
  <c r="T22" i="16"/>
  <c r="T27" i="16" s="1"/>
  <c r="S27" i="16"/>
  <c r="J30" i="16"/>
  <c r="J28" i="16"/>
  <c r="I29" i="16"/>
  <c r="I27" i="16"/>
  <c r="J22" i="16"/>
  <c r="K23" i="16"/>
  <c r="K28" i="16" s="1"/>
  <c r="S24" i="16"/>
  <c r="S29" i="16"/>
  <c r="S45" i="16" s="1"/>
  <c r="V23" i="16"/>
  <c r="V28" i="16" s="1"/>
  <c r="U30" i="16"/>
  <c r="U46" i="16" s="1"/>
  <c r="F23" i="16"/>
  <c r="F28" i="16" s="1"/>
  <c r="E30" i="16"/>
  <c r="E46" i="16" s="1"/>
  <c r="J46" i="16" l="1"/>
  <c r="E29" i="16"/>
  <c r="E45" i="16" s="1"/>
  <c r="I45" i="16"/>
  <c r="F22" i="16"/>
  <c r="F27" i="16" s="1"/>
  <c r="E24" i="16"/>
  <c r="T29" i="16"/>
  <c r="T45" i="16" s="1"/>
  <c r="T24" i="16"/>
  <c r="U22" i="16"/>
  <c r="U27" i="16" s="1"/>
  <c r="J24" i="16"/>
  <c r="J27" i="16"/>
  <c r="J29" i="16"/>
  <c r="K22" i="16"/>
  <c r="K27" i="16" s="1"/>
  <c r="L23" i="16"/>
  <c r="L28" i="16" s="1"/>
  <c r="K30" i="16"/>
  <c r="K46" i="16" s="1"/>
  <c r="W23" i="16"/>
  <c r="W28" i="16" s="1"/>
  <c r="V30" i="16"/>
  <c r="V46" i="16" s="1"/>
  <c r="G23" i="16"/>
  <c r="G28" i="16" s="1"/>
  <c r="F30" i="16"/>
  <c r="F46" i="16" s="1"/>
  <c r="U24" i="16" l="1"/>
  <c r="J45" i="16"/>
  <c r="F24" i="16"/>
  <c r="G22" i="16"/>
  <c r="G27" i="16" s="1"/>
  <c r="F29" i="16"/>
  <c r="F45" i="16" s="1"/>
  <c r="V22" i="16"/>
  <c r="V27" i="16" s="1"/>
  <c r="U29" i="16"/>
  <c r="U45" i="16" s="1"/>
  <c r="K24" i="16"/>
  <c r="K29" i="16"/>
  <c r="K45" i="16" s="1"/>
  <c r="L22" i="16"/>
  <c r="L27" i="16" s="1"/>
  <c r="L30" i="16"/>
  <c r="L46" i="16" s="1"/>
  <c r="M23" i="16"/>
  <c r="M28" i="16" s="1"/>
  <c r="W30" i="16"/>
  <c r="W46" i="16" s="1"/>
  <c r="X23" i="16"/>
  <c r="X28" i="16" s="1"/>
  <c r="G29" i="16"/>
  <c r="G45" i="16" s="1"/>
  <c r="G24" i="16"/>
  <c r="G30" i="16"/>
  <c r="G46" i="16" s="1"/>
  <c r="H30" i="16"/>
  <c r="H46" i="16" s="1"/>
  <c r="H29" i="16" l="1"/>
  <c r="H45" i="16" s="1"/>
  <c r="W22" i="16"/>
  <c r="W27" i="16" s="1"/>
  <c r="V24" i="16"/>
  <c r="V29" i="16"/>
  <c r="V45" i="16" s="1"/>
  <c r="L29" i="16"/>
  <c r="L45" i="16" s="1"/>
  <c r="M22" i="16"/>
  <c r="M27" i="16" s="1"/>
  <c r="L24" i="16"/>
  <c r="N23" i="16"/>
  <c r="N28" i="16" s="1"/>
  <c r="M30" i="16"/>
  <c r="M46" i="16" s="1"/>
  <c r="X30" i="16"/>
  <c r="X46" i="16" s="1"/>
  <c r="Y23" i="16"/>
  <c r="Y28" i="16" s="1"/>
  <c r="H48" i="16"/>
  <c r="D55" i="16" s="1"/>
  <c r="X22" i="16"/>
  <c r="X27" i="16" s="1"/>
  <c r="F47" i="16"/>
  <c r="W24" i="16" l="1"/>
  <c r="W29" i="16"/>
  <c r="W45" i="16" s="1"/>
  <c r="O23" i="16"/>
  <c r="O28" i="16" s="1"/>
  <c r="M24" i="16"/>
  <c r="G48" i="16"/>
  <c r="M29" i="16"/>
  <c r="M45" i="16" s="1"/>
  <c r="M48" i="16" s="1"/>
  <c r="E55" i="16" s="1"/>
  <c r="N22" i="16"/>
  <c r="N27" i="16" s="1"/>
  <c r="N30" i="16"/>
  <c r="N46" i="16" s="1"/>
  <c r="H47" i="16"/>
  <c r="W47" i="16"/>
  <c r="G47" i="16"/>
  <c r="U48" i="16"/>
  <c r="U47" i="16"/>
  <c r="K47" i="16"/>
  <c r="K48" i="16"/>
  <c r="F48" i="16"/>
  <c r="E47" i="16"/>
  <c r="E48" i="16"/>
  <c r="T48" i="16"/>
  <c r="T47" i="16"/>
  <c r="S47" i="16"/>
  <c r="S48" i="16"/>
  <c r="C48" i="16"/>
  <c r="C55" i="16" s="1"/>
  <c r="C47" i="16"/>
  <c r="V47" i="16"/>
  <c r="V48" i="16"/>
  <c r="Y22" i="16"/>
  <c r="Y27" i="16" s="1"/>
  <c r="X29" i="16"/>
  <c r="X45" i="16" s="1"/>
  <c r="X24" i="16"/>
  <c r="D47" i="16"/>
  <c r="D48" i="16"/>
  <c r="L47" i="16"/>
  <c r="L48" i="16"/>
  <c r="J48" i="16"/>
  <c r="J47" i="16"/>
  <c r="I47" i="16"/>
  <c r="I48" i="16"/>
  <c r="Y30" i="16"/>
  <c r="Y46" i="16" s="1"/>
  <c r="Z23" i="16"/>
  <c r="Z28" i="16" s="1"/>
  <c r="P23" i="16" l="1"/>
  <c r="P28" i="16" s="1"/>
  <c r="O30" i="16"/>
  <c r="O46" i="16" s="1"/>
  <c r="N24" i="16"/>
  <c r="O22" i="16"/>
  <c r="O27" i="16" s="1"/>
  <c r="W48" i="16"/>
  <c r="G55" i="16" s="1"/>
  <c r="N29" i="16"/>
  <c r="N45" i="16" s="1"/>
  <c r="N47" i="16" s="1"/>
  <c r="M47" i="16"/>
  <c r="D56" i="16"/>
  <c r="P30" i="16"/>
  <c r="P46" i="16" s="1"/>
  <c r="AA23" i="16"/>
  <c r="AA28" i="16" s="1"/>
  <c r="Z30" i="16"/>
  <c r="Z46" i="16" s="1"/>
  <c r="Y24" i="16"/>
  <c r="Y29" i="16"/>
  <c r="Y45" i="16" s="1"/>
  <c r="Z22" i="16"/>
  <c r="Z27" i="16" s="1"/>
  <c r="Q23" i="16" l="1"/>
  <c r="Q28" i="16" s="1"/>
  <c r="O29" i="16"/>
  <c r="O45" i="16" s="1"/>
  <c r="P22" i="16"/>
  <c r="P27" i="16" s="1"/>
  <c r="O24" i="16"/>
  <c r="E56" i="16"/>
  <c r="G56" i="16"/>
  <c r="N48" i="16"/>
  <c r="X47" i="16"/>
  <c r="X48" i="16"/>
  <c r="Z24" i="16"/>
  <c r="AA22" i="16"/>
  <c r="AA27" i="16" s="1"/>
  <c r="Z29" i="16"/>
  <c r="Z45" i="16" s="1"/>
  <c r="AB23" i="16"/>
  <c r="AB28" i="16" s="1"/>
  <c r="AA30" i="16"/>
  <c r="AA46" i="16" s="1"/>
  <c r="Q30" i="16"/>
  <c r="Q46" i="16" s="1"/>
  <c r="R30" i="16"/>
  <c r="R46" i="16" s="1"/>
  <c r="P24" i="16" l="1"/>
  <c r="Q22" i="16"/>
  <c r="Q27" i="16" s="1"/>
  <c r="P29" i="16"/>
  <c r="P45" i="16" s="1"/>
  <c r="Z47" i="16"/>
  <c r="P47" i="16"/>
  <c r="P48" i="16"/>
  <c r="AB22" i="16"/>
  <c r="AB27" i="16" s="1"/>
  <c r="AA29" i="16"/>
  <c r="AA45" i="16" s="1"/>
  <c r="AA24" i="16"/>
  <c r="R29" i="16"/>
  <c r="R45" i="16" s="1"/>
  <c r="AC23" i="16"/>
  <c r="AC28" i="16" s="1"/>
  <c r="AB30" i="16"/>
  <c r="AB46" i="16" s="1"/>
  <c r="Y47" i="16"/>
  <c r="Y48" i="16"/>
  <c r="O47" i="16"/>
  <c r="O48" i="16"/>
  <c r="Q29" i="16" l="1"/>
  <c r="Q45" i="16" s="1"/>
  <c r="Q24" i="16"/>
  <c r="Z48" i="16"/>
  <c r="Q47" i="16"/>
  <c r="AD23" i="16"/>
  <c r="AD28" i="16" s="1"/>
  <c r="AC30" i="16"/>
  <c r="AC46" i="16" s="1"/>
  <c r="AB29" i="16"/>
  <c r="AB45" i="16" s="1"/>
  <c r="AC22" i="16"/>
  <c r="AC27" i="16" s="1"/>
  <c r="AB24" i="16"/>
  <c r="R48" i="16"/>
  <c r="R47" i="16"/>
  <c r="F55" i="16" l="1"/>
  <c r="F56" i="16" s="1"/>
  <c r="Q48" i="16"/>
  <c r="AC29" i="16"/>
  <c r="AC45" i="16" s="1"/>
  <c r="AC24" i="16"/>
  <c r="AD22" i="16"/>
  <c r="AD27" i="16" s="1"/>
  <c r="AA47" i="16"/>
  <c r="AA48" i="16"/>
  <c r="AD30" i="16"/>
  <c r="AD46" i="16" s="1"/>
  <c r="AE30" i="16"/>
  <c r="AE46" i="16" s="1"/>
  <c r="AC47" i="16" l="1"/>
  <c r="AB47" i="16"/>
  <c r="AB48" i="16"/>
  <c r="AD29" i="16"/>
  <c r="AD45" i="16" s="1"/>
  <c r="AD24" i="16"/>
  <c r="AE29" i="16"/>
  <c r="AE45" i="16" s="1"/>
  <c r="AC48" i="16" l="1"/>
  <c r="AE47" i="16"/>
  <c r="AE48" i="16"/>
  <c r="H55" i="16" l="1"/>
  <c r="H56" i="16" s="1"/>
  <c r="AD47" i="16"/>
  <c r="AD48" i="16"/>
  <c r="D19" i="1" l="1"/>
  <c r="D20" i="1"/>
  <c r="D21" i="1"/>
  <c r="D22" i="1"/>
  <c r="D18" i="1"/>
  <c r="C25" i="1" s="1"/>
  <c r="C26" i="1" l="1"/>
  <c r="C114" i="10"/>
  <c r="D114" i="10"/>
  <c r="E114" i="10"/>
  <c r="F114" i="10"/>
  <c r="C115" i="10"/>
  <c r="C88" i="10"/>
  <c r="D88" i="10"/>
  <c r="E88" i="10"/>
  <c r="F88" i="10"/>
  <c r="E12" i="10"/>
  <c r="E8" i="10"/>
  <c r="E7" i="10"/>
  <c r="E6" i="10"/>
  <c r="E5" i="10"/>
  <c r="E4" i="10"/>
  <c r="G12" i="10"/>
  <c r="G8" i="10"/>
  <c r="G7" i="10"/>
  <c r="G6" i="10"/>
  <c r="G5" i="10"/>
  <c r="G4" i="10"/>
  <c r="I12" i="10"/>
  <c r="I5" i="10"/>
  <c r="I6" i="10"/>
  <c r="I7" i="10"/>
  <c r="I8" i="10"/>
  <c r="I4" i="10"/>
  <c r="D56" i="10" l="1" a="1"/>
  <c r="D56" i="10" s="1"/>
  <c r="C65" i="10"/>
  <c r="E64" i="10"/>
  <c r="E63" i="10"/>
  <c r="E62" i="10"/>
  <c r="E61" i="10"/>
  <c r="E60" i="10"/>
  <c r="E59" i="10"/>
  <c r="C58" i="10"/>
  <c r="E57" i="10"/>
  <c r="E55" i="10"/>
  <c r="E54" i="10"/>
  <c r="C71" i="10" s="1"/>
  <c r="E53" i="10"/>
  <c r="E52" i="10"/>
  <c r="E51" i="10"/>
  <c r="C70" i="10" l="1"/>
  <c r="S62" i="6"/>
  <c r="H33" i="11" l="1"/>
  <c r="H32" i="11"/>
  <c r="H31" i="11"/>
  <c r="H30" i="11"/>
  <c r="H29" i="11"/>
  <c r="H28" i="11"/>
  <c r="F77" i="10"/>
  <c r="E77" i="10"/>
  <c r="D77" i="10"/>
  <c r="C77" i="10"/>
  <c r="H13" i="10"/>
  <c r="F13" i="10"/>
  <c r="D13" i="10"/>
  <c r="C13" i="10"/>
  <c r="H9" i="10"/>
  <c r="F9" i="10"/>
  <c r="D9" i="10"/>
  <c r="C9" i="10"/>
  <c r="C39" i="10"/>
  <c r="C32" i="10"/>
  <c r="D32" i="11"/>
  <c r="D30" i="11"/>
  <c r="D28" i="11"/>
  <c r="D31" i="11"/>
  <c r="D29" i="11"/>
  <c r="G13" i="10" l="1"/>
  <c r="E9" i="10"/>
  <c r="I9" i="10"/>
  <c r="G9" i="10"/>
  <c r="E13" i="10"/>
  <c r="I13" i="10"/>
  <c r="C40" i="10"/>
  <c r="C66" i="10"/>
  <c r="E66" i="10" s="1"/>
  <c r="C80" i="10"/>
  <c r="C91" i="10" s="1"/>
  <c r="D14" i="10"/>
  <c r="F14" i="10"/>
  <c r="H14" i="10"/>
  <c r="D33" i="11"/>
  <c r="C14" i="10"/>
  <c r="E14" i="10" l="1"/>
  <c r="I14" i="10"/>
  <c r="G14" i="10"/>
  <c r="E80" i="10"/>
  <c r="F80" i="10"/>
  <c r="D80" i="10"/>
  <c r="C78" i="10"/>
  <c r="C89" i="10" s="1"/>
  <c r="C93" i="10" s="1"/>
  <c r="C72" i="10"/>
  <c r="E56" i="10" s="1"/>
  <c r="D91" i="10" l="1"/>
  <c r="D92" i="10" s="1"/>
  <c r="D81" i="10"/>
  <c r="F81" i="10"/>
  <c r="F91" i="10"/>
  <c r="F92" i="10" s="1"/>
  <c r="E91" i="10"/>
  <c r="E92" i="10" s="1"/>
  <c r="E81" i="10"/>
  <c r="E65" i="10"/>
  <c r="E58" i="10"/>
  <c r="C117" i="10" s="1"/>
  <c r="D78" i="10"/>
  <c r="D89" i="10" s="1"/>
  <c r="C82" i="10"/>
  <c r="F78" i="10"/>
  <c r="F89" i="10" s="1"/>
  <c r="E78" i="10"/>
  <c r="E89" i="10" s="1"/>
  <c r="C119" i="10" l="1"/>
  <c r="D117" i="10"/>
  <c r="D90" i="10"/>
  <c r="D93" i="10"/>
  <c r="D94" i="10" s="1"/>
  <c r="E90" i="10"/>
  <c r="E93" i="10"/>
  <c r="E94" i="10" s="1"/>
  <c r="F90" i="10"/>
  <c r="F93" i="10"/>
  <c r="F94" i="10" s="1"/>
  <c r="D58" i="10"/>
  <c r="D65" i="10"/>
  <c r="C4" i="12"/>
  <c r="E82" i="10"/>
  <c r="E79" i="10"/>
  <c r="F82" i="10"/>
  <c r="F115" i="10" s="1"/>
  <c r="F116" i="10" s="1"/>
  <c r="F79" i="10"/>
  <c r="D82" i="10"/>
  <c r="D115" i="10" s="1"/>
  <c r="D116" i="10" s="1"/>
  <c r="D79" i="10"/>
  <c r="E83" i="10" l="1"/>
  <c r="E115" i="10"/>
  <c r="E116" i="10" s="1"/>
  <c r="D119" i="10"/>
  <c r="D120" i="10" s="1"/>
  <c r="E117" i="10"/>
  <c r="D118" i="10"/>
  <c r="D4" i="12"/>
  <c r="D5" i="12" s="1"/>
  <c r="D83" i="10"/>
  <c r="E4" i="12"/>
  <c r="F4" i="12" s="1"/>
  <c r="F83" i="10"/>
  <c r="E119" i="10" l="1"/>
  <c r="E120" i="10" s="1"/>
  <c r="F117" i="10"/>
  <c r="E118" i="10"/>
  <c r="E5" i="12"/>
  <c r="E5" i="1"/>
  <c r="E6" i="1"/>
  <c r="E4" i="1"/>
  <c r="E63" i="1" s="1"/>
  <c r="G5" i="1"/>
  <c r="G6" i="1"/>
  <c r="G4" i="1"/>
  <c r="G63" i="1" s="1"/>
  <c r="F118" i="10" l="1"/>
  <c r="F119" i="10"/>
  <c r="F120" i="10" s="1"/>
  <c r="D63" i="6"/>
  <c r="I62" i="6"/>
  <c r="S61" i="6"/>
  <c r="I61" i="6"/>
  <c r="S60" i="6"/>
  <c r="I60" i="6"/>
  <c r="S59" i="6"/>
  <c r="I59" i="6"/>
  <c r="S58" i="6"/>
  <c r="I58" i="6"/>
  <c r="S57" i="6"/>
  <c r="I57" i="6"/>
  <c r="S56" i="6"/>
  <c r="I56" i="6"/>
  <c r="S55" i="6"/>
  <c r="I55" i="6"/>
  <c r="S54" i="6"/>
  <c r="I54" i="6"/>
  <c r="S53" i="6"/>
  <c r="I53" i="6"/>
  <c r="S52" i="6"/>
  <c r="I52" i="6"/>
  <c r="S51" i="6"/>
  <c r="I51" i="6"/>
  <c r="S50" i="6"/>
  <c r="I50" i="6"/>
  <c r="S49" i="6"/>
  <c r="I49" i="6"/>
  <c r="S48" i="6"/>
  <c r="I48" i="6"/>
  <c r="S47" i="6"/>
  <c r="I47" i="6"/>
  <c r="S46" i="6"/>
  <c r="I46" i="6"/>
  <c r="S45" i="6"/>
  <c r="I45" i="6"/>
  <c r="S44" i="6"/>
  <c r="I44" i="6"/>
  <c r="S43" i="6"/>
  <c r="I43" i="6"/>
  <c r="S42" i="6"/>
  <c r="I42" i="6"/>
  <c r="S41" i="6"/>
  <c r="I41" i="6"/>
  <c r="S40" i="6"/>
  <c r="I40" i="6"/>
  <c r="S39" i="6"/>
  <c r="I39" i="6"/>
  <c r="S38" i="6"/>
  <c r="I38" i="6"/>
  <c r="S37" i="6"/>
  <c r="I37" i="6"/>
  <c r="S36" i="6"/>
  <c r="I36" i="6"/>
  <c r="S35" i="6"/>
  <c r="I35" i="6"/>
  <c r="S34" i="6"/>
  <c r="I34" i="6"/>
  <c r="S33" i="6"/>
  <c r="I33" i="6"/>
  <c r="S32" i="6"/>
  <c r="I32" i="6"/>
  <c r="S31" i="6"/>
  <c r="I31" i="6"/>
  <c r="S30" i="6"/>
  <c r="I30" i="6"/>
  <c r="S29" i="6"/>
  <c r="I29" i="6"/>
  <c r="S28" i="6"/>
  <c r="I28" i="6"/>
  <c r="S27" i="6"/>
  <c r="I27" i="6"/>
  <c r="S26" i="6"/>
  <c r="I26" i="6"/>
  <c r="S25" i="6"/>
  <c r="I25" i="6"/>
  <c r="S24" i="6"/>
  <c r="I24" i="6"/>
  <c r="S23" i="6"/>
  <c r="I23" i="6"/>
  <c r="S22" i="6"/>
  <c r="I22" i="6"/>
  <c r="S21" i="6"/>
  <c r="I21" i="6"/>
  <c r="S20" i="6"/>
  <c r="I20" i="6"/>
  <c r="S19" i="6"/>
  <c r="I19" i="6"/>
  <c r="D11" i="6"/>
  <c r="T62" i="6" s="1"/>
  <c r="U62" i="6" s="1"/>
  <c r="D10" i="6"/>
  <c r="U61" i="6" l="1"/>
  <c r="U21" i="6"/>
  <c r="Q25" i="6"/>
  <c r="Q33" i="6"/>
  <c r="Q41" i="6"/>
  <c r="Q49" i="6"/>
  <c r="Q57" i="6"/>
  <c r="Q31" i="6"/>
  <c r="Q55" i="6"/>
  <c r="R55" i="6" s="1"/>
  <c r="Q48" i="6"/>
  <c r="Q26" i="6"/>
  <c r="Q34" i="6"/>
  <c r="Q42" i="6"/>
  <c r="Q50" i="6"/>
  <c r="Q58" i="6"/>
  <c r="R58" i="6" s="1"/>
  <c r="Q44" i="6"/>
  <c r="Q37" i="6"/>
  <c r="R37" i="6" s="1"/>
  <c r="Q61" i="6"/>
  <c r="Q46" i="6"/>
  <c r="Q23" i="6"/>
  <c r="Q24" i="6"/>
  <c r="Q19" i="6"/>
  <c r="Q27" i="6"/>
  <c r="R27" i="6" s="1"/>
  <c r="Q35" i="6"/>
  <c r="Q43" i="6"/>
  <c r="R43" i="6" s="1"/>
  <c r="Q51" i="6"/>
  <c r="Q59" i="6"/>
  <c r="Q28" i="6"/>
  <c r="Q52" i="6"/>
  <c r="Q29" i="6"/>
  <c r="Q45" i="6"/>
  <c r="R45" i="6" s="1"/>
  <c r="Q38" i="6"/>
  <c r="Q54" i="6"/>
  <c r="R54" i="6" s="1"/>
  <c r="Q39" i="6"/>
  <c r="Q32" i="6"/>
  <c r="Q20" i="6"/>
  <c r="Q36" i="6"/>
  <c r="Q60" i="6"/>
  <c r="Q21" i="6"/>
  <c r="R21" i="6" s="1"/>
  <c r="Q53" i="6"/>
  <c r="Q30" i="6"/>
  <c r="R30" i="6" s="1"/>
  <c r="Q62" i="6"/>
  <c r="Q40" i="6"/>
  <c r="Q22" i="6"/>
  <c r="Q47" i="6"/>
  <c r="Q56" i="6"/>
  <c r="U38" i="6"/>
  <c r="U59" i="6"/>
  <c r="V62" i="6"/>
  <c r="R22" i="6"/>
  <c r="R20" i="6"/>
  <c r="R19" i="6"/>
  <c r="R23" i="6"/>
  <c r="R24" i="6"/>
  <c r="R25" i="6"/>
  <c r="R26" i="6"/>
  <c r="R28" i="6"/>
  <c r="R29" i="6"/>
  <c r="R31" i="6"/>
  <c r="R32" i="6"/>
  <c r="R33" i="6"/>
  <c r="R34" i="6"/>
  <c r="R35" i="6"/>
  <c r="R36" i="6"/>
  <c r="R38" i="6"/>
  <c r="R39" i="6"/>
  <c r="R40" i="6"/>
  <c r="R41" i="6"/>
  <c r="R42" i="6"/>
  <c r="R44" i="6"/>
  <c r="R46" i="6"/>
  <c r="R47" i="6"/>
  <c r="R48" i="6"/>
  <c r="R49" i="6"/>
  <c r="R50" i="6"/>
  <c r="R51" i="6"/>
  <c r="R52" i="6"/>
  <c r="R53" i="6"/>
  <c r="R56" i="6"/>
  <c r="R57" i="6"/>
  <c r="R59" i="6"/>
  <c r="R60" i="6"/>
  <c r="R61" i="6"/>
  <c r="R62" i="6"/>
  <c r="T19" i="6"/>
  <c r="T20" i="6"/>
  <c r="T21" i="6"/>
  <c r="T22" i="6"/>
  <c r="U22" i="6" s="1"/>
  <c r="T23" i="6"/>
  <c r="T24" i="6"/>
  <c r="U24" i="6" s="1"/>
  <c r="T25" i="6"/>
  <c r="T26" i="6"/>
  <c r="T27" i="6"/>
  <c r="T28" i="6"/>
  <c r="U28" i="6" s="1"/>
  <c r="T29" i="6"/>
  <c r="U29" i="6" s="1"/>
  <c r="T30" i="6"/>
  <c r="U30" i="6" s="1"/>
  <c r="T31" i="6"/>
  <c r="U31" i="6" s="1"/>
  <c r="T32" i="6"/>
  <c r="T33" i="6"/>
  <c r="T34" i="6"/>
  <c r="T35" i="6"/>
  <c r="T36" i="6"/>
  <c r="T37" i="6"/>
  <c r="U37" i="6" s="1"/>
  <c r="T38" i="6"/>
  <c r="T39" i="6"/>
  <c r="U39" i="6" s="1"/>
  <c r="T40" i="6"/>
  <c r="T41" i="6"/>
  <c r="T42" i="6"/>
  <c r="U42" i="6" s="1"/>
  <c r="T43" i="6"/>
  <c r="T44" i="6"/>
  <c r="T45" i="6"/>
  <c r="U45" i="6" s="1"/>
  <c r="T46" i="6"/>
  <c r="T47" i="6"/>
  <c r="U47" i="6" s="1"/>
  <c r="T48" i="6"/>
  <c r="U48" i="6" s="1"/>
  <c r="T49" i="6"/>
  <c r="U49" i="6" s="1"/>
  <c r="T50" i="6"/>
  <c r="U50" i="6" s="1"/>
  <c r="T51" i="6"/>
  <c r="T52" i="6"/>
  <c r="U52" i="6" s="1"/>
  <c r="T53" i="6"/>
  <c r="U53" i="6" s="1"/>
  <c r="T54" i="6"/>
  <c r="U54" i="6" s="1"/>
  <c r="T55" i="6"/>
  <c r="U55" i="6" s="1"/>
  <c r="T56" i="6"/>
  <c r="U56" i="6" s="1"/>
  <c r="T57" i="6"/>
  <c r="U57" i="6" s="1"/>
  <c r="T58" i="6"/>
  <c r="U58" i="6" s="1"/>
  <c r="T59" i="6"/>
  <c r="T60" i="6"/>
  <c r="U60" i="6" s="1"/>
  <c r="T61" i="6"/>
  <c r="V59" i="6" l="1"/>
  <c r="V43" i="6"/>
  <c r="V35" i="6"/>
  <c r="V19" i="6"/>
  <c r="V20" i="6"/>
  <c r="U20" i="6"/>
  <c r="V34" i="6"/>
  <c r="V57" i="6"/>
  <c r="V25" i="6"/>
  <c r="U51" i="6"/>
  <c r="V51" i="6" s="1"/>
  <c r="V52" i="6"/>
  <c r="V49" i="6"/>
  <c r="V56" i="6"/>
  <c r="V48" i="6"/>
  <c r="V24" i="6"/>
  <c r="U44" i="6"/>
  <c r="V44" i="6" s="1"/>
  <c r="U43" i="6"/>
  <c r="V28" i="6"/>
  <c r="V50" i="6"/>
  <c r="V47" i="6"/>
  <c r="V31" i="6"/>
  <c r="V23" i="6"/>
  <c r="U40" i="6"/>
  <c r="V40" i="6" s="1"/>
  <c r="U35" i="6"/>
  <c r="U23" i="6"/>
  <c r="U34" i="6"/>
  <c r="U41" i="6"/>
  <c r="V41" i="6" s="1"/>
  <c r="V58" i="6"/>
  <c r="V55" i="6"/>
  <c r="V54" i="6"/>
  <c r="V38" i="6"/>
  <c r="V30" i="6"/>
  <c r="V22" i="6"/>
  <c r="U36" i="6"/>
  <c r="V36" i="6" s="1"/>
  <c r="U27" i="6"/>
  <c r="V27" i="6" s="1"/>
  <c r="U26" i="6"/>
  <c r="V26" i="6" s="1"/>
  <c r="V60" i="6"/>
  <c r="V42" i="6"/>
  <c r="V39" i="6"/>
  <c r="V61" i="6"/>
  <c r="V53" i="6"/>
  <c r="V45" i="6"/>
  <c r="V37" i="6"/>
  <c r="V29" i="6"/>
  <c r="V21" i="6"/>
  <c r="U32" i="6"/>
  <c r="V32" i="6" s="1"/>
  <c r="U19" i="6"/>
  <c r="U46" i="6"/>
  <c r="V46" i="6" s="1"/>
  <c r="U25" i="6"/>
  <c r="U33" i="6"/>
  <c r="V33" i="6" s="1"/>
  <c r="R63" i="6"/>
  <c r="Q63" i="6" s="1"/>
  <c r="V63" i="6" l="1"/>
  <c r="U63" i="6" s="1"/>
  <c r="G60" i="1"/>
  <c r="G62" i="1"/>
  <c r="E60" i="1"/>
  <c r="E62" i="1"/>
  <c r="C40" i="1" l="1"/>
  <c r="C27" i="1" l="1"/>
  <c r="C61" i="1" s="1"/>
  <c r="C60" i="1" l="1"/>
  <c r="D60" i="1" s="1"/>
  <c r="C50" i="1"/>
  <c r="C49" i="1"/>
  <c r="C53" i="1" s="1"/>
  <c r="C64" i="1" l="1"/>
  <c r="C92" i="1"/>
  <c r="C63" i="1"/>
  <c r="C94" i="1" s="1"/>
  <c r="C62" i="1"/>
  <c r="C52" i="1"/>
  <c r="C51" i="1"/>
  <c r="C6" i="12"/>
  <c r="F60" i="1"/>
  <c r="AE92" i="1" s="1"/>
  <c r="H92" i="1"/>
  <c r="C8" i="12" l="1"/>
  <c r="C16" i="12" s="1"/>
  <c r="C14" i="12"/>
  <c r="C93" i="1"/>
  <c r="D62" i="1"/>
  <c r="I92" i="1"/>
  <c r="J92" i="1" s="1"/>
  <c r="K92" i="1" s="1"/>
  <c r="L92" i="1" s="1"/>
  <c r="M92" i="1" s="1"/>
  <c r="N92" i="1" s="1"/>
  <c r="O92" i="1" s="1"/>
  <c r="P92" i="1" s="1"/>
  <c r="Q92" i="1" s="1"/>
  <c r="R92" i="1" s="1"/>
  <c r="S92" i="1" s="1"/>
  <c r="T92" i="1" s="1"/>
  <c r="U92" i="1" s="1"/>
  <c r="V92" i="1" s="1"/>
  <c r="W92" i="1" s="1"/>
  <c r="X92" i="1" s="1"/>
  <c r="Y92" i="1" s="1"/>
  <c r="Z92" i="1" s="1"/>
  <c r="AA92" i="1" s="1"/>
  <c r="AB92" i="1" s="1"/>
  <c r="AC92" i="1" s="1"/>
  <c r="AD92" i="1" s="1"/>
  <c r="D92" i="1"/>
  <c r="E92" i="1" s="1"/>
  <c r="F92" i="1" s="1"/>
  <c r="G92" i="1" s="1"/>
  <c r="F62" i="1"/>
  <c r="AE93" i="1" s="1"/>
  <c r="F63" i="1"/>
  <c r="AE94" i="1" s="1"/>
  <c r="D63" i="1"/>
  <c r="H94" i="1" l="1"/>
  <c r="I94" i="1" s="1"/>
  <c r="J94" i="1" s="1"/>
  <c r="K94" i="1" s="1"/>
  <c r="L94" i="1" s="1"/>
  <c r="M94" i="1" s="1"/>
  <c r="N94" i="1" s="1"/>
  <c r="O94" i="1" s="1"/>
  <c r="P94" i="1" s="1"/>
  <c r="Q94" i="1" s="1"/>
  <c r="R94" i="1" s="1"/>
  <c r="S94" i="1" s="1"/>
  <c r="T94" i="1" s="1"/>
  <c r="U94" i="1" s="1"/>
  <c r="V94" i="1" s="1"/>
  <c r="W94" i="1" s="1"/>
  <c r="X94" i="1" s="1"/>
  <c r="Y94" i="1" s="1"/>
  <c r="Z94" i="1" s="1"/>
  <c r="AA94" i="1" s="1"/>
  <c r="AB94" i="1" s="1"/>
  <c r="AC94" i="1" s="1"/>
  <c r="AD94" i="1" s="1"/>
  <c r="D61" i="1"/>
  <c r="E61" i="1" s="1"/>
  <c r="H93" i="1"/>
  <c r="D93" i="1" s="1"/>
  <c r="E93" i="1" s="1"/>
  <c r="F93" i="1" s="1"/>
  <c r="G93" i="1" s="1"/>
  <c r="F61" i="1"/>
  <c r="D94" i="1" l="1"/>
  <c r="E94" i="1" s="1"/>
  <c r="F94" i="1" s="1"/>
  <c r="G94" i="1" s="1"/>
  <c r="I93" i="1"/>
  <c r="J93" i="1" s="1"/>
  <c r="K93" i="1" s="1"/>
  <c r="L93" i="1" s="1"/>
  <c r="M93" i="1" s="1"/>
  <c r="N93" i="1" s="1"/>
  <c r="O93" i="1" s="1"/>
  <c r="P93" i="1" s="1"/>
  <c r="Q93" i="1" s="1"/>
  <c r="R93" i="1" s="1"/>
  <c r="S93" i="1" s="1"/>
  <c r="T93" i="1" s="1"/>
  <c r="U93" i="1" s="1"/>
  <c r="V93" i="1" s="1"/>
  <c r="W93" i="1" s="1"/>
  <c r="X93" i="1" s="1"/>
  <c r="Y93" i="1" s="1"/>
  <c r="Z93" i="1" s="1"/>
  <c r="AA93" i="1" s="1"/>
  <c r="AB93" i="1" s="1"/>
  <c r="AC93" i="1" s="1"/>
  <c r="AD93" i="1" s="1"/>
  <c r="G61" i="1"/>
  <c r="F64" i="1"/>
  <c r="D64" i="1"/>
  <c r="E64" i="1" l="1"/>
  <c r="D6" i="12"/>
  <c r="D14" i="12" s="1"/>
  <c r="G64" i="1"/>
  <c r="E6" i="12"/>
  <c r="E14" i="12" s="1"/>
  <c r="F14" i="12" s="1"/>
  <c r="F6" i="12" l="1"/>
  <c r="E7" i="12"/>
  <c r="E8" i="12"/>
  <c r="E16" i="12" s="1"/>
  <c r="F16" i="12" s="1"/>
  <c r="D7" i="12"/>
  <c r="D8" i="12"/>
  <c r="D9" i="12" l="1"/>
  <c r="D16" i="12"/>
  <c r="E9" i="12"/>
  <c r="F8"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<sst xmlns="http://schemas.openxmlformats.org/spreadsheetml/2006/main" count="564" uniqueCount="344">
  <si>
    <t>Autre</t>
  </si>
  <si>
    <t>Services auxiliaires des transports aériens dédiés au transport de passagers</t>
  </si>
  <si>
    <t>Compagnies aériennes</t>
  </si>
  <si>
    <t>Aéroports</t>
  </si>
  <si>
    <t>Assistance en escale</t>
  </si>
  <si>
    <t>Total</t>
  </si>
  <si>
    <t>Personnel navigant</t>
  </si>
  <si>
    <t>Part des voyageurs à moins de … h de train</t>
  </si>
  <si>
    <t>Part des voyageurs venant de … km</t>
  </si>
  <si>
    <t>IATA 1</t>
  </si>
  <si>
    <t>Ville_1</t>
  </si>
  <si>
    <t>a_4h30</t>
  </si>
  <si>
    <t>b_6h30</t>
  </si>
  <si>
    <t>c_6h30_10h</t>
  </si>
  <si>
    <t>d_pas_de_train</t>
  </si>
  <si>
    <t>Grand Total</t>
  </si>
  <si>
    <t>a_0-800</t>
  </si>
  <si>
    <t>b_800-1200</t>
  </si>
  <si>
    <t>c_1200-1600</t>
  </si>
  <si>
    <t>d_1600-2000</t>
  </si>
  <si>
    <t>f_3700_</t>
  </si>
  <si>
    <t>Métro</t>
  </si>
  <si>
    <t>TLN</t>
  </si>
  <si>
    <t>Toulon/Hy√®res/Le Palyvestre</t>
  </si>
  <si>
    <t>CFE</t>
  </si>
  <si>
    <t>Clermont-Ferrand/Auvergne</t>
  </si>
  <si>
    <t>BIQ</t>
  </si>
  <si>
    <t>Biarritz/Anglet/Bayonne</t>
  </si>
  <si>
    <t>MPL</t>
  </si>
  <si>
    <t>Montpellier</t>
  </si>
  <si>
    <t>BES</t>
  </si>
  <si>
    <t>Brest/Guipavas</t>
  </si>
  <si>
    <t>TLS</t>
  </si>
  <si>
    <t>Toulouse</t>
  </si>
  <si>
    <t>RNS</t>
  </si>
  <si>
    <t>Rennes/Saint-Jacques</t>
  </si>
  <si>
    <t>BOD</t>
  </si>
  <si>
    <t>Bordeaux</t>
  </si>
  <si>
    <t>NTE</t>
  </si>
  <si>
    <t>Nantes</t>
  </si>
  <si>
    <t>LYS</t>
  </si>
  <si>
    <t>Lyon</t>
  </si>
  <si>
    <t>MRS</t>
  </si>
  <si>
    <t>Marseille</t>
  </si>
  <si>
    <t>ORY</t>
  </si>
  <si>
    <t>Paris</t>
  </si>
  <si>
    <t>LIL</t>
  </si>
  <si>
    <t>Lille/Lesquin</t>
  </si>
  <si>
    <t>BSL</t>
  </si>
  <si>
    <t>B√¢le/Mulhouse</t>
  </si>
  <si>
    <t>SXB</t>
  </si>
  <si>
    <t>Strasbourg</t>
  </si>
  <si>
    <t>CDG</t>
  </si>
  <si>
    <t>NCE</t>
  </si>
  <si>
    <t>Nice</t>
  </si>
  <si>
    <t>Corse</t>
  </si>
  <si>
    <t>AJA</t>
  </si>
  <si>
    <t>Ajaccio/Napol√©on Bonaparte</t>
  </si>
  <si>
    <t>BIA</t>
  </si>
  <si>
    <t>Bastia/Poretta</t>
  </si>
  <si>
    <t>BVA</t>
  </si>
  <si>
    <t>Beauvais/Till√©</t>
  </si>
  <si>
    <t>BZR</t>
  </si>
  <si>
    <t>B√©ziers/Vias</t>
  </si>
  <si>
    <t>OM</t>
  </si>
  <si>
    <t>CAY</t>
  </si>
  <si>
    <t>Matoury</t>
  </si>
  <si>
    <t>CCF</t>
  </si>
  <si>
    <t>Carcassonne/Salvaza</t>
  </si>
  <si>
    <t>CFR</t>
  </si>
  <si>
    <t>Caen/Carpiquet</t>
  </si>
  <si>
    <t>CLY</t>
  </si>
  <si>
    <t>Calvi/Sainte-Catherine</t>
  </si>
  <si>
    <t>CMF</t>
  </si>
  <si>
    <t>Chamb√©ry/Aix-les-Bains</t>
  </si>
  <si>
    <t>DOL</t>
  </si>
  <si>
    <t>Deauville</t>
  </si>
  <si>
    <t>DZA</t>
  </si>
  <si>
    <t>Dzaoudzi</t>
  </si>
  <si>
    <t>EGC</t>
  </si>
  <si>
    <t>Bergerac/Roumani√®re</t>
  </si>
  <si>
    <t>ETZ</t>
  </si>
  <si>
    <t>Metz / Nancy</t>
  </si>
  <si>
    <t>FDF</t>
  </si>
  <si>
    <t>Fort-de-France</t>
  </si>
  <si>
    <t>FNI</t>
  </si>
  <si>
    <t>N√Æmes/Garons</t>
  </si>
  <si>
    <t>FSC</t>
  </si>
  <si>
    <t>Figari Sud-Corse</t>
  </si>
  <si>
    <t>GNB</t>
  </si>
  <si>
    <t>Saint-√âtienne-de-Saint-Geoirs</t>
  </si>
  <si>
    <t>LDE</t>
  </si>
  <si>
    <t>Tarbes</t>
  </si>
  <si>
    <t>LIG</t>
  </si>
  <si>
    <t>Limoges/Bellegarde</t>
  </si>
  <si>
    <t>LRH</t>
  </si>
  <si>
    <t>La Rochelle/√éle de R√©</t>
  </si>
  <si>
    <t>PGF</t>
  </si>
  <si>
    <t>Perpignan/Rivesaltes</t>
  </si>
  <si>
    <t>PTP</t>
  </si>
  <si>
    <t>Pointe-√†-Pitre</t>
  </si>
  <si>
    <t>PUF</t>
  </si>
  <si>
    <t>Pau</t>
  </si>
  <si>
    <t>RUN</t>
  </si>
  <si>
    <t>St Denis</t>
  </si>
  <si>
    <t>SFG</t>
  </si>
  <si>
    <t>Grand Case</t>
  </si>
  <si>
    <t>TUF</t>
  </si>
  <si>
    <t>Tours/Val de Loire (Loire Valley)</t>
  </si>
  <si>
    <t>XCR</t>
  </si>
  <si>
    <t>Vatry</t>
  </si>
  <si>
    <t>trafic_2018</t>
  </si>
  <si>
    <t>Trafic (milliers de passagers par an)</t>
  </si>
  <si>
    <t>Part des passagers concernés par l'évolution du trafic</t>
  </si>
  <si>
    <t>Total général</t>
  </si>
  <si>
    <t>Étiquettes de lignes</t>
  </si>
  <si>
    <t>Gvoy.km</t>
  </si>
  <si>
    <t>Trafic total</t>
  </si>
  <si>
    <t>dont &gt;3700 km</t>
  </si>
  <si>
    <t>dont 0-3700 km</t>
  </si>
  <si>
    <t>Aéroports et assistance en escale</t>
  </si>
  <si>
    <t>Compagnies aériennes - Personnel au sol</t>
  </si>
  <si>
    <t>Compagnies aériennes - Personnel navigant</t>
  </si>
  <si>
    <t>Graphe évolution de l'emploi</t>
  </si>
  <si>
    <t>Filiales</t>
  </si>
  <si>
    <t>Effectifs</t>
  </si>
  <si>
    <t>Périmètre</t>
  </si>
  <si>
    <t>SNCF Réseau</t>
  </si>
  <si>
    <t>Transport ferroviaire de voyageurs</t>
  </si>
  <si>
    <t>SNCF Gares &amp; Connexions</t>
  </si>
  <si>
    <t>Exploitation et développement des gares</t>
  </si>
  <si>
    <t>Transilien</t>
  </si>
  <si>
    <t>TER</t>
  </si>
  <si>
    <t>Voyages SNCF</t>
  </si>
  <si>
    <t>Direction industrielle</t>
  </si>
  <si>
    <t>Voyageurs autres</t>
  </si>
  <si>
    <t>Total Activités de transport de voyageurs</t>
  </si>
  <si>
    <t>Keolis</t>
  </si>
  <si>
    <t>Transport urbain</t>
  </si>
  <si>
    <t>Geodis</t>
  </si>
  <si>
    <t>Routier</t>
  </si>
  <si>
    <t>TFMM</t>
  </si>
  <si>
    <t>Fret ferroviaire</t>
  </si>
  <si>
    <t>Marchandises &amp; Logistique autres</t>
  </si>
  <si>
    <t>SNCF Immobilier</t>
  </si>
  <si>
    <t>Gestion immobilière</t>
  </si>
  <si>
    <t>Corporate</t>
  </si>
  <si>
    <t>Fonctions support Groupe</t>
  </si>
  <si>
    <t>Total hors Keolis et Geodis</t>
  </si>
  <si>
    <t>Correspond à la section "Transport ferroviaire" de CCTN 2018</t>
  </si>
  <si>
    <t>Grandes lignes (TGV et IC)</t>
  </si>
  <si>
    <t>Fret</t>
  </si>
  <si>
    <t>Grandes lignes (dont Voyageurs autres)</t>
  </si>
  <si>
    <t>Trafic (trains-km)</t>
  </si>
  <si>
    <t>GV Ouigo</t>
  </si>
  <si>
    <t>GV 2N</t>
  </si>
  <si>
    <t>GV 1N</t>
  </si>
  <si>
    <t>Classique GL jour</t>
  </si>
  <si>
    <t>Classique GL nuit</t>
  </si>
  <si>
    <t>Total grandes lignes</t>
  </si>
  <si>
    <t>TER capacitaire</t>
  </si>
  <si>
    <t>TER aménagement</t>
  </si>
  <si>
    <t>Total TER</t>
  </si>
  <si>
    <t>Grandes lignes</t>
  </si>
  <si>
    <t>Emplois du transport ferroviaire de voyageurs de longue distance</t>
  </si>
  <si>
    <t>Autres emplois du transport ferroviaire de voyageurs (mobilité quotidienne, maintenance du réseau, exploitation des gares)</t>
  </si>
  <si>
    <t>Date</t>
  </si>
  <si>
    <t>Métier</t>
  </si>
  <si>
    <t>Contrat de travail</t>
  </si>
  <si>
    <t>Sexe</t>
  </si>
  <si>
    <t>Effectif</t>
  </si>
  <si>
    <t>2019</t>
  </si>
  <si>
    <t>Mainteneur, Aiguilleur, Agent commercial, gestionnaire</t>
  </si>
  <si>
    <t>Contractuels</t>
  </si>
  <si>
    <t>Femme</t>
  </si>
  <si>
    <t>Manager de proximité, maitrise</t>
  </si>
  <si>
    <t>Homme</t>
  </si>
  <si>
    <t>Agent commercial à bord des trains</t>
  </si>
  <si>
    <t>Ingénieurs et cadres</t>
  </si>
  <si>
    <t>Cadre permanent</t>
  </si>
  <si>
    <t>Conducteurs</t>
  </si>
  <si>
    <t>Répartition par métier</t>
  </si>
  <si>
    <t>Somme de Effectif</t>
  </si>
  <si>
    <t>Répartition</t>
  </si>
  <si>
    <t>Transport aérien</t>
  </si>
  <si>
    <t>Transport ferroviaire
(longue distance uniquement)</t>
  </si>
  <si>
    <t>Synthèse des résultats</t>
  </si>
  <si>
    <t>Hypothèse de répartition des effectifs de la direction industrielle</t>
  </si>
  <si>
    <t>Code couleur</t>
  </si>
  <si>
    <t>Référence</t>
  </si>
  <si>
    <t>Variable issue d'un autre secteur PTEF</t>
  </si>
  <si>
    <t>Données initiales Externes</t>
  </si>
  <si>
    <t>Hypothèse emploi externe</t>
  </si>
  <si>
    <t>Hypothèse emploi PTEF</t>
  </si>
  <si>
    <t>Résultat de calcul</t>
  </si>
  <si>
    <t>Sources principales</t>
  </si>
  <si>
    <t>Unités principales</t>
  </si>
  <si>
    <r>
      <t xml:space="preserve">L'emploi est quantifié en </t>
    </r>
    <r>
      <rPr>
        <b/>
        <sz val="10"/>
        <color theme="1"/>
        <rFont val="Arial"/>
        <family val="2"/>
      </rPr>
      <t>ETP</t>
    </r>
    <r>
      <rPr>
        <sz val="10"/>
        <color theme="1"/>
        <rFont val="Arial"/>
        <family val="2"/>
      </rPr>
      <t>, ou "équivalent temps plein", corresondant au travail d'une personne à temps plein, sur une année.</t>
    </r>
  </si>
  <si>
    <t>Précision : chiffres significatifs et influence du point de départ</t>
  </si>
  <si>
    <t>Comme dans le reste du PTEF, les calculs effectués ici sont destinés à donner les meilleurs ordres de grandeur possibles.</t>
  </si>
  <si>
    <t>On a considéré que conserver 2 chiffres significatifs donnait l'approximation la plus pertinente du niveau de précision obtenu.</t>
  </si>
  <si>
    <t>Pour les hypothèses issues d'autres secteurs du PTEF, il s'agit essentiellement du rapport "Voyager bas carbone", The Shift Project, avril 2022, https://ilnousfautunplan.fr/</t>
  </si>
  <si>
    <r>
      <t>Les unités principales pertinentes pour quantifier le transport de personnes sont les "voyageurs-kilomètres" (</t>
    </r>
    <r>
      <rPr>
        <b/>
        <sz val="10"/>
        <color theme="1"/>
        <rFont val="Arial"/>
        <family val="2"/>
      </rPr>
      <t>voy.km</t>
    </r>
    <r>
      <rPr>
        <sz val="10"/>
        <color theme="1"/>
        <rFont val="Arial"/>
        <family val="2"/>
      </rPr>
      <t xml:space="preserve">). 1 voy.km correspond au déplacement d'un voyageur sur 1 km, ou de manière équivalente 2 voyageurs sur 500 m, etc. </t>
    </r>
  </si>
  <si>
    <r>
      <t xml:space="preserve">L'impact énergétique et climat de cette mobilité est ensuite évaluée de manière la plus pertinente grâce aux </t>
    </r>
    <r>
      <rPr>
        <b/>
        <sz val="10"/>
        <color theme="1"/>
        <rFont val="Arial"/>
        <family val="2"/>
      </rPr>
      <t>v.km</t>
    </r>
    <r>
      <rPr>
        <sz val="10"/>
        <color theme="1"/>
        <rFont val="Arial"/>
        <family val="2"/>
      </rPr>
      <t xml:space="preserve"> ou "véhicules-kilomètres" (ou "trains-kilomètres", trains-km) : 1 v.km correspond au déplacement d'un véhicule sur 1 km, ou 2 véhicules sur 500 m, etc.</t>
    </r>
  </si>
  <si>
    <t>N/A</t>
  </si>
  <si>
    <r>
      <t>TER</t>
    </r>
    <r>
      <rPr>
        <sz val="10"/>
        <color theme="1"/>
        <rFont val="Arial"/>
        <family val="2"/>
      </rPr>
      <t xml:space="preserve"> (longue distance uniquement)</t>
    </r>
  </si>
  <si>
    <r>
      <rPr>
        <b/>
        <sz val="10"/>
        <color theme="1"/>
        <rFont val="Arial"/>
        <family val="2"/>
      </rPr>
      <t xml:space="preserve">Source </t>
    </r>
    <r>
      <rPr>
        <sz val="10"/>
        <color theme="1"/>
        <rFont val="Arial"/>
        <family val="2"/>
      </rPr>
      <t>: Rapport financier Groupe SNCF 2020 (p. 37)</t>
    </r>
  </si>
  <si>
    <t>Missions : commercialiser, gérer, maintenir, moderniser et développer le réseau national</t>
  </si>
  <si>
    <t>Regroupe les activités Matériel, Traction, la production ferroviaire et la filiale Masteris. Elle coordonne l’animation des métiers associés (opération d'entretien lourd sur les trains)</t>
  </si>
  <si>
    <t>Effectifs SNCF au 31 décembre 2020 (Rapport financier Groupe SNCF 2020, p. 37)</t>
  </si>
  <si>
    <r>
      <t xml:space="preserve">Détails </t>
    </r>
    <r>
      <rPr>
        <sz val="10"/>
        <color theme="1"/>
        <rFont val="Arial"/>
        <family val="2"/>
      </rPr>
      <t>(p. 132 du rapport financier)</t>
    </r>
  </si>
  <si>
    <t>Emploi actuel du transport ferroviaire dédié à la mobilité longue distance (SNCF uniquement)</t>
  </si>
  <si>
    <t>Emploi actuel de la SNCF</t>
  </si>
  <si>
    <t>Emploi actuel de la SNCF dédié à la mobilité longue distance</t>
  </si>
  <si>
    <t>Part des effectifs dédiés à la mobilité longue distance</t>
  </si>
  <si>
    <t>Effectifs dédiés à la mobilité longue distance</t>
  </si>
  <si>
    <t>Synthèse des effectifs du transport ferroviaire dédiés à la mobilité longue distance , répartis entre grandes lignes et TER après ventilation des effectifs de la direction industrielle</t>
  </si>
  <si>
    <t>Évolution 2022-2027</t>
  </si>
  <si>
    <t>Évolution 2022-2037</t>
  </si>
  <si>
    <t>Évolution 2022-2050</t>
  </si>
  <si>
    <r>
      <t xml:space="preserve">Méthode </t>
    </r>
    <r>
      <rPr>
        <sz val="10"/>
        <color theme="1"/>
        <rFont val="Arial"/>
        <family val="2"/>
      </rPr>
      <t>: On fait l'hypothèse que l'emploi du transport ferroviaire est proportionnel à l'évolution du trafic en trains-kilomètres.</t>
    </r>
  </si>
  <si>
    <t>Évolution (par rapport à 2022)</t>
  </si>
  <si>
    <t>Visualisation des résultats</t>
  </si>
  <si>
    <t>Effectifs (arrondi au millier)</t>
  </si>
  <si>
    <t>Besoin en emploi du transport ferroviaire pour la mobilité longue distance dans le PTEF</t>
  </si>
  <si>
    <t>Besoin en emploi du transport ferroviaire pour la mobilité longue distance dans le PTEF - Arrondi au millier</t>
  </si>
  <si>
    <t>Objectifs d'évolution du trafic ferroviaire du secteur Mobilité longue distance dans le PTEF</t>
  </si>
  <si>
    <t>Objectifs d'évolution du transport aérien de personnes du secteur Mobilité longue distance dans le PTEF</t>
  </si>
  <si>
    <t>Évolution</t>
  </si>
  <si>
    <t>Emploi actuel du transport aérien</t>
  </si>
  <si>
    <t>Emploi total du transport aérien</t>
  </si>
  <si>
    <r>
      <t xml:space="preserve">Périmètre </t>
    </r>
    <r>
      <rPr>
        <sz val="10"/>
        <color theme="1"/>
        <rFont val="Arial"/>
        <family val="2"/>
      </rPr>
      <t>:
- On prend en compte l'ensemble des emplois du transport aérien de passagers (personnel navigant et non navigant, personnel des aéroports comme des compagnies aériennes).
- L'emploi dédié au fret aérien n'est pas pris en compte.</t>
    </r>
  </si>
  <si>
    <r>
      <rPr>
        <b/>
        <sz val="10"/>
        <color theme="1"/>
        <rFont val="Arial"/>
        <family val="2"/>
      </rPr>
      <t>Source</t>
    </r>
    <r>
      <rPr>
        <sz val="10"/>
        <color theme="1"/>
        <rFont val="Arial"/>
        <family val="2"/>
      </rPr>
      <t xml:space="preserve"> : Les données sont issues de FNAM, Rapport de branche 2019 (https://www.fnam.fr/wp-content/uploads/2021/02/FNAM-Rapport-de-Branche-Edition-2019.pdf). Lorsque ce rapport cite d'autres sources, elles sont mentionnées ci-dessous.</t>
    </r>
  </si>
  <si>
    <t>Part des effectifs</t>
  </si>
  <si>
    <t>Nombre de salariés (ETP)</t>
  </si>
  <si>
    <t>Part des salariés</t>
  </si>
  <si>
    <t>Source : Dares, données au 31/12/2016</t>
  </si>
  <si>
    <t>Transports aériens de passagers</t>
  </si>
  <si>
    <t>Emploi du transport aérien de passagers par activité</t>
  </si>
  <si>
    <t>Transports aériens de passagers (code NAF 51.10Z)</t>
  </si>
  <si>
    <t>Services auxiliaires des transports aériens (code NAF 52.23Z)</t>
  </si>
  <si>
    <t>Transports aériens de fret (code NAF 51.21Z)</t>
  </si>
  <si>
    <t>Réparation et maintenance d‘aéronefs et d’engins spatiaux (code NAF 33.16Z)</t>
  </si>
  <si>
    <t>On fait l'hypothèse que les emplois des services auxiliaires des transports aériens sont répartis entre les différentes activités (transports de passagers, de fret, etc.) au pro rata du poids de ces différentes activités dans l'emploi.</t>
  </si>
  <si>
    <t>Calcul du volume d'emploi actuel du transport aérien de passagers (i.e. dans le périmètre du secteur Mobilité longue distance)</t>
  </si>
  <si>
    <t>Répartition de l'emploi actuel du transport aérien de passagers selon le type d'employeur et l'activité</t>
  </si>
  <si>
    <t>Répartition des effectifs par famille d’activité</t>
  </si>
  <si>
    <t>Répartition des effectifs par type d'employeur</t>
  </si>
  <si>
    <t>Source : Enquête entreprises FNAM 2019 (données 2018)</t>
  </si>
  <si>
    <t>dont Support</t>
  </si>
  <si>
    <t>dont Relation clients</t>
  </si>
  <si>
    <t>dont Exploitation</t>
  </si>
  <si>
    <t>dont Maintenance</t>
  </si>
  <si>
    <t>dont Logistique</t>
  </si>
  <si>
    <t>dont Autres</t>
  </si>
  <si>
    <t>Personnel au sol</t>
  </si>
  <si>
    <t>Emploi du transport aérien de passagers selon le type d'employeur et le type d'activité</t>
  </si>
  <si>
    <t>Emploi actuel (ETP)</t>
  </si>
  <si>
    <t>Emploi du transport aérien par activité</t>
  </si>
  <si>
    <t>Besoin en emploi du transport aérien de passagers pour la mobilité longue distance dans le PTEF</t>
  </si>
  <si>
    <t>Emploi 2027</t>
  </si>
  <si>
    <t>Emploi 2050</t>
  </si>
  <si>
    <t>Hypothèses de report modal de l'avion vers le train en 2050</t>
  </si>
  <si>
    <t>Report modal</t>
  </si>
  <si>
    <t>Hypothèse de sobriété sur les trajets de +3700km en 2027</t>
  </si>
  <si>
    <t>Hypothèse de sobriété sur les trajets de +3700km en 2050</t>
  </si>
  <si>
    <t>45 % des voyages de plus de 3700 km dédiés aux vacances (qui représent 67 % des voyages de plus de 3700 km) sont supprimés : 30 sont relocalisés, et 30 % sont réalisés 2 fois moins souvent.</t>
  </si>
  <si>
    <t>6 % des voyages de plus de 3700 km dédiés aux vacances (qui représent 67 % des voyages de plus de 3700 km) sont supprimés</t>
  </si>
  <si>
    <t>0-800</t>
  </si>
  <si>
    <t>800-1200</t>
  </si>
  <si>
    <t>1200-1600</t>
  </si>
  <si>
    <t>1600-2000</t>
  </si>
  <si>
    <t>3700_</t>
  </si>
  <si>
    <t>Géographie (Métropole, Corse, Outre-mer)</t>
  </si>
  <si>
    <t>Voyageurs venant de … km</t>
  </si>
  <si>
    <t>On fait l'hypothèse que l'évolution concerne l'ensemble du trafic français (passagers français et internationaux)</t>
  </si>
  <si>
    <r>
      <t xml:space="preserve">Hypothèses d'évolution du transport aérien de personnes </t>
    </r>
    <r>
      <rPr>
        <b/>
        <u/>
        <sz val="10"/>
        <color theme="0"/>
        <rFont val="Arial"/>
        <family val="2"/>
      </rPr>
      <t>par aéroport</t>
    </r>
    <r>
      <rPr>
        <b/>
        <sz val="10"/>
        <color theme="0"/>
        <rFont val="Arial"/>
        <family val="2"/>
      </rPr>
      <t xml:space="preserve"> du secteur Mobilité longue distance dans le PTEF</t>
    </r>
  </si>
  <si>
    <r>
      <rPr>
        <b/>
        <sz val="10"/>
        <color theme="1"/>
        <rFont val="Arial"/>
        <family val="2"/>
      </rPr>
      <t>Source</t>
    </r>
    <r>
      <rPr>
        <sz val="10"/>
        <color theme="1"/>
        <rFont val="Arial"/>
        <family val="2"/>
      </rPr>
      <t xml:space="preserve"> pour le trafic par aéroport : UAF&amp;FA, "Résultat d'activité des aéroports français", 2018, https://www.aeroport.fr/uploads/documents/conference%20de%20presse/DOSSIER%20DE%20PRESSE_STATS_2018_def.pdf</t>
    </r>
  </si>
  <si>
    <t>Évolution due au report modal vers le train</t>
  </si>
  <si>
    <t>Évolution due à la sobriété</t>
  </si>
  <si>
    <r>
      <rPr>
        <b/>
        <sz val="10"/>
        <color theme="1"/>
        <rFont val="Arial"/>
        <family val="2"/>
      </rPr>
      <t>Méthode</t>
    </r>
    <r>
      <rPr>
        <sz val="10"/>
        <color theme="1"/>
        <rFont val="Arial"/>
        <family val="2"/>
      </rPr>
      <t xml:space="preserve"> :
L'objectif de baisse du trafic en 2027 s'appuie sur :
- de la sobriété : plus aucun trajet à moins de 4h30 de train ne se fait en avion, et une partie des voyages longs destinés aux vacances sont supprimés
- l'usage de la visioconférence : une partie des autres trajets à vocation professionnelle sont remplacés par l'usage de la visioconférence
L'objectif de baisse du trafic en 2050 s'appuie sur les mêmes leviers, auxquels s'ajoutent :
- davantage de sobriété : c'est une partie plus importante des voyages longs destinés aux vacances qui sont supprimés (car relocalisés ou réalisés moins fréquemment)
- du report modal depuis l'avion vers le train
Appliquer ces objectifs par aéroport permet d'estimer l'impact de l'évolution du trafic en voyageurs-kilomètres sur le nombre de voyageurs, quelle que soit la distance parcourue à chaque voyage - et ainsi d'estimer l'évolution de l'emploi dans les aéroports.</t>
    </r>
  </si>
  <si>
    <r>
      <rPr>
        <b/>
        <sz val="10"/>
        <color theme="1"/>
        <rFont val="Arial"/>
        <family val="2"/>
      </rPr>
      <t xml:space="preserve">Hypothèse et limites </t>
    </r>
    <r>
      <rPr>
        <sz val="10"/>
        <color theme="1"/>
        <rFont val="Arial"/>
        <family val="2"/>
      </rPr>
      <t>: On fait ici l'hypothèse que tous les aéroports restent ouverts, malgré des trafics pour certains très bas qui, dans la pratique, justifieraient probablement des fermetures d'aéroport localement. Ainsi, cette estimation ne permet pas de rendre compte de l'impact de l'évolution du trafic sur l'emploi par aéroport ou par territoire.</t>
    </r>
  </si>
  <si>
    <r>
      <rPr>
        <b/>
        <sz val="10"/>
        <color theme="1"/>
        <rFont val="Arial"/>
        <family val="2"/>
      </rPr>
      <t>Hypothèses</t>
    </r>
    <r>
      <rPr>
        <sz val="10"/>
        <color theme="1"/>
        <rFont val="Arial"/>
        <family val="2"/>
      </rPr>
      <t xml:space="preserve"> : 
- On fait l'hypothèse que l'emploi du personnel navigant évolue proportionnellement aux voyageurs-kilomètres.
- On fait l'hypothèse que l'emploi au sol (aéroports, assistance en escale, et personnel au sol des compagnies aériennes) évolue proportionnellement au nombre de voyageurs (peu importe la distance parcourue par trajet). </t>
    </r>
    <r>
      <rPr>
        <i/>
        <sz val="10"/>
        <color theme="1"/>
        <rFont val="Arial"/>
        <family val="2"/>
      </rPr>
      <t xml:space="preserve">- Voir l'onglet "Trafic par aéroport".
</t>
    </r>
    <r>
      <rPr>
        <sz val="10"/>
        <color theme="1"/>
        <rFont val="Arial"/>
        <family val="2"/>
      </rPr>
      <t>On fait également l'hypothèse que le trafic diminue aussi bien pour les résidents français (inclus dans le périmètre du rapport "Voyager bas carbone" du PTEF) que pour les non résidents français (en dehors du périmètre de ce rapport).</t>
    </r>
  </si>
  <si>
    <t>Évolution de l'emploi du transport aérien de passagers</t>
  </si>
  <si>
    <t>Proportionnel au nombre de passagers</t>
  </si>
  <si>
    <t>Proportionnel au trafic en voyageurs-kilomètres</t>
  </si>
  <si>
    <t>Évolution du nombre de passagers</t>
  </si>
  <si>
    <t>Evolution trafic du nombre de passagers</t>
  </si>
  <si>
    <r>
      <t xml:space="preserve">Méthode </t>
    </r>
    <r>
      <rPr>
        <sz val="10"/>
        <color theme="1"/>
        <rFont val="Arial"/>
        <family val="2"/>
      </rPr>
      <t>: On répartit l'emploi du transport aérien de passagers par type d'employeur et d'activité car l'évolution du transport aérien n'a pas le même impact sur les différents métiers (sur le personnel navigant et le personnel au sol par exemple).</t>
    </r>
  </si>
  <si>
    <t>Évolution nette 2022-2050</t>
  </si>
  <si>
    <t>Emplois de la mobilité longue distance</t>
  </si>
  <si>
    <t>Répartition des emplois de la SNCF par métier, contrat de travail et sexe</t>
  </si>
  <si>
    <r>
      <rPr>
        <b/>
        <sz val="10"/>
        <color theme="1"/>
        <rFont val="Arial"/>
        <family val="2"/>
      </rPr>
      <t>Source</t>
    </r>
    <r>
      <rPr>
        <sz val="10"/>
        <color theme="1"/>
        <rFont val="Arial"/>
        <family val="2"/>
      </rPr>
      <t xml:space="preserve"> : Data SNCF, https://data.sncf.com/explore/dataset/effectif-metiers-sncf, consulté le 13 juin 2021</t>
    </r>
  </si>
  <si>
    <t>Emploi actuel</t>
  </si>
  <si>
    <t>Afpa 2021</t>
  </si>
  <si>
    <t>France - Emplois directs - Matériel roulant, signalisation, infras, maintenance, bureaux d'étude, recherche…</t>
  </si>
  <si>
    <t>TGV</t>
  </si>
  <si>
    <t>Parc en nombre de rames (données secteur Mobilité Longue Distance)</t>
  </si>
  <si>
    <t>Grande vitesse capacitaire</t>
  </si>
  <si>
    <t>Grande vitesse aménagement</t>
  </si>
  <si>
    <t>Total grande vitesse</t>
  </si>
  <si>
    <t>% du total</t>
  </si>
  <si>
    <t>Train intercités et régionaux LD jour </t>
  </si>
  <si>
    <t>Train intercités nuit (rames 12 voitures)</t>
  </si>
  <si>
    <t>Total trains classiques</t>
  </si>
  <si>
    <t>Evolution</t>
  </si>
  <si>
    <t>Evolution annuelle du parc en nombre de rames</t>
  </si>
  <si>
    <t>Train classique</t>
  </si>
  <si>
    <t>Production annuelle</t>
  </si>
  <si>
    <t>Accroissement du renouvellement annuel TGV</t>
  </si>
  <si>
    <t>Accroissement du renouvellement annuel trains classiques</t>
  </si>
  <si>
    <t>Accroissement du parc TGV</t>
  </si>
  <si>
    <t>Accroissement du parc trains classiques</t>
  </si>
  <si>
    <t>Emploi</t>
  </si>
  <si>
    <t>Emplois supplémentaires TGV</t>
  </si>
  <si>
    <t>Emplois supplémentaires trains classiques</t>
  </si>
  <si>
    <t>Emploi total</t>
  </si>
  <si>
    <t xml:space="preserve">La production augmente fortement dans les premières années de transformation, puis diminue progressivement ; et avec elle le besoin de main-d'œuvre. Toutefois, la hausse de la taille du parc de rames fera augmenter le rythme de renouvellement du parc, ce qui devrait engendrer un besoin en main-d'oeuvre à plus long terme. </t>
  </si>
  <si>
    <t>Emploi total de l'industrie ferroviaire</t>
  </si>
  <si>
    <t>Evolution (par rapport à 2022)</t>
  </si>
  <si>
    <t>Nombre d'années de la transformation</t>
  </si>
  <si>
    <t>GRAPHE : Emploi total de la construction de matériel roulant (ETP)</t>
  </si>
  <si>
    <t>GRAPHE : Evolution du parc ferroviaire en nombre de rames</t>
  </si>
  <si>
    <t>Objectifs d'évolution du parc ferroviaire du secteur Mobilité longue distance dans le PTEF</t>
  </si>
  <si>
    <t>Objectifs de taille de parc du secteur Mobilité longue distance dans le PTEF</t>
  </si>
  <si>
    <t>Besoins de construction ferroviaire associés</t>
  </si>
  <si>
    <t>Besoin en emploi de la construction ferroviaire pour la mobilité longue distance dans le PTEF</t>
  </si>
  <si>
    <t>Pour les données et hypothèses sectorielles externes, les sources diffèrent selon le secteur (transport ferroviaire, transport aérien, construction ferroviaire) : elles sont indiquées dans les onglets correspondants.</t>
  </si>
  <si>
    <t>La situation "actuelle" est fondée, selon les données les plus récents disponibles pour chaque secteur, sur les années 2016, 2018 ou 2020 ; l'influence du point de départ reste toutefois limitée car les ratios changent très peu au cours du temps.</t>
  </si>
  <si>
    <t>Le périmètre retenu comprend les emplois du transport ferroviaire de voyageurs et du transport aérien de voyageurs, ainsi que les emplois industriels de la construction ferroviaire</t>
  </si>
  <si>
    <t>Besoin en emploi par train construit</t>
  </si>
  <si>
    <t>Emplois par TGV</t>
  </si>
  <si>
    <t>Emplois par train classique</t>
  </si>
  <si>
    <r>
      <t xml:space="preserve">Hypothèse </t>
    </r>
    <r>
      <rPr>
        <sz val="11"/>
        <color theme="1"/>
        <rFont val="Calibri"/>
        <family val="2"/>
        <scheme val="minor"/>
      </rPr>
      <t>: on fait une hypothèse de volume d'emploi par train construit, sur la base de l'emploi actuel de l'industrie ferroviaire, d'auditions d'expert et de données de commande issues de Xerfi, L'industrie ferroviaire en France, 2020.</t>
    </r>
  </si>
  <si>
    <t>Emploi actuel de la filière ferroviaire</t>
  </si>
  <si>
    <t>Source :</t>
  </si>
  <si>
    <t>Périmètre :</t>
  </si>
  <si>
    <r>
      <t>Périmètre</t>
    </r>
    <r>
      <rPr>
        <sz val="10"/>
        <color theme="1"/>
        <rFont val="Arial"/>
        <family val="2"/>
      </rPr>
      <t xml:space="preserve"> : </t>
    </r>
    <r>
      <rPr>
        <b/>
        <sz val="10"/>
        <color theme="1"/>
        <rFont val="Arial"/>
        <family val="2"/>
      </rPr>
      <t xml:space="preserve">
</t>
    </r>
    <r>
      <rPr>
        <sz val="10"/>
        <color theme="1"/>
        <rFont val="Arial"/>
        <family val="2"/>
      </rPr>
      <t>- Le périmètre tient compte des effectifs de la SNCF : on considère que l'emploi du transport ferroviaire de voyageurs hors SNCF est négligeable.
- On tient compte uniquement des emplois du transport ferroviaire dont on estime qu'ils sont dédiés au transport de longue distance (plus de 80 km à vol d'oiseau du domicile, ou 100 km de distance routière).</t>
    </r>
    <r>
      <rPr>
        <b/>
        <sz val="10"/>
        <color theme="1"/>
        <rFont val="Arial"/>
        <family val="2"/>
      </rPr>
      <t xml:space="preserve">
</t>
    </r>
    <r>
      <rPr>
        <sz val="10"/>
        <color theme="1"/>
        <rFont val="Arial"/>
        <family val="2"/>
      </rPr>
      <t xml:space="preserve">- Les emplois de la SNCF dédiés à la maintenance industrielle (i.e. les emplois de la direction industrielle) sont, par simplification de traitement, intégrés au périmètre des emplois du transport ferroviaire, et non à l’industrie ferroviaire, traitée </t>
    </r>
    <r>
      <rPr>
        <sz val="10"/>
        <rFont val="Arial"/>
        <family val="2"/>
      </rPr>
      <t>dans l'onglet 'Industrie ferroviaire').
- Les emplois de maintenance des réseaux et des gares ne sont pas pris en compte, car les besoins pour la construction de nouvelles lignes, les modernisations, l'entretien, etc., n'ont pas pu être évalués.</t>
    </r>
  </si>
  <si>
    <t>"L'emploi : moteur de la transformation bas carbone" (The Shift Project, 2021) a été publié avant la finalisation de l'ensemble des travaux du Plan de transformation de l'économie française. Le présent document tient compte des hypothèses prises dans la version finale du PTEF, et des corrections ont été apportées dans ce sens. Cela explique des écarts pouvant exister entre les résultats présentés dans ce tableur et la publication de décembre 2021. Ces écarts sont pour la plupart mineurs, et ne remettent pas en cause les conclusions du rapport.</t>
  </si>
  <si>
    <r>
      <rPr>
        <b/>
        <sz val="10"/>
        <color theme="1"/>
        <rFont val="Arial"/>
        <family val="2"/>
      </rPr>
      <t xml:space="preserve">Dans le transport ferroviaire, </t>
    </r>
    <r>
      <rPr>
        <sz val="10"/>
        <color theme="1"/>
        <rFont val="Arial"/>
        <family val="2"/>
      </rPr>
      <t xml:space="preserve">la mise à jour des hypothèses conduit à un besoin de 80 000 emplois pour la longue distance en 2050 (+129%), au lieu des 70 000 emplois annoncés dans le rapport (+105%). </t>
    </r>
  </si>
  <si>
    <t>Avertissement : écarts à la publication "L'emploi : moteur de la transformation bas carbone" de 2021</t>
  </si>
  <si>
    <t>2000-3700</t>
  </si>
  <si>
    <t>Hypothèse de substitution de la visio conférence aux trajets à motif professionnel</t>
  </si>
  <si>
    <r>
      <t xml:space="preserve">Emplois de la mobilité longue distance
</t>
    </r>
    <r>
      <rPr>
        <i/>
        <sz val="10"/>
        <color theme="1"/>
        <rFont val="Arial"/>
        <family val="2"/>
      </rPr>
      <t>Résultats arrondis à 2 chiffres significatifs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</si>
</sst>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 #,##0.00\ &quot;€&quot;_-;\-* #,##0.00\ &quot;€&quot;_-;_-* &quot;-&quot;??\ &quot;€&quot;_-;_-@_-"/>
    <numFmt numFmtId="43" formatCode="_-* #,##0.00_-;\-* #,##0.00_-;_-* &quot;-&quot;??_-;_-@_-"/>
    <numFmt numFmtId="164" formatCode="_-* #,##0.00\ _€_-;\-* #,##0.00\ _€_-;_-* &quot;-&quot;??\ _€_-;_-@_-"/>
    <numFmt numFmtId="165" formatCode="_-* #,##0\ _€_-;\-* #,##0\ _€_-;_-* &quot;-&quot;??\ _€_-;_-@_-"/>
    <numFmt numFmtId="166" formatCode="_-* #,##0.0\ _€_-;\-* #,##0.0\ _€_-;_-* &quot;-&quot;?\ _€_-;_-@_-"/>
    <numFmt numFmtId="167" formatCode="0.0%"/>
    <numFmt numFmtId="168" formatCode="_-* #,##0_-;\-* #,##0_-;_-* &quot;-&quot;??_-;_-@_-"/>
    <numFmt numFmtId="169" formatCode="_-* #,##0.00000000\ _€_-;\-* #,##0.00000000\ _€_-;_-* &quot;-&quot;??\ _€_-;_-@_-"/>
    <numFmt numFmtId="170" formatCode="_-* #,##0.0000000\ _€_-;\-* #,##0.0000000\ _€_-;_-* &quot;-&quot;??\ _€_-;_-@_-"/>
    <numFmt numFmtId="171" formatCode="_-* #,##0\ _€_-;\-* #,##0\ _€_-;_-* &quot;-&quot;?\ _€_-;_-@_-"/>
    <numFmt numFmtId="172" formatCode="_-* #,##0.0\ _€_-;\-* #,##0.0\ _€_-;_-* &quot;-&quot;??\ _€_-;_-@_-"/>
    <numFmt numFmtId="173" formatCode="_-* #,##0.000\ _€_-;\-* #,##0.000\ _€_-;_-* &quot;-&quot;??\ _€_-;_-@_-"/>
    <numFmt numFmtId="174" formatCode="_-* #,##0.000\ _€_-;\-* #,##0.000\ _€_-;_-* &quot;-&quot;???\ _€_-;_-@_-"/>
    <numFmt numFmtId="175" formatCode="0.0000%"/>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2"/>
      <color theme="1"/>
      <name val="Calibri"/>
      <family val="2"/>
      <scheme val="minor"/>
    </font>
    <font>
      <sz val="11"/>
      <color theme="0"/>
      <name val="Arial"/>
      <family val="2"/>
    </font>
    <font>
      <sz val="11"/>
      <color theme="1"/>
      <name val="Arial"/>
      <family val="2"/>
    </font>
    <font>
      <b/>
      <sz val="11"/>
      <color theme="1"/>
      <name val="Arial"/>
      <family val="2"/>
    </font>
    <font>
      <i/>
      <sz val="10"/>
      <color theme="1"/>
      <name val="Arial"/>
      <family val="2"/>
    </font>
    <font>
      <sz val="9"/>
      <color theme="1"/>
      <name val="Arial"/>
      <family val="2"/>
    </font>
    <font>
      <i/>
      <sz val="9"/>
      <color theme="1"/>
      <name val="Arial"/>
      <family val="2"/>
    </font>
    <font>
      <b/>
      <sz val="11"/>
      <color theme="0"/>
      <name val="Arial"/>
      <family val="2"/>
    </font>
    <font>
      <sz val="10"/>
      <color theme="1"/>
      <name val="Arial"/>
      <family val="2"/>
    </font>
    <font>
      <sz val="10"/>
      <color rgb="FF000000"/>
      <name val="Arial"/>
      <family val="2"/>
    </font>
    <font>
      <sz val="10"/>
      <color theme="0"/>
      <name val="Arial"/>
      <family val="2"/>
    </font>
    <font>
      <sz val="10"/>
      <color rgb="FFFF0000"/>
      <name val="Arial"/>
      <family val="2"/>
    </font>
    <font>
      <b/>
      <sz val="10"/>
      <color theme="1"/>
      <name val="Arial"/>
      <family val="2"/>
    </font>
    <font>
      <b/>
      <sz val="10"/>
      <color theme="0"/>
      <name val="Arial"/>
      <family val="2"/>
    </font>
    <font>
      <b/>
      <i/>
      <sz val="10"/>
      <name val="Arial"/>
      <family val="2"/>
    </font>
    <font>
      <b/>
      <i/>
      <sz val="10"/>
      <color theme="1"/>
      <name val="Arial"/>
      <family val="2"/>
    </font>
    <font>
      <b/>
      <sz val="10"/>
      <name val="Arial"/>
      <family val="2"/>
    </font>
    <font>
      <sz val="8"/>
      <name val="Calibri"/>
      <family val="2"/>
      <scheme val="minor"/>
    </font>
    <font>
      <b/>
      <u/>
      <sz val="10"/>
      <color theme="0"/>
      <name val="Arial"/>
      <family val="2"/>
    </font>
    <font>
      <b/>
      <i/>
      <sz val="9"/>
      <color theme="1"/>
      <name val="Arial"/>
      <family val="2"/>
    </font>
    <font>
      <i/>
      <sz val="11"/>
      <color theme="1"/>
      <name val="Calibri"/>
      <family val="2"/>
      <scheme val="minor"/>
    </font>
    <font>
      <i/>
      <sz val="9"/>
      <color theme="1"/>
      <name val="Calibri"/>
      <family val="2"/>
      <scheme val="minor"/>
    </font>
    <font>
      <b/>
      <i/>
      <sz val="11"/>
      <color theme="1"/>
      <name val="Calibri"/>
      <family val="2"/>
      <scheme val="minor"/>
    </font>
    <font>
      <i/>
      <sz val="10"/>
      <color theme="1"/>
      <name val="Calibri"/>
      <family val="2"/>
      <scheme val="minor"/>
    </font>
  </fonts>
  <fills count="13">
    <fill>
      <patternFill patternType="none"/>
    </fill>
    <fill>
      <patternFill patternType="gray125"/>
    </fill>
    <fill>
      <patternFill patternType="solid">
        <fgColor theme="4"/>
        <bgColor indexed="64"/>
      </patternFill>
    </fill>
    <fill>
      <patternFill patternType="solid">
        <fgColor theme="6"/>
        <bgColor indexed="64"/>
      </patternFill>
    </fill>
    <fill>
      <patternFill patternType="solid">
        <fgColor theme="6"/>
        <bgColor rgb="FF000000"/>
      </patternFill>
    </fill>
    <fill>
      <patternFill patternType="solid">
        <fgColor theme="7" tint="0.79998168889431442"/>
        <bgColor rgb="FF000000"/>
      </patternFill>
    </fill>
    <fill>
      <patternFill patternType="solid">
        <fgColor theme="0" tint="-0.14999847407452621"/>
        <bgColor rgb="FF000000"/>
      </patternFill>
    </fill>
    <fill>
      <patternFill patternType="solid">
        <fgColor theme="8" tint="0.59999389629810485"/>
        <bgColor rgb="FF000000"/>
      </patternFill>
    </fill>
    <fill>
      <patternFill patternType="solid">
        <fgColor theme="0"/>
        <bgColor indexed="64"/>
      </patternFill>
    </fill>
    <fill>
      <patternFill patternType="solid">
        <fgColor theme="7" tint="0.79998168889431442"/>
        <bgColor indexed="64"/>
      </patternFill>
    </fill>
    <fill>
      <patternFill patternType="solid">
        <fgColor theme="9"/>
        <bgColor indexed="64"/>
      </patternFill>
    </fill>
    <fill>
      <patternFill patternType="solid">
        <fgColor theme="8" tint="0.59999389629810485"/>
        <bgColor indexed="64"/>
      </patternFill>
    </fill>
    <fill>
      <patternFill patternType="solid">
        <fgColor theme="2" tint="-0.499984740745262"/>
        <bgColor indexed="64"/>
      </patternFill>
    </fill>
  </fills>
  <borders count="16">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8">
    <xf numFmtId="0" fontId="0" fillId="0" borderId="0"/>
    <xf numFmtId="164" fontId="1" fillId="0" borderId="0" applyFont="0" applyFill="0" applyBorder="0" applyAlignment="0" applyProtection="0"/>
    <xf numFmtId="9" fontId="1" fillId="0" borderId="0" applyFont="0" applyFill="0" applyBorder="0" applyAlignment="0" applyProtection="0"/>
    <xf numFmtId="0" fontId="3" fillId="0" borderId="0"/>
    <xf numFmtId="44" fontId="3"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cellStyleXfs>
  <cellXfs count="408">
    <xf numFmtId="0" fontId="0" fillId="0" borderId="0" xfId="0"/>
    <xf numFmtId="0" fontId="5" fillId="2" borderId="0" xfId="0" applyFont="1" applyFill="1"/>
    <xf numFmtId="9" fontId="8" fillId="0" borderId="0" xfId="2" applyNumberFormat="1" applyFont="1" applyBorder="1"/>
    <xf numFmtId="0" fontId="12" fillId="0" borderId="0" xfId="0" applyFont="1"/>
    <xf numFmtId="0" fontId="13" fillId="4" borderId="14" xfId="0" applyFont="1" applyFill="1" applyBorder="1"/>
    <xf numFmtId="0" fontId="13" fillId="5" borderId="14" xfId="0" applyFont="1" applyFill="1" applyBorder="1"/>
    <xf numFmtId="0" fontId="13" fillId="6" borderId="14" xfId="0" applyFont="1" applyFill="1" applyBorder="1"/>
    <xf numFmtId="0" fontId="13" fillId="7" borderId="14" xfId="0" applyFont="1" applyFill="1" applyBorder="1"/>
    <xf numFmtId="0" fontId="13" fillId="0" borderId="14" xfId="0" applyFont="1" applyBorder="1"/>
    <xf numFmtId="0" fontId="14" fillId="2" borderId="0" xfId="0" applyFont="1" applyFill="1"/>
    <xf numFmtId="0" fontId="15" fillId="0" borderId="0" xfId="0" applyFont="1"/>
    <xf numFmtId="0" fontId="17" fillId="2" borderId="0" xfId="0" applyFont="1" applyFill="1"/>
    <xf numFmtId="165" fontId="12" fillId="3" borderId="0" xfId="1" applyNumberFormat="1" applyFont="1" applyFill="1" applyBorder="1"/>
    <xf numFmtId="0" fontId="16" fillId="0" borderId="0" xfId="0" applyFont="1" applyBorder="1"/>
    <xf numFmtId="0" fontId="12" fillId="0" borderId="0" xfId="0" applyFont="1" applyBorder="1"/>
    <xf numFmtId="0" fontId="8" fillId="0" borderId="0" xfId="0" applyFont="1" applyBorder="1"/>
    <xf numFmtId="165" fontId="12" fillId="0" borderId="0" xfId="1" applyNumberFormat="1" applyFont="1" applyBorder="1"/>
    <xf numFmtId="164" fontId="12" fillId="0" borderId="0" xfId="1" applyNumberFormat="1" applyFont="1" applyBorder="1"/>
    <xf numFmtId="9" fontId="3" fillId="0" borderId="0" xfId="2" applyFont="1" applyBorder="1"/>
    <xf numFmtId="165" fontId="19" fillId="0" borderId="0" xfId="1" applyNumberFormat="1" applyFont="1" applyBorder="1"/>
    <xf numFmtId="9" fontId="19" fillId="0" borderId="0" xfId="2" applyNumberFormat="1" applyFont="1" applyBorder="1"/>
    <xf numFmtId="0" fontId="16" fillId="0" borderId="0" xfId="0" applyFont="1"/>
    <xf numFmtId="165" fontId="12" fillId="0" borderId="0" xfId="1" applyNumberFormat="1" applyFont="1"/>
    <xf numFmtId="0" fontId="12" fillId="0" borderId="3" xfId="0" applyFont="1" applyBorder="1"/>
    <xf numFmtId="9" fontId="12" fillId="0" borderId="0" xfId="2" applyFont="1" applyBorder="1"/>
    <xf numFmtId="0" fontId="12" fillId="0" borderId="7" xfId="0" applyFont="1" applyBorder="1"/>
    <xf numFmtId="0" fontId="3" fillId="0" borderId="7" xfId="0" applyFont="1" applyBorder="1"/>
    <xf numFmtId="0" fontId="12" fillId="0" borderId="4" xfId="0" applyFont="1" applyBorder="1"/>
    <xf numFmtId="9" fontId="12" fillId="0" borderId="0" xfId="2" applyFont="1" applyFill="1" applyBorder="1"/>
    <xf numFmtId="165" fontId="12" fillId="0" borderId="0" xfId="0" applyNumberFormat="1" applyFont="1" applyBorder="1"/>
    <xf numFmtId="169" fontId="12" fillId="0" borderId="0" xfId="1" applyNumberFormat="1" applyFont="1"/>
    <xf numFmtId="170" fontId="12" fillId="0" borderId="0" xfId="1" applyNumberFormat="1" applyFont="1" applyBorder="1"/>
    <xf numFmtId="165" fontId="12" fillId="0" borderId="0" xfId="0" applyNumberFormat="1" applyFont="1"/>
    <xf numFmtId="165" fontId="16" fillId="0" borderId="9" xfId="1" applyNumberFormat="1" applyFont="1" applyBorder="1"/>
    <xf numFmtId="9" fontId="8" fillId="0" borderId="8" xfId="2" applyFont="1" applyBorder="1"/>
    <xf numFmtId="9" fontId="19" fillId="0" borderId="8" xfId="2" applyFont="1" applyBorder="1"/>
    <xf numFmtId="9" fontId="19" fillId="0" borderId="10" xfId="2" applyFont="1" applyBorder="1"/>
    <xf numFmtId="0" fontId="16" fillId="0" borderId="12" xfId="0" applyFont="1" applyBorder="1"/>
    <xf numFmtId="0" fontId="16" fillId="0" borderId="13" xfId="0" applyFont="1" applyBorder="1"/>
    <xf numFmtId="0" fontId="12" fillId="0" borderId="15" xfId="0" applyFont="1" applyBorder="1"/>
    <xf numFmtId="0" fontId="19" fillId="0" borderId="15" xfId="0" applyFont="1" applyBorder="1"/>
    <xf numFmtId="165" fontId="3" fillId="8" borderId="0" xfId="1" applyNumberFormat="1" applyFont="1" applyFill="1" applyBorder="1"/>
    <xf numFmtId="0" fontId="11" fillId="2" borderId="0" xfId="0" applyFont="1" applyFill="1" applyAlignment="1">
      <alignment vertical="center"/>
    </xf>
    <xf numFmtId="165" fontId="18" fillId="0" borderId="0" xfId="1" applyNumberFormat="1" applyFont="1" applyFill="1" applyBorder="1"/>
    <xf numFmtId="9" fontId="19" fillId="0" borderId="0" xfId="2" applyNumberFormat="1" applyFont="1" applyFill="1" applyBorder="1"/>
    <xf numFmtId="165" fontId="19" fillId="0" borderId="0" xfId="1" applyNumberFormat="1" applyFont="1" applyFill="1" applyBorder="1"/>
    <xf numFmtId="0" fontId="12" fillId="0" borderId="8" xfId="0" applyFont="1" applyBorder="1" applyAlignment="1">
      <alignment vertical="center"/>
    </xf>
    <xf numFmtId="0" fontId="16" fillId="0" borderId="14" xfId="0" applyFont="1" applyBorder="1" applyAlignment="1">
      <alignment vertical="center"/>
    </xf>
    <xf numFmtId="0" fontId="16" fillId="0" borderId="12" xfId="0" applyFont="1" applyBorder="1" applyAlignment="1">
      <alignment vertical="center"/>
    </xf>
    <xf numFmtId="0" fontId="16" fillId="0" borderId="13" xfId="0" applyFont="1" applyBorder="1" applyAlignment="1">
      <alignment vertical="center"/>
    </xf>
    <xf numFmtId="0" fontId="12" fillId="0" borderId="15" xfId="0" applyFont="1" applyBorder="1" applyAlignment="1">
      <alignment vertical="center"/>
    </xf>
    <xf numFmtId="165" fontId="12" fillId="9" borderId="0" xfId="1" applyNumberFormat="1" applyFont="1" applyFill="1" applyBorder="1" applyAlignment="1">
      <alignment vertical="center"/>
    </xf>
    <xf numFmtId="0" fontId="9" fillId="0" borderId="0" xfId="0" applyFont="1" applyBorder="1" applyAlignment="1">
      <alignment vertical="center" wrapText="1"/>
    </xf>
    <xf numFmtId="0" fontId="3" fillId="0" borderId="15" xfId="0" applyFont="1" applyBorder="1" applyAlignment="1">
      <alignment vertical="center"/>
    </xf>
    <xf numFmtId="165" fontId="3" fillId="9" borderId="0" xfId="1" applyNumberFormat="1" applyFont="1" applyFill="1" applyBorder="1" applyAlignment="1">
      <alignment vertical="center"/>
    </xf>
    <xf numFmtId="0" fontId="8" fillId="0" borderId="1" xfId="0" applyFont="1" applyBorder="1" applyAlignment="1">
      <alignment vertical="center"/>
    </xf>
    <xf numFmtId="165" fontId="8" fillId="0" borderId="9" xfId="1" applyNumberFormat="1" applyFont="1" applyBorder="1" applyAlignment="1">
      <alignment vertical="center"/>
    </xf>
    <xf numFmtId="0" fontId="9" fillId="0" borderId="9" xfId="0" applyFont="1" applyBorder="1" applyAlignment="1">
      <alignment vertical="center"/>
    </xf>
    <xf numFmtId="0" fontId="12" fillId="0" borderId="10" xfId="0" applyFont="1" applyBorder="1" applyAlignment="1">
      <alignment vertical="center"/>
    </xf>
    <xf numFmtId="0" fontId="20" fillId="0" borderId="15" xfId="0" applyFont="1" applyFill="1" applyBorder="1" applyAlignment="1">
      <alignment vertical="center"/>
    </xf>
    <xf numFmtId="165" fontId="20" fillId="0" borderId="0" xfId="1" applyNumberFormat="1" applyFont="1" applyFill="1" applyBorder="1" applyAlignment="1">
      <alignment vertical="center"/>
    </xf>
    <xf numFmtId="0" fontId="16" fillId="0" borderId="15" xfId="0" applyFont="1" applyBorder="1" applyAlignment="1">
      <alignment vertical="center"/>
    </xf>
    <xf numFmtId="165" fontId="16" fillId="0" borderId="0" xfId="1" applyNumberFormat="1" applyFont="1" applyBorder="1" applyAlignment="1">
      <alignment vertical="center"/>
    </xf>
    <xf numFmtId="0" fontId="17" fillId="10" borderId="0" xfId="0" applyFont="1" applyFill="1" applyAlignment="1">
      <alignment vertical="center"/>
    </xf>
    <xf numFmtId="0" fontId="16" fillId="0" borderId="0" xfId="0" applyFont="1" applyBorder="1" applyAlignment="1">
      <alignment horizontal="left" vertical="center" wrapText="1"/>
    </xf>
    <xf numFmtId="0" fontId="16" fillId="0" borderId="0" xfId="0" applyFont="1" applyBorder="1" applyAlignment="1">
      <alignment horizontal="left" vertical="center"/>
    </xf>
    <xf numFmtId="9" fontId="12" fillId="11" borderId="6" xfId="2" applyFont="1" applyFill="1" applyBorder="1"/>
    <xf numFmtId="9" fontId="12" fillId="11" borderId="8" xfId="2" applyFont="1" applyFill="1" applyBorder="1"/>
    <xf numFmtId="9" fontId="3" fillId="11" borderId="8" xfId="2" applyFont="1" applyFill="1" applyBorder="1"/>
    <xf numFmtId="9" fontId="12" fillId="11" borderId="10" xfId="2" applyFont="1" applyFill="1" applyBorder="1"/>
    <xf numFmtId="165" fontId="12" fillId="9" borderId="0" xfId="1" applyNumberFormat="1" applyFont="1" applyFill="1" applyBorder="1"/>
    <xf numFmtId="165" fontId="3" fillId="9" borderId="0" xfId="1" applyNumberFormat="1" applyFont="1" applyFill="1" applyBorder="1"/>
    <xf numFmtId="9" fontId="12" fillId="11" borderId="0" xfId="2" applyFont="1" applyFill="1" applyBorder="1"/>
    <xf numFmtId="9" fontId="3" fillId="11" borderId="0" xfId="2" applyFont="1" applyFill="1" applyBorder="1"/>
    <xf numFmtId="0" fontId="12" fillId="0" borderId="0" xfId="0" applyFont="1" applyBorder="1" applyAlignment="1"/>
    <xf numFmtId="0" fontId="16" fillId="0" borderId="14" xfId="0" applyFont="1" applyBorder="1"/>
    <xf numFmtId="0" fontId="12" fillId="0" borderId="14" xfId="0" applyFont="1" applyBorder="1"/>
    <xf numFmtId="165" fontId="12" fillId="9" borderId="14" xfId="1" applyNumberFormat="1" applyFont="1" applyFill="1" applyBorder="1"/>
    <xf numFmtId="165" fontId="12" fillId="0" borderId="8" xfId="1" applyNumberFormat="1" applyFont="1" applyBorder="1"/>
    <xf numFmtId="165" fontId="19" fillId="0" borderId="8" xfId="1" applyNumberFormat="1" applyFont="1" applyFill="1" applyBorder="1"/>
    <xf numFmtId="0" fontId="19" fillId="0" borderId="7" xfId="0" applyFont="1" applyBorder="1"/>
    <xf numFmtId="165" fontId="19" fillId="0" borderId="8" xfId="1" applyNumberFormat="1" applyFont="1" applyBorder="1"/>
    <xf numFmtId="165" fontId="8" fillId="0" borderId="9" xfId="1" applyNumberFormat="1" applyFont="1" applyBorder="1"/>
    <xf numFmtId="9" fontId="3" fillId="0" borderId="9" xfId="2" applyFont="1" applyBorder="1"/>
    <xf numFmtId="165" fontId="12" fillId="0" borderId="10" xfId="1" applyNumberFormat="1" applyFont="1" applyBorder="1"/>
    <xf numFmtId="0" fontId="3" fillId="0" borderId="15" xfId="0" applyFont="1" applyBorder="1"/>
    <xf numFmtId="0" fontId="18" fillId="0" borderId="15" xfId="0" applyFont="1" applyFill="1" applyBorder="1"/>
    <xf numFmtId="0" fontId="8" fillId="0" borderId="1" xfId="0" applyFont="1" applyBorder="1"/>
    <xf numFmtId="0" fontId="16" fillId="0" borderId="14" xfId="0" applyFont="1" applyBorder="1" applyAlignment="1">
      <alignment wrapText="1"/>
    </xf>
    <xf numFmtId="0" fontId="16" fillId="0" borderId="14" xfId="0" applyFont="1" applyBorder="1" applyAlignment="1">
      <alignment vertical="center" wrapText="1"/>
    </xf>
    <xf numFmtId="0" fontId="16" fillId="0" borderId="12" xfId="0" applyFont="1" applyBorder="1" applyAlignment="1">
      <alignment vertical="center" wrapText="1"/>
    </xf>
    <xf numFmtId="0" fontId="16" fillId="0" borderId="13" xfId="0" applyFont="1" applyBorder="1" applyAlignment="1">
      <alignment vertical="center" wrapText="1"/>
    </xf>
    <xf numFmtId="165" fontId="12" fillId="0" borderId="6" xfId="1" applyNumberFormat="1" applyFont="1" applyFill="1" applyBorder="1"/>
    <xf numFmtId="165" fontId="12" fillId="0" borderId="8" xfId="1" applyNumberFormat="1" applyFont="1" applyFill="1" applyBorder="1"/>
    <xf numFmtId="165" fontId="16" fillId="0" borderId="10" xfId="2" applyNumberFormat="1" applyFont="1" applyFill="1" applyBorder="1"/>
    <xf numFmtId="0" fontId="12" fillId="0" borderId="2" xfId="0" applyFont="1" applyFill="1" applyBorder="1"/>
    <xf numFmtId="0" fontId="12" fillId="0" borderId="15" xfId="0" applyFont="1" applyFill="1" applyBorder="1"/>
    <xf numFmtId="0" fontId="16" fillId="0" borderId="1" xfId="0" applyFont="1" applyFill="1" applyBorder="1"/>
    <xf numFmtId="9" fontId="16" fillId="0" borderId="13" xfId="2" applyFont="1" applyFill="1" applyBorder="1"/>
    <xf numFmtId="0" fontId="16" fillId="0" borderId="12" xfId="0" applyFont="1" applyFill="1" applyBorder="1"/>
    <xf numFmtId="165" fontId="16" fillId="0" borderId="9" xfId="1" applyNumberFormat="1" applyFont="1" applyFill="1" applyBorder="1"/>
    <xf numFmtId="0" fontId="16" fillId="0" borderId="4" xfId="0" applyFont="1" applyBorder="1"/>
    <xf numFmtId="0" fontId="12" fillId="0" borderId="5" xfId="0" applyFont="1" applyBorder="1" applyAlignment="1">
      <alignment horizontal="left" vertical="center" wrapText="1"/>
    </xf>
    <xf numFmtId="9" fontId="8" fillId="0" borderId="0" xfId="2" applyFont="1" applyBorder="1"/>
    <xf numFmtId="9" fontId="19" fillId="0" borderId="0" xfId="2" applyFont="1" applyBorder="1"/>
    <xf numFmtId="165" fontId="12" fillId="3" borderId="3" xfId="1" applyNumberFormat="1" applyFont="1" applyFill="1" applyBorder="1"/>
    <xf numFmtId="165" fontId="12" fillId="3" borderId="5" xfId="1" applyNumberFormat="1" applyFont="1" applyFill="1" applyBorder="1"/>
    <xf numFmtId="9" fontId="8" fillId="0" borderId="5" xfId="2" applyFont="1" applyBorder="1"/>
    <xf numFmtId="9" fontId="8" fillId="0" borderId="6" xfId="2" applyFont="1" applyBorder="1"/>
    <xf numFmtId="165" fontId="12" fillId="3" borderId="7" xfId="1" applyNumberFormat="1" applyFont="1" applyFill="1" applyBorder="1"/>
    <xf numFmtId="165" fontId="19" fillId="0" borderId="7" xfId="1" applyNumberFormat="1" applyFont="1" applyBorder="1"/>
    <xf numFmtId="165" fontId="16" fillId="0" borderId="4" xfId="1" applyNumberFormat="1" applyFont="1" applyBorder="1"/>
    <xf numFmtId="9" fontId="19" fillId="0" borderId="9" xfId="2" applyFont="1" applyBorder="1"/>
    <xf numFmtId="0" fontId="16" fillId="0" borderId="5" xfId="0" applyFont="1" applyBorder="1" applyAlignment="1">
      <alignment horizontal="left" vertical="center"/>
    </xf>
    <xf numFmtId="0" fontId="8" fillId="0" borderId="14" xfId="0" applyFont="1" applyBorder="1" applyAlignment="1">
      <alignment horizontal="right" vertical="center"/>
    </xf>
    <xf numFmtId="165" fontId="12" fillId="0" borderId="0" xfId="0" applyNumberFormat="1" applyFont="1" applyFill="1" applyBorder="1"/>
    <xf numFmtId="165" fontId="10" fillId="0" borderId="0" xfId="0" applyNumberFormat="1" applyFont="1" applyFill="1" applyBorder="1"/>
    <xf numFmtId="9" fontId="10" fillId="0" borderId="0" xfId="2" applyFont="1" applyFill="1" applyBorder="1"/>
    <xf numFmtId="165" fontId="16" fillId="0" borderId="0" xfId="0" applyNumberFormat="1" applyFont="1" applyFill="1" applyBorder="1"/>
    <xf numFmtId="165" fontId="12" fillId="0" borderId="8" xfId="0" applyNumberFormat="1" applyFont="1" applyFill="1" applyBorder="1"/>
    <xf numFmtId="9" fontId="10" fillId="0" borderId="8" xfId="2" applyFont="1" applyFill="1" applyBorder="1"/>
    <xf numFmtId="165" fontId="16" fillId="0" borderId="8" xfId="0" applyNumberFormat="1" applyFont="1" applyFill="1" applyBorder="1"/>
    <xf numFmtId="165" fontId="10" fillId="0" borderId="9" xfId="0" applyNumberFormat="1" applyFont="1" applyFill="1" applyBorder="1"/>
    <xf numFmtId="9" fontId="10" fillId="0" borderId="9" xfId="2" applyFont="1" applyFill="1" applyBorder="1"/>
    <xf numFmtId="9" fontId="10" fillId="0" borderId="10" xfId="2" applyFont="1" applyFill="1" applyBorder="1"/>
    <xf numFmtId="0" fontId="16" fillId="0" borderId="13" xfId="0" applyFont="1" applyFill="1" applyBorder="1"/>
    <xf numFmtId="0" fontId="16" fillId="0" borderId="15" xfId="0" applyFont="1" applyFill="1" applyBorder="1"/>
    <xf numFmtId="0" fontId="10" fillId="0" borderId="15" xfId="0" applyFont="1" applyFill="1" applyBorder="1"/>
    <xf numFmtId="0" fontId="10" fillId="0" borderId="1" xfId="0" applyFont="1" applyFill="1" applyBorder="1"/>
    <xf numFmtId="0" fontId="8" fillId="0" borderId="14" xfId="0" applyFont="1" applyFill="1" applyBorder="1" applyAlignment="1">
      <alignment horizontal="right" vertical="center"/>
    </xf>
    <xf numFmtId="0" fontId="16" fillId="0" borderId="15" xfId="0" applyFont="1" applyFill="1" applyBorder="1" applyAlignment="1">
      <alignment wrapText="1"/>
    </xf>
    <xf numFmtId="165" fontId="16" fillId="0" borderId="0" xfId="0" applyNumberFormat="1" applyFont="1"/>
    <xf numFmtId="9" fontId="16" fillId="0" borderId="0" xfId="2" applyFont="1"/>
    <xf numFmtId="0" fontId="3" fillId="0" borderId="0" xfId="0" applyFont="1" applyFill="1"/>
    <xf numFmtId="0" fontId="12" fillId="0" borderId="0" xfId="0" applyFont="1" applyAlignment="1">
      <alignment wrapText="1"/>
    </xf>
    <xf numFmtId="9" fontId="16" fillId="0" borderId="0" xfId="1" applyNumberFormat="1" applyFont="1"/>
    <xf numFmtId="166" fontId="12" fillId="0" borderId="0" xfId="0" applyNumberFormat="1" applyFont="1"/>
    <xf numFmtId="0" fontId="8" fillId="0" borderId="0" xfId="0" applyFont="1" applyBorder="1" applyAlignment="1">
      <alignment wrapText="1"/>
    </xf>
    <xf numFmtId="9" fontId="8" fillId="0" borderId="0" xfId="0" applyNumberFormat="1" applyFont="1" applyBorder="1"/>
    <xf numFmtId="0" fontId="12" fillId="0" borderId="5" xfId="0" applyFont="1" applyBorder="1"/>
    <xf numFmtId="165" fontId="12" fillId="0" borderId="8" xfId="0" applyNumberFormat="1" applyFont="1" applyBorder="1"/>
    <xf numFmtId="165" fontId="12" fillId="0" borderId="9" xfId="0" applyNumberFormat="1" applyFont="1" applyBorder="1"/>
    <xf numFmtId="165" fontId="12" fillId="0" borderId="10" xfId="0" applyNumberFormat="1" applyFont="1" applyBorder="1"/>
    <xf numFmtId="0" fontId="8" fillId="0" borderId="15" xfId="0" applyFont="1" applyBorder="1" applyAlignment="1">
      <alignment horizontal="left" indent="1"/>
    </xf>
    <xf numFmtId="0" fontId="8" fillId="0" borderId="1" xfId="0" applyFont="1" applyBorder="1" applyAlignment="1">
      <alignment horizontal="left" indent="1"/>
    </xf>
    <xf numFmtId="0" fontId="12" fillId="0" borderId="14" xfId="0" applyFont="1" applyBorder="1" applyAlignment="1">
      <alignment horizontal="right"/>
    </xf>
    <xf numFmtId="9" fontId="12" fillId="0" borderId="8" xfId="2" applyFont="1" applyBorder="1"/>
    <xf numFmtId="9" fontId="8" fillId="0" borderId="9" xfId="2" applyFont="1" applyBorder="1"/>
    <xf numFmtId="9" fontId="8" fillId="0" borderId="10" xfId="2" applyFont="1" applyBorder="1"/>
    <xf numFmtId="0" fontId="12" fillId="0" borderId="0" xfId="0" applyFont="1" applyBorder="1" applyAlignment="1">
      <alignment wrapText="1"/>
    </xf>
    <xf numFmtId="0" fontId="8" fillId="0" borderId="15" xfId="0" applyFont="1" applyBorder="1"/>
    <xf numFmtId="0" fontId="12" fillId="0" borderId="0" xfId="0" applyFont="1" applyFill="1" applyBorder="1"/>
    <xf numFmtId="0" fontId="12" fillId="0" borderId="0" xfId="0" applyFont="1" applyFill="1" applyBorder="1" applyAlignment="1">
      <alignment wrapText="1"/>
    </xf>
    <xf numFmtId="0" fontId="12" fillId="0" borderId="1" xfId="0" applyFont="1" applyBorder="1"/>
    <xf numFmtId="0" fontId="12" fillId="0" borderId="0" xfId="0" applyFont="1" applyFill="1" applyBorder="1" applyAlignment="1">
      <alignment vertical="center"/>
    </xf>
    <xf numFmtId="166" fontId="12" fillId="0" borderId="0" xfId="0" applyNumberFormat="1" applyFont="1" applyAlignment="1">
      <alignment wrapText="1"/>
    </xf>
    <xf numFmtId="166" fontId="12" fillId="0" borderId="0" xfId="0" applyNumberFormat="1" applyFont="1" applyFill="1" applyBorder="1" applyAlignment="1">
      <alignment wrapText="1"/>
    </xf>
    <xf numFmtId="0" fontId="16" fillId="0" borderId="11" xfId="0" applyFont="1" applyBorder="1" applyAlignment="1">
      <alignment vertical="center"/>
    </xf>
    <xf numFmtId="171" fontId="12" fillId="0" borderId="8" xfId="0" applyNumberFormat="1" applyFont="1" applyBorder="1"/>
    <xf numFmtId="171" fontId="12" fillId="0" borderId="10" xfId="0" applyNumberFormat="1" applyFont="1" applyBorder="1"/>
    <xf numFmtId="0" fontId="12" fillId="0" borderId="3" xfId="0" applyFont="1" applyBorder="1" applyAlignment="1">
      <alignment wrapText="1"/>
    </xf>
    <xf numFmtId="167" fontId="12" fillId="9" borderId="7" xfId="2" applyNumberFormat="1" applyFont="1" applyFill="1" applyBorder="1"/>
    <xf numFmtId="167" fontId="12" fillId="9" borderId="4" xfId="2" applyNumberFormat="1" applyFont="1" applyFill="1" applyBorder="1"/>
    <xf numFmtId="9" fontId="16" fillId="0" borderId="11" xfId="1" applyNumberFormat="1" applyFont="1" applyBorder="1" applyAlignment="1">
      <alignment vertical="center"/>
    </xf>
    <xf numFmtId="165" fontId="12" fillId="0" borderId="8" xfId="1" applyNumberFormat="1" applyFont="1" applyFill="1" applyBorder="1" applyAlignment="1">
      <alignment vertical="center"/>
    </xf>
    <xf numFmtId="165" fontId="16" fillId="0" borderId="10" xfId="1" applyNumberFormat="1" applyFont="1" applyFill="1" applyBorder="1" applyAlignment="1">
      <alignment vertical="center"/>
    </xf>
    <xf numFmtId="0" fontId="12" fillId="0" borderId="2" xfId="0" applyFont="1" applyFill="1" applyBorder="1" applyAlignment="1">
      <alignment vertical="center"/>
    </xf>
    <xf numFmtId="0" fontId="12" fillId="0" borderId="15" xfId="0" applyFont="1" applyFill="1" applyBorder="1" applyAlignment="1">
      <alignment vertical="center" wrapText="1"/>
    </xf>
    <xf numFmtId="0" fontId="16" fillId="0" borderId="1" xfId="0" applyFont="1" applyFill="1" applyBorder="1" applyAlignment="1">
      <alignment vertical="center" wrapText="1"/>
    </xf>
    <xf numFmtId="0" fontId="12" fillId="0" borderId="0" xfId="0" applyFont="1" applyBorder="1" applyAlignment="1">
      <alignment vertical="center"/>
    </xf>
    <xf numFmtId="9" fontId="12" fillId="0" borderId="8" xfId="0" applyNumberFormat="1" applyFont="1" applyBorder="1"/>
    <xf numFmtId="9" fontId="16" fillId="0" borderId="14" xfId="0" applyNumberFormat="1" applyFont="1" applyBorder="1"/>
    <xf numFmtId="0" fontId="16" fillId="0" borderId="14" xfId="0" applyFont="1" applyBorder="1" applyAlignment="1">
      <alignment horizontal="left" vertical="center"/>
    </xf>
    <xf numFmtId="9" fontId="12" fillId="9" borderId="8" xfId="0" applyNumberFormat="1" applyFont="1" applyFill="1" applyBorder="1"/>
    <xf numFmtId="9" fontId="12" fillId="9" borderId="10" xfId="0" applyNumberFormat="1" applyFont="1" applyFill="1" applyBorder="1"/>
    <xf numFmtId="9" fontId="12" fillId="9" borderId="8" xfId="2" applyNumberFormat="1" applyFont="1" applyFill="1" applyBorder="1"/>
    <xf numFmtId="9" fontId="8" fillId="9" borderId="8" xfId="2" applyNumberFormat="1" applyFont="1" applyFill="1" applyBorder="1"/>
    <xf numFmtId="9" fontId="8" fillId="9" borderId="10" xfId="2" applyNumberFormat="1" applyFont="1" applyFill="1" applyBorder="1"/>
    <xf numFmtId="0" fontId="12" fillId="0" borderId="2" xfId="0" applyFont="1" applyBorder="1"/>
    <xf numFmtId="9" fontId="8" fillId="0" borderId="0" xfId="2" applyNumberFormat="1" applyFont="1" applyFill="1" applyBorder="1"/>
    <xf numFmtId="165" fontId="8" fillId="0" borderId="0" xfId="0" applyNumberFormat="1" applyFont="1" applyFill="1" applyBorder="1"/>
    <xf numFmtId="165" fontId="12" fillId="0" borderId="15" xfId="0" applyNumberFormat="1" applyFont="1" applyFill="1" applyBorder="1"/>
    <xf numFmtId="165" fontId="8" fillId="0" borderId="15" xfId="0" applyNumberFormat="1" applyFont="1" applyFill="1" applyBorder="1"/>
    <xf numFmtId="165" fontId="8" fillId="0" borderId="15" xfId="1" applyNumberFormat="1" applyFont="1" applyFill="1" applyBorder="1"/>
    <xf numFmtId="165" fontId="16" fillId="0" borderId="1" xfId="1" applyNumberFormat="1" applyFont="1" applyFill="1" applyBorder="1"/>
    <xf numFmtId="0" fontId="8" fillId="0" borderId="15" xfId="0" applyFont="1" applyFill="1" applyBorder="1"/>
    <xf numFmtId="0" fontId="16" fillId="0" borderId="14" xfId="0" applyFont="1" applyFill="1" applyBorder="1" applyAlignment="1">
      <alignment wrapText="1"/>
    </xf>
    <xf numFmtId="0" fontId="16" fillId="0" borderId="14" xfId="0" applyFont="1" applyFill="1" applyBorder="1" applyAlignment="1">
      <alignment vertical="center" wrapText="1"/>
    </xf>
    <xf numFmtId="0" fontId="12" fillId="0" borderId="0" xfId="0" applyFont="1" applyFill="1"/>
    <xf numFmtId="0" fontId="16" fillId="0" borderId="11" xfId="0" applyFont="1" applyFill="1" applyBorder="1" applyAlignment="1">
      <alignment vertical="center" wrapText="1"/>
    </xf>
    <xf numFmtId="165" fontId="12" fillId="0" borderId="7" xfId="0" applyNumberFormat="1" applyFont="1" applyFill="1" applyBorder="1"/>
    <xf numFmtId="165" fontId="8" fillId="0" borderId="7" xfId="0" applyNumberFormat="1" applyFont="1" applyFill="1" applyBorder="1"/>
    <xf numFmtId="165" fontId="8" fillId="0" borderId="7" xfId="1" applyNumberFormat="1" applyFont="1" applyFill="1" applyBorder="1"/>
    <xf numFmtId="165" fontId="16" fillId="0" borderId="4" xfId="1" applyNumberFormat="1" applyFont="1" applyFill="1" applyBorder="1"/>
    <xf numFmtId="0" fontId="16" fillId="0" borderId="12" xfId="0" applyFont="1" applyFill="1" applyBorder="1" applyAlignment="1">
      <alignment vertical="center"/>
    </xf>
    <xf numFmtId="165" fontId="16" fillId="0" borderId="12" xfId="0" applyNumberFormat="1" applyFont="1" applyFill="1" applyBorder="1" applyAlignment="1">
      <alignment vertical="center"/>
    </xf>
    <xf numFmtId="165" fontId="12" fillId="0" borderId="3" xfId="0" applyNumberFormat="1" applyFont="1" applyFill="1" applyBorder="1"/>
    <xf numFmtId="165" fontId="12" fillId="0" borderId="5" xfId="0" applyNumberFormat="1" applyFont="1" applyFill="1" applyBorder="1"/>
    <xf numFmtId="0" fontId="11" fillId="2" borderId="0" xfId="0" applyFont="1" applyFill="1"/>
    <xf numFmtId="0" fontId="6" fillId="0" borderId="0" xfId="5" applyFont="1"/>
    <xf numFmtId="9" fontId="6" fillId="0" borderId="10" xfId="5" applyNumberFormat="1" applyFont="1" applyFill="1" applyBorder="1"/>
    <xf numFmtId="0" fontId="7" fillId="0" borderId="4" xfId="5" applyFont="1" applyFill="1" applyBorder="1"/>
    <xf numFmtId="0" fontId="6" fillId="0" borderId="9" xfId="5" applyFont="1" applyFill="1" applyBorder="1"/>
    <xf numFmtId="9" fontId="6" fillId="0" borderId="9" xfId="5" applyNumberFormat="1" applyFont="1" applyFill="1" applyBorder="1"/>
    <xf numFmtId="9" fontId="7" fillId="0" borderId="9" xfId="2" applyFont="1" applyFill="1" applyBorder="1"/>
    <xf numFmtId="168" fontId="7" fillId="0" borderId="10" xfId="5" applyNumberFormat="1" applyFont="1" applyFill="1" applyBorder="1"/>
    <xf numFmtId="0" fontId="6" fillId="0" borderId="10" xfId="5" applyFont="1" applyFill="1" applyBorder="1"/>
    <xf numFmtId="0" fontId="17" fillId="2" borderId="0" xfId="0" applyFont="1" applyFill="1" applyAlignment="1">
      <alignment vertical="center"/>
    </xf>
    <xf numFmtId="0" fontId="12" fillId="0" borderId="0" xfId="5" applyFont="1"/>
    <xf numFmtId="168" fontId="12" fillId="0" borderId="0" xfId="5" applyNumberFormat="1" applyFont="1"/>
    <xf numFmtId="0" fontId="16" fillId="0" borderId="0" xfId="5" applyFont="1" applyAlignment="1">
      <alignment vertical="center"/>
    </xf>
    <xf numFmtId="0" fontId="12" fillId="0" borderId="0" xfId="5" applyFont="1" applyAlignment="1">
      <alignment vertical="center"/>
    </xf>
    <xf numFmtId="0" fontId="16" fillId="0" borderId="2" xfId="5" applyFont="1" applyBorder="1" applyAlignment="1">
      <alignment vertical="center" wrapText="1"/>
    </xf>
    <xf numFmtId="0" fontId="12" fillId="0" borderId="5" xfId="5" applyFont="1" applyBorder="1" applyAlignment="1">
      <alignment vertical="center"/>
    </xf>
    <xf numFmtId="0" fontId="12" fillId="0" borderId="6" xfId="5" applyFont="1" applyBorder="1" applyAlignment="1">
      <alignment vertical="center"/>
    </xf>
    <xf numFmtId="0" fontId="16" fillId="0" borderId="1" xfId="5" applyFont="1" applyBorder="1" applyAlignment="1">
      <alignment vertical="center"/>
    </xf>
    <xf numFmtId="9" fontId="12" fillId="3" borderId="9" xfId="6" applyFont="1" applyFill="1" applyBorder="1" applyAlignment="1">
      <alignment vertical="center"/>
    </xf>
    <xf numFmtId="9" fontId="12" fillId="3" borderId="10" xfId="5" applyNumberFormat="1" applyFont="1" applyFill="1" applyBorder="1" applyAlignment="1">
      <alignment vertical="center"/>
    </xf>
    <xf numFmtId="9" fontId="12" fillId="3" borderId="6" xfId="6" applyFont="1" applyFill="1" applyBorder="1" applyAlignment="1">
      <alignment vertical="center"/>
    </xf>
    <xf numFmtId="0" fontId="16" fillId="0" borderId="1" xfId="5" applyFont="1" applyBorder="1" applyAlignment="1">
      <alignment vertical="center" wrapText="1"/>
    </xf>
    <xf numFmtId="9" fontId="12" fillId="3" borderId="10" xfId="6" applyFont="1" applyFill="1" applyBorder="1" applyAlignment="1">
      <alignment vertical="center"/>
    </xf>
    <xf numFmtId="0" fontId="16" fillId="0" borderId="14" xfId="5" applyFont="1" applyBorder="1" applyAlignment="1">
      <alignment vertical="center" wrapText="1"/>
    </xf>
    <xf numFmtId="9" fontId="12" fillId="11" borderId="14" xfId="6" applyFont="1" applyFill="1" applyBorder="1" applyAlignment="1">
      <alignment vertical="center"/>
    </xf>
    <xf numFmtId="9" fontId="12" fillId="0" borderId="0" xfId="6" applyFont="1" applyFill="1"/>
    <xf numFmtId="0" fontId="12" fillId="0" borderId="7" xfId="5" applyFont="1" applyBorder="1"/>
    <xf numFmtId="0" fontId="12" fillId="0" borderId="0" xfId="5" applyFont="1" applyBorder="1"/>
    <xf numFmtId="0" fontId="12" fillId="0" borderId="8" xfId="5" applyFont="1" applyBorder="1"/>
    <xf numFmtId="9" fontId="12" fillId="3" borderId="7" xfId="5" applyNumberFormat="1" applyFont="1" applyFill="1" applyBorder="1"/>
    <xf numFmtId="9" fontId="12" fillId="3" borderId="0" xfId="5" applyNumberFormat="1" applyFont="1" applyFill="1" applyBorder="1"/>
    <xf numFmtId="9" fontId="12" fillId="0" borderId="8" xfId="5" applyNumberFormat="1" applyFont="1" applyFill="1" applyBorder="1"/>
    <xf numFmtId="9" fontId="12" fillId="0" borderId="0" xfId="5" applyNumberFormat="1" applyFont="1" applyFill="1" applyBorder="1"/>
    <xf numFmtId="0" fontId="16" fillId="0" borderId="0" xfId="5" applyFont="1"/>
    <xf numFmtId="9" fontId="12" fillId="0" borderId="7" xfId="5" applyNumberFormat="1" applyFont="1" applyFill="1" applyBorder="1"/>
    <xf numFmtId="168" fontId="12" fillId="0" borderId="8" xfId="7" applyNumberFormat="1" applyFont="1" applyFill="1" applyBorder="1"/>
    <xf numFmtId="0" fontId="12" fillId="0" borderId="4" xfId="5" applyFont="1" applyBorder="1"/>
    <xf numFmtId="0" fontId="12" fillId="0" borderId="9" xfId="5" applyFont="1" applyBorder="1"/>
    <xf numFmtId="0" fontId="12" fillId="0" borderId="10" xfId="5" applyFont="1" applyBorder="1"/>
    <xf numFmtId="0" fontId="12" fillId="9" borderId="3" xfId="5" applyFont="1" applyFill="1" applyBorder="1"/>
    <xf numFmtId="9" fontId="12" fillId="3" borderId="5" xfId="5" applyNumberFormat="1" applyFont="1" applyFill="1" applyBorder="1"/>
    <xf numFmtId="9" fontId="12" fillId="0" borderId="6" xfId="5" applyNumberFormat="1" applyFont="1" applyFill="1" applyBorder="1"/>
    <xf numFmtId="0" fontId="12" fillId="9" borderId="7" xfId="5" applyFont="1" applyFill="1" applyBorder="1"/>
    <xf numFmtId="9" fontId="12" fillId="3" borderId="3" xfId="5" applyNumberFormat="1" applyFont="1" applyFill="1" applyBorder="1"/>
    <xf numFmtId="0" fontId="12" fillId="0" borderId="4" xfId="5" applyFont="1" applyFill="1" applyBorder="1" applyAlignment="1">
      <alignment vertical="center" wrapText="1"/>
    </xf>
    <xf numFmtId="0" fontId="12" fillId="0" borderId="10" xfId="5" applyFont="1" applyFill="1" applyBorder="1" applyAlignment="1">
      <alignment vertical="center" wrapText="1"/>
    </xf>
    <xf numFmtId="0" fontId="12" fillId="0" borderId="9" xfId="5" applyFont="1" applyBorder="1" applyAlignment="1">
      <alignment vertical="center" wrapText="1"/>
    </xf>
    <xf numFmtId="165" fontId="7" fillId="0" borderId="4" xfId="1" applyNumberFormat="1" applyFont="1" applyFill="1" applyBorder="1"/>
    <xf numFmtId="9" fontId="6" fillId="0" borderId="4" xfId="5" applyNumberFormat="1" applyFont="1" applyFill="1" applyBorder="1"/>
    <xf numFmtId="9" fontId="7" fillId="0" borderId="4" xfId="2" applyFont="1" applyFill="1" applyBorder="1"/>
    <xf numFmtId="0" fontId="6" fillId="0" borderId="4" xfId="5" applyFont="1" applyFill="1" applyBorder="1"/>
    <xf numFmtId="0" fontId="12" fillId="0" borderId="9" xfId="5" applyFont="1" applyFill="1" applyBorder="1" applyAlignment="1">
      <alignment vertical="center" wrapText="1"/>
    </xf>
    <xf numFmtId="0" fontId="16" fillId="0" borderId="6" xfId="5" applyFont="1" applyBorder="1" applyAlignment="1">
      <alignment horizontal="center" vertical="center" wrapText="1"/>
    </xf>
    <xf numFmtId="0" fontId="23" fillId="0" borderId="12" xfId="0" applyFont="1" applyFill="1" applyBorder="1" applyAlignment="1">
      <alignment vertical="center"/>
    </xf>
    <xf numFmtId="9" fontId="10" fillId="0" borderId="5" xfId="2" applyFont="1" applyFill="1" applyBorder="1"/>
    <xf numFmtId="9" fontId="10" fillId="0" borderId="0" xfId="0" applyNumberFormat="1" applyFont="1" applyFill="1" applyBorder="1"/>
    <xf numFmtId="9" fontId="23" fillId="0" borderId="9" xfId="2" applyFont="1" applyFill="1" applyBorder="1"/>
    <xf numFmtId="0" fontId="23" fillId="0" borderId="13" xfId="0" applyFont="1" applyFill="1" applyBorder="1" applyAlignment="1">
      <alignment vertical="center"/>
    </xf>
    <xf numFmtId="9" fontId="10" fillId="0" borderId="6" xfId="2" applyFont="1" applyFill="1" applyBorder="1"/>
    <xf numFmtId="9" fontId="10" fillId="0" borderId="8" xfId="0" applyNumberFormat="1" applyFont="1" applyFill="1" applyBorder="1"/>
    <xf numFmtId="9" fontId="23" fillId="0" borderId="10" xfId="2" applyFont="1" applyFill="1" applyBorder="1"/>
    <xf numFmtId="0" fontId="12" fillId="0" borderId="11" xfId="0" applyFont="1" applyBorder="1"/>
    <xf numFmtId="0" fontId="12" fillId="0" borderId="12" xfId="0" applyFont="1" applyBorder="1"/>
    <xf numFmtId="0" fontId="12" fillId="0" borderId="13" xfId="0" applyFont="1" applyBorder="1"/>
    <xf numFmtId="165" fontId="12" fillId="12" borderId="0" xfId="0" applyNumberFormat="1" applyFont="1" applyFill="1" applyBorder="1"/>
    <xf numFmtId="165" fontId="12" fillId="12" borderId="9" xfId="0" applyNumberFormat="1" applyFont="1" applyFill="1" applyBorder="1"/>
    <xf numFmtId="165" fontId="8" fillId="0" borderId="0" xfId="2" applyNumberFormat="1" applyFont="1"/>
    <xf numFmtId="165" fontId="10" fillId="0" borderId="0" xfId="0" applyNumberFormat="1" applyFont="1" applyBorder="1"/>
    <xf numFmtId="9" fontId="10" fillId="0" borderId="0" xfId="2" applyFont="1" applyBorder="1"/>
    <xf numFmtId="0" fontId="19" fillId="0" borderId="0" xfId="0" applyFont="1"/>
    <xf numFmtId="0" fontId="12" fillId="0" borderId="15" xfId="0" applyFont="1" applyBorder="1" applyAlignment="1">
      <alignment wrapText="1"/>
    </xf>
    <xf numFmtId="0" fontId="10" fillId="0" borderId="15" xfId="0" applyFont="1" applyBorder="1"/>
    <xf numFmtId="0" fontId="23" fillId="0" borderId="1" xfId="0" applyFont="1" applyFill="1" applyBorder="1"/>
    <xf numFmtId="0" fontId="16" fillId="0" borderId="14" xfId="0" applyFont="1" applyBorder="1" applyAlignment="1">
      <alignment horizontal="right"/>
    </xf>
    <xf numFmtId="9" fontId="10" fillId="0" borderId="8" xfId="2" applyFont="1" applyBorder="1"/>
    <xf numFmtId="165" fontId="23" fillId="0" borderId="9" xfId="0" applyNumberFormat="1" applyFont="1" applyFill="1" applyBorder="1"/>
    <xf numFmtId="0" fontId="20" fillId="0" borderId="3" xfId="0" applyNumberFormat="1" applyFont="1" applyFill="1" applyBorder="1" applyAlignment="1" applyProtection="1"/>
    <xf numFmtId="0" fontId="20" fillId="0" borderId="5" xfId="0" applyNumberFormat="1" applyFont="1" applyFill="1" applyBorder="1" applyAlignment="1" applyProtection="1"/>
    <xf numFmtId="0" fontId="20" fillId="0" borderId="6" xfId="0" applyNumberFormat="1" applyFont="1" applyFill="1" applyBorder="1" applyAlignment="1" applyProtection="1"/>
    <xf numFmtId="0" fontId="20" fillId="0" borderId="0" xfId="0" applyNumberFormat="1" applyFont="1" applyFill="1" applyBorder="1" applyAlignment="1" applyProtection="1"/>
    <xf numFmtId="14" fontId="12" fillId="0" borderId="7" xfId="0" applyNumberFormat="1" applyFont="1" applyFill="1" applyBorder="1" applyAlignment="1" applyProtection="1"/>
    <xf numFmtId="0" fontId="12" fillId="0" borderId="0" xfId="0" applyNumberFormat="1" applyFont="1" applyFill="1" applyBorder="1" applyAlignment="1" applyProtection="1"/>
    <xf numFmtId="0" fontId="12" fillId="0" borderId="8" xfId="0" applyNumberFormat="1" applyFont="1" applyFill="1" applyBorder="1" applyAlignment="1" applyProtection="1"/>
    <xf numFmtId="14" fontId="12" fillId="0" borderId="4" xfId="0" applyNumberFormat="1" applyFont="1" applyFill="1" applyBorder="1" applyAlignment="1" applyProtection="1"/>
    <xf numFmtId="0" fontId="12" fillId="0" borderId="9" xfId="0" applyNumberFormat="1" applyFont="1" applyFill="1" applyBorder="1" applyAlignment="1" applyProtection="1"/>
    <xf numFmtId="0" fontId="12" fillId="0" borderId="10" xfId="0" applyNumberFormat="1" applyFont="1" applyFill="1" applyBorder="1" applyAlignment="1" applyProtection="1"/>
    <xf numFmtId="14" fontId="16" fillId="0" borderId="0" xfId="0" applyNumberFormat="1" applyFont="1" applyFill="1" applyBorder="1" applyAlignment="1" applyProtection="1"/>
    <xf numFmtId="0" fontId="16" fillId="0" borderId="6" xfId="0" applyFont="1" applyBorder="1"/>
    <xf numFmtId="0" fontId="12" fillId="0" borderId="0" xfId="0" applyFont="1" applyAlignment="1">
      <alignment horizontal="left"/>
    </xf>
    <xf numFmtId="9" fontId="12" fillId="0" borderId="0" xfId="2" applyFont="1"/>
    <xf numFmtId="0" fontId="12" fillId="0" borderId="9" xfId="0" applyFont="1" applyBorder="1"/>
    <xf numFmtId="9" fontId="12" fillId="0" borderId="10" xfId="2" applyFont="1" applyBorder="1"/>
    <xf numFmtId="0" fontId="0" fillId="0" borderId="3" xfId="0" applyBorder="1"/>
    <xf numFmtId="0" fontId="2" fillId="0" borderId="7" xfId="0" applyFont="1" applyBorder="1"/>
    <xf numFmtId="165" fontId="0" fillId="0" borderId="0" xfId="1" applyNumberFormat="1" applyFont="1" applyBorder="1"/>
    <xf numFmtId="0" fontId="0" fillId="0" borderId="9" xfId="0" applyBorder="1"/>
    <xf numFmtId="0" fontId="0" fillId="0" borderId="7" xfId="0" applyBorder="1"/>
    <xf numFmtId="165" fontId="0" fillId="0" borderId="0" xfId="0" applyNumberFormat="1"/>
    <xf numFmtId="0" fontId="2" fillId="0" borderId="3" xfId="0" applyFont="1" applyBorder="1" applyAlignment="1">
      <alignment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165" fontId="2" fillId="0" borderId="0" xfId="1" applyNumberFormat="1" applyFont="1" applyFill="1" applyBorder="1"/>
    <xf numFmtId="165" fontId="2" fillId="0" borderId="8" xfId="1" applyNumberFormat="1" applyFont="1" applyFill="1" applyBorder="1"/>
    <xf numFmtId="0" fontId="25" fillId="0" borderId="7" xfId="0" applyFont="1" applyBorder="1"/>
    <xf numFmtId="9" fontId="25" fillId="0" borderId="0" xfId="2" applyFont="1" applyFill="1" applyBorder="1"/>
    <xf numFmtId="9" fontId="25" fillId="0" borderId="8" xfId="2" applyFont="1" applyFill="1" applyBorder="1"/>
    <xf numFmtId="164" fontId="0" fillId="0" borderId="0" xfId="1" applyFont="1" applyAlignment="1">
      <alignment horizontal="left"/>
    </xf>
    <xf numFmtId="173" fontId="0" fillId="0" borderId="0" xfId="0" applyNumberFormat="1"/>
    <xf numFmtId="174" fontId="0" fillId="0" borderId="0" xfId="0" applyNumberFormat="1"/>
    <xf numFmtId="0" fontId="26" fillId="0" borderId="7" xfId="0" applyFont="1" applyBorder="1"/>
    <xf numFmtId="165" fontId="26" fillId="0" borderId="0" xfId="1" applyNumberFormat="1" applyFont="1" applyFill="1" applyBorder="1"/>
    <xf numFmtId="165" fontId="26" fillId="0" borderId="8" xfId="1" applyNumberFormat="1" applyFont="1" applyFill="1" applyBorder="1"/>
    <xf numFmtId="0" fontId="24" fillId="0" borderId="4" xfId="0" applyFont="1" applyBorder="1"/>
    <xf numFmtId="9" fontId="24" fillId="0" borderId="9" xfId="2" applyFont="1" applyBorder="1"/>
    <xf numFmtId="9" fontId="24" fillId="0" borderId="10" xfId="2" applyFont="1" applyBorder="1"/>
    <xf numFmtId="165" fontId="0" fillId="0" borderId="9" xfId="0" applyNumberFormat="1" applyBorder="1"/>
    <xf numFmtId="172" fontId="0" fillId="0" borderId="0" xfId="0" applyNumberFormat="1"/>
    <xf numFmtId="172" fontId="0" fillId="0" borderId="8" xfId="0" applyNumberFormat="1" applyBorder="1"/>
    <xf numFmtId="172" fontId="0" fillId="0" borderId="9" xfId="0" applyNumberFormat="1" applyBorder="1"/>
    <xf numFmtId="172" fontId="0" fillId="0" borderId="10" xfId="0" applyNumberFormat="1" applyBorder="1"/>
    <xf numFmtId="165" fontId="27" fillId="0" borderId="8" xfId="0" applyNumberFormat="1" applyFont="1" applyBorder="1"/>
    <xf numFmtId="175" fontId="0" fillId="0" borderId="0" xfId="2" applyNumberFormat="1" applyFont="1"/>
    <xf numFmtId="0" fontId="2" fillId="0" borderId="7" xfId="0" applyFont="1" applyBorder="1" applyAlignment="1">
      <alignment vertical="center"/>
    </xf>
    <xf numFmtId="165" fontId="0" fillId="0" borderId="0" xfId="1" applyNumberFormat="1" applyFont="1" applyBorder="1" applyAlignment="1">
      <alignment vertical="center"/>
    </xf>
    <xf numFmtId="165" fontId="0" fillId="3" borderId="0" xfId="1" applyNumberFormat="1" applyFont="1" applyFill="1" applyBorder="1"/>
    <xf numFmtId="165" fontId="0" fillId="3" borderId="8" xfId="1" applyNumberFormat="1" applyFont="1" applyFill="1" applyBorder="1"/>
    <xf numFmtId="165" fontId="2" fillId="0" borderId="9" xfId="0" applyNumberFormat="1" applyFont="1" applyFill="1" applyBorder="1"/>
    <xf numFmtId="165" fontId="2" fillId="0" borderId="10" xfId="0" applyNumberFormat="1" applyFont="1" applyFill="1" applyBorder="1"/>
    <xf numFmtId="0" fontId="0" fillId="0" borderId="13" xfId="0" applyBorder="1" applyAlignment="1">
      <alignment vertical="center"/>
    </xf>
    <xf numFmtId="0" fontId="0" fillId="0" borderId="14" xfId="0" applyBorder="1" applyAlignment="1">
      <alignment wrapText="1"/>
    </xf>
    <xf numFmtId="0" fontId="0" fillId="11" borderId="13" xfId="0" applyFill="1" applyBorder="1" applyAlignment="1">
      <alignment vertical="center"/>
    </xf>
    <xf numFmtId="0" fontId="0" fillId="0" borderId="15" xfId="0" applyBorder="1"/>
    <xf numFmtId="0" fontId="0" fillId="0" borderId="1" xfId="0" applyBorder="1"/>
    <xf numFmtId="0" fontId="27" fillId="0" borderId="15" xfId="0" applyFont="1" applyBorder="1"/>
    <xf numFmtId="0" fontId="2" fillId="0" borderId="1" xfId="0" applyFont="1" applyFill="1" applyBorder="1"/>
    <xf numFmtId="0" fontId="0" fillId="0" borderId="12" xfId="0" applyBorder="1"/>
    <xf numFmtId="0" fontId="0" fillId="0" borderId="13" xfId="0" applyBorder="1"/>
    <xf numFmtId="0" fontId="2" fillId="0" borderId="14" xfId="0" applyFont="1" applyBorder="1" applyAlignment="1">
      <alignment wrapText="1"/>
    </xf>
    <xf numFmtId="0" fontId="2" fillId="0" borderId="14" xfId="0" applyFont="1" applyBorder="1"/>
    <xf numFmtId="165" fontId="0" fillId="0" borderId="0" xfId="0" applyNumberFormat="1" applyFill="1"/>
    <xf numFmtId="0" fontId="0" fillId="0" borderId="12" xfId="0" applyBorder="1" applyAlignment="1">
      <alignment vertical="center"/>
    </xf>
    <xf numFmtId="0" fontId="2" fillId="0" borderId="15" xfId="0" applyFont="1" applyFill="1" applyBorder="1" applyAlignment="1">
      <alignment vertical="center" wrapText="1"/>
    </xf>
    <xf numFmtId="0" fontId="27" fillId="0" borderId="1" xfId="0" applyFont="1" applyBorder="1" applyAlignment="1">
      <alignment vertical="center"/>
    </xf>
    <xf numFmtId="0" fontId="0" fillId="0" borderId="14" xfId="0" applyBorder="1" applyAlignment="1">
      <alignment vertical="center"/>
    </xf>
    <xf numFmtId="0" fontId="0" fillId="0" borderId="0" xfId="0" applyAlignment="1">
      <alignment horizontal="left" vertical="center" wrapText="1"/>
    </xf>
    <xf numFmtId="9" fontId="27" fillId="0" borderId="9" xfId="2" applyFont="1" applyBorder="1" applyAlignment="1">
      <alignment vertical="center"/>
    </xf>
    <xf numFmtId="9" fontId="27" fillId="0" borderId="10" xfId="2" applyFont="1" applyBorder="1" applyAlignment="1">
      <alignment vertical="center"/>
    </xf>
    <xf numFmtId="0" fontId="3" fillId="0" borderId="0" xfId="0" applyFont="1"/>
    <xf numFmtId="165" fontId="8" fillId="3" borderId="0" xfId="1" applyNumberFormat="1" applyFont="1" applyFill="1" applyBorder="1"/>
    <xf numFmtId="165" fontId="8" fillId="3" borderId="9" xfId="1" applyNumberFormat="1" applyFont="1" applyFill="1" applyBorder="1"/>
    <xf numFmtId="0" fontId="2" fillId="0" borderId="11" xfId="0" applyFont="1" applyBorder="1"/>
    <xf numFmtId="165" fontId="2" fillId="0" borderId="0" xfId="0" applyNumberFormat="1" applyFont="1" applyFill="1"/>
    <xf numFmtId="165" fontId="2" fillId="0" borderId="9" xfId="0" applyNumberFormat="1" applyFont="1" applyBorder="1"/>
    <xf numFmtId="0" fontId="2" fillId="0" borderId="12" xfId="0" applyFont="1" applyBorder="1"/>
    <xf numFmtId="0" fontId="2" fillId="0" borderId="13" xfId="0" applyFont="1" applyBorder="1"/>
    <xf numFmtId="165" fontId="2" fillId="0" borderId="10" xfId="0" applyNumberFormat="1" applyFont="1" applyBorder="1"/>
    <xf numFmtId="165" fontId="2" fillId="0" borderId="8" xfId="0" applyNumberFormat="1" applyFont="1" applyFill="1" applyBorder="1"/>
    <xf numFmtId="0" fontId="0" fillId="0" borderId="4" xfId="0" applyBorder="1"/>
    <xf numFmtId="0" fontId="2" fillId="0" borderId="0" xfId="0" applyFont="1" applyBorder="1" applyAlignment="1">
      <alignment vertical="center"/>
    </xf>
    <xf numFmtId="0" fontId="0" fillId="0" borderId="0" xfId="0" applyBorder="1" applyAlignment="1">
      <alignment vertical="center"/>
    </xf>
    <xf numFmtId="0" fontId="24" fillId="0" borderId="0" xfId="0" applyFont="1" applyBorder="1" applyAlignment="1">
      <alignment vertical="center"/>
    </xf>
    <xf numFmtId="0" fontId="0" fillId="0" borderId="11" xfId="1" applyNumberFormat="1" applyFont="1" applyBorder="1" applyAlignment="1">
      <alignment vertical="center"/>
    </xf>
    <xf numFmtId="165" fontId="0" fillId="11" borderId="2" xfId="1" applyNumberFormat="1" applyFont="1" applyFill="1" applyBorder="1"/>
    <xf numFmtId="165" fontId="0" fillId="11" borderId="1" xfId="1" applyNumberFormat="1" applyFont="1" applyFill="1" applyBorder="1"/>
    <xf numFmtId="0" fontId="0" fillId="0" borderId="0" xfId="0" applyBorder="1"/>
    <xf numFmtId="165" fontId="0" fillId="0" borderId="8" xfId="1" applyNumberFormat="1" applyFont="1" applyBorder="1"/>
    <xf numFmtId="165" fontId="27" fillId="0" borderId="7" xfId="0" applyNumberFormat="1" applyFont="1" applyBorder="1"/>
    <xf numFmtId="165" fontId="27" fillId="0" borderId="0" xfId="0" applyNumberFormat="1" applyFont="1" applyBorder="1"/>
    <xf numFmtId="165" fontId="2" fillId="0" borderId="4" xfId="0" applyNumberFormat="1" applyFont="1" applyFill="1" applyBorder="1"/>
    <xf numFmtId="165" fontId="0" fillId="9" borderId="14" xfId="1" applyNumberFormat="1" applyFont="1" applyFill="1" applyBorder="1" applyAlignment="1">
      <alignment vertical="center"/>
    </xf>
    <xf numFmtId="165" fontId="0" fillId="0" borderId="3" xfId="1" applyNumberFormat="1" applyFont="1" applyFill="1" applyBorder="1"/>
    <xf numFmtId="165" fontId="0" fillId="0" borderId="5" xfId="1" applyNumberFormat="1" applyFont="1" applyFill="1" applyBorder="1"/>
    <xf numFmtId="165" fontId="0" fillId="0" borderId="6" xfId="1" applyNumberFormat="1" applyFont="1" applyFill="1" applyBorder="1"/>
    <xf numFmtId="0" fontId="0" fillId="0" borderId="0" xfId="0" applyFill="1" applyBorder="1"/>
    <xf numFmtId="0" fontId="2" fillId="0" borderId="0" xfId="0" applyFont="1" applyFill="1" applyBorder="1"/>
    <xf numFmtId="0" fontId="24" fillId="0" borderId="0" xfId="0" applyFont="1" applyFill="1" applyBorder="1" applyAlignment="1">
      <alignment horizontal="left" indent="1"/>
    </xf>
    <xf numFmtId="165" fontId="2" fillId="0" borderId="3" xfId="0" applyNumberFormat="1" applyFont="1" applyFill="1" applyBorder="1" applyAlignment="1">
      <alignment vertical="center"/>
    </xf>
    <xf numFmtId="165" fontId="2" fillId="0" borderId="5" xfId="0" applyNumberFormat="1" applyFont="1" applyFill="1" applyBorder="1" applyAlignment="1">
      <alignment vertical="center"/>
    </xf>
    <xf numFmtId="165" fontId="2" fillId="0" borderId="6" xfId="0" applyNumberFormat="1" applyFont="1" applyFill="1" applyBorder="1" applyAlignment="1">
      <alignment vertical="center"/>
    </xf>
    <xf numFmtId="0" fontId="27" fillId="0" borderId="4" xfId="0" applyFont="1" applyBorder="1" applyAlignment="1">
      <alignment vertical="center"/>
    </xf>
    <xf numFmtId="165" fontId="12" fillId="0" borderId="0" xfId="1" applyNumberFormat="1" applyFont="1" applyFill="1" applyBorder="1"/>
    <xf numFmtId="165" fontId="8" fillId="0" borderId="0" xfId="1" applyNumberFormat="1" applyFont="1" applyFill="1" applyBorder="1"/>
    <xf numFmtId="165" fontId="8" fillId="0" borderId="0" xfId="1" applyNumberFormat="1" applyFont="1" applyFill="1" applyBorder="1" applyAlignment="1">
      <alignment horizontal="right" vertical="center"/>
    </xf>
    <xf numFmtId="165" fontId="16" fillId="0" borderId="0" xfId="1" applyNumberFormat="1" applyFont="1" applyFill="1" applyBorder="1" applyAlignment="1">
      <alignment horizontal="left" vertical="center"/>
    </xf>
    <xf numFmtId="165" fontId="12" fillId="0" borderId="0" xfId="1" applyNumberFormat="1" applyFont="1" applyFill="1" applyBorder="1" applyAlignment="1">
      <alignment horizontal="left" vertical="center" wrapText="1"/>
    </xf>
    <xf numFmtId="165" fontId="16" fillId="0" borderId="0" xfId="1" applyNumberFormat="1" applyFont="1" applyFill="1" applyBorder="1"/>
    <xf numFmtId="0" fontId="12" fillId="0" borderId="5" xfId="5" applyFont="1" applyFill="1" applyBorder="1" applyAlignment="1">
      <alignment vertical="center"/>
    </xf>
    <xf numFmtId="0" fontId="12" fillId="0" borderId="9" xfId="5" applyFont="1" applyFill="1" applyBorder="1"/>
    <xf numFmtId="9" fontId="12" fillId="3" borderId="14" xfId="5" applyNumberFormat="1" applyFont="1" applyFill="1" applyBorder="1"/>
    <xf numFmtId="0" fontId="16" fillId="0" borderId="14" xfId="5" applyFont="1" applyBorder="1" applyAlignment="1">
      <alignment wrapText="1"/>
    </xf>
    <xf numFmtId="0" fontId="16" fillId="0" borderId="14" xfId="0" applyFont="1" applyBorder="1" applyAlignment="1">
      <alignment horizontal="right" wrapText="1"/>
    </xf>
    <xf numFmtId="165" fontId="12" fillId="0" borderId="3" xfId="0" applyNumberFormat="1" applyFont="1" applyBorder="1"/>
    <xf numFmtId="165" fontId="12" fillId="0" borderId="5" xfId="0" applyNumberFormat="1" applyFont="1" applyBorder="1"/>
    <xf numFmtId="165" fontId="12" fillId="0" borderId="6" xfId="0" applyNumberFormat="1" applyFont="1" applyBorder="1"/>
    <xf numFmtId="165" fontId="10" fillId="0" borderId="7" xfId="0" applyNumberFormat="1" applyFont="1" applyBorder="1"/>
    <xf numFmtId="165" fontId="12" fillId="0" borderId="7" xfId="0" applyNumberFormat="1" applyFont="1" applyBorder="1"/>
    <xf numFmtId="165" fontId="16" fillId="0" borderId="7" xfId="0" applyNumberFormat="1" applyFont="1" applyBorder="1"/>
    <xf numFmtId="165" fontId="23" fillId="0" borderId="4" xfId="0" applyNumberFormat="1" applyFont="1" applyFill="1" applyBorder="1"/>
    <xf numFmtId="0" fontId="12" fillId="0" borderId="0" xfId="0" applyFont="1" applyAlignment="1">
      <alignment horizontal="left" vertical="center" wrapText="1"/>
    </xf>
    <xf numFmtId="0" fontId="16" fillId="0" borderId="0" xfId="0" applyFont="1" applyBorder="1" applyAlignment="1">
      <alignment horizontal="left" vertical="center" wrapText="1"/>
    </xf>
    <xf numFmtId="0" fontId="16" fillId="0" borderId="0" xfId="0" applyFont="1" applyBorder="1" applyAlignment="1">
      <alignment horizontal="left" vertical="center"/>
    </xf>
    <xf numFmtId="0" fontId="16" fillId="0" borderId="0" xfId="0" applyFont="1" applyAlignment="1">
      <alignment horizontal="left" vertical="center" wrapText="1"/>
    </xf>
    <xf numFmtId="0" fontId="12" fillId="0" borderId="0" xfId="0" applyFont="1" applyAlignment="1">
      <alignment horizontal="left" vertical="center"/>
    </xf>
    <xf numFmtId="0" fontId="16" fillId="0" borderId="3" xfId="7" applyNumberFormat="1" applyFont="1" applyFill="1" applyBorder="1" applyAlignment="1">
      <alignment horizontal="center" vertical="center"/>
    </xf>
    <xf numFmtId="0" fontId="16" fillId="0" borderId="6" xfId="7" applyNumberFormat="1" applyFont="1" applyFill="1" applyBorder="1" applyAlignment="1">
      <alignment horizontal="center" vertical="center"/>
    </xf>
    <xf numFmtId="0" fontId="16" fillId="0" borderId="3" xfId="5" applyFont="1" applyBorder="1" applyAlignment="1">
      <alignment horizontal="center" vertical="center"/>
    </xf>
    <xf numFmtId="0" fontId="16" fillId="0" borderId="5" xfId="5" applyFont="1" applyBorder="1" applyAlignment="1">
      <alignment horizontal="center" vertical="center"/>
    </xf>
    <xf numFmtId="0" fontId="16" fillId="0" borderId="6" xfId="5" applyFont="1" applyBorder="1" applyAlignment="1">
      <alignment horizontal="center" vertical="center"/>
    </xf>
    <xf numFmtId="0" fontId="12" fillId="0" borderId="0" xfId="5" applyFont="1" applyAlignment="1">
      <alignment horizontal="left" vertical="center" wrapText="1"/>
    </xf>
    <xf numFmtId="0" fontId="0" fillId="0" borderId="0" xfId="0" applyAlignment="1">
      <alignment horizontal="left" vertical="center" wrapText="1"/>
    </xf>
  </cellXfs>
  <cellStyles count="8">
    <cellStyle name="Euro" xfId="4" xr:uid="{00000000-0005-0000-0000-000000000000}"/>
    <cellStyle name="Milliers" xfId="1" builtinId="3"/>
    <cellStyle name="Milliers 2" xfId="7" xr:uid="{00000000-0005-0000-0000-000003000000}"/>
    <cellStyle name="Normal" xfId="0" builtinId="0"/>
    <cellStyle name="Normal 2" xfId="3" xr:uid="{00000000-0005-0000-0000-000005000000}"/>
    <cellStyle name="Normal 3" xfId="5" xr:uid="{00000000-0005-0000-0000-000006000000}"/>
    <cellStyle name="Pourcentage" xfId="2" builtinId="5"/>
    <cellStyle name="Pourcentage 2" xfId="6" xr:uid="{00000000-0005-0000-0000-000008000000}"/>
  </cellStyles>
  <dxfs count="39">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165" formatCode="_-* #,##0\ _€_-;\-* #,##0\ _€_-;_-* &quot;-&quot;??\ _€_-;_-@_-"/>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165" formatCode="_-* #,##0\ _€_-;\-* #,##0\ _€_-;_-* &quot;-&quot;??\ _€_-;_-@_-"/>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165" formatCode="_-* #,##0\ _€_-;\-* #,##0\ _€_-;_-* &quot;-&quot;??\ _€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FR" sz="1100"/>
              <a:t>Évolution du besoin en emploi dans la mobilité longue distance (en nombre</a:t>
            </a:r>
            <a:r>
              <a:rPr lang="fr-FR" sz="1100" baseline="0"/>
              <a:t> de personnes)</a:t>
            </a:r>
            <a:endParaRPr lang="fr-FR" sz="1100"/>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barChart>
        <c:barDir val="col"/>
        <c:grouping val="stacked"/>
        <c:varyColors val="0"/>
        <c:ser>
          <c:idx val="0"/>
          <c:order val="0"/>
          <c:tx>
            <c:strRef>
              <c:f>'Synthèse - Visualisation'!$B$4</c:f>
              <c:strCache>
                <c:ptCount val="1"/>
                <c:pt idx="0">
                  <c:v>Transport ferroviaire
(longue distance uniquement)</c:v>
                </c:pt>
              </c:strCache>
            </c:strRef>
          </c:tx>
          <c:spPr>
            <a:solidFill>
              <a:schemeClr val="accent1"/>
            </a:solidFill>
            <a:ln>
              <a:noFill/>
            </a:ln>
            <a:effectLst/>
          </c:spPr>
          <c:invertIfNegative val="0"/>
          <c:cat>
            <c:numRef>
              <c:f>'Synthèse - Visualisation'!$C$3:$E$3</c:f>
              <c:numCache>
                <c:formatCode>General</c:formatCode>
                <c:ptCount val="3"/>
                <c:pt idx="0">
                  <c:v>2022</c:v>
                </c:pt>
                <c:pt idx="1">
                  <c:v>2027</c:v>
                </c:pt>
                <c:pt idx="2">
                  <c:v>2050</c:v>
                </c:pt>
              </c:numCache>
            </c:numRef>
          </c:cat>
          <c:val>
            <c:numRef>
              <c:f>'Synthèse - Visualisation'!$C$4:$E$4</c:f>
              <c:numCache>
                <c:formatCode>_-* #\ ##0\ _€_-;\-* #\ ##0\ _€_-;_-* "-"??\ _€_-;_-@_-</c:formatCode>
                <c:ptCount val="3"/>
                <c:pt idx="0">
                  <c:v>35135.5</c:v>
                </c:pt>
                <c:pt idx="1">
                  <c:v>45294.925565887897</c:v>
                </c:pt>
                <c:pt idx="2">
                  <c:v>80611.837094153234</c:v>
                </c:pt>
              </c:numCache>
            </c:numRef>
          </c:val>
          <c:extLst>
            <c:ext xmlns:c16="http://schemas.microsoft.com/office/drawing/2014/chart" uri="{C3380CC4-5D6E-409C-BE32-E72D297353CC}">
              <c16:uniqueId val="{00000000-9CE9-6D47-B654-D646E5BFA70C}"/>
            </c:ext>
          </c:extLst>
        </c:ser>
        <c:ser>
          <c:idx val="1"/>
          <c:order val="1"/>
          <c:tx>
            <c:strRef>
              <c:f>'Synthèse - Visualisation'!$B$6</c:f>
              <c:strCache>
                <c:ptCount val="1"/>
                <c:pt idx="0">
                  <c:v>Transport aérien</c:v>
                </c:pt>
              </c:strCache>
            </c:strRef>
          </c:tx>
          <c:spPr>
            <a:solidFill>
              <a:schemeClr val="accent2"/>
            </a:solidFill>
            <a:ln>
              <a:noFill/>
            </a:ln>
            <a:effectLst/>
          </c:spPr>
          <c:invertIfNegative val="0"/>
          <c:cat>
            <c:numRef>
              <c:f>'Synthèse - Visualisation'!$C$3:$E$3</c:f>
              <c:numCache>
                <c:formatCode>General</c:formatCode>
                <c:ptCount val="3"/>
                <c:pt idx="0">
                  <c:v>2022</c:v>
                </c:pt>
                <c:pt idx="1">
                  <c:v>2027</c:v>
                </c:pt>
                <c:pt idx="2">
                  <c:v>2050</c:v>
                </c:pt>
              </c:numCache>
            </c:numRef>
          </c:cat>
          <c:val>
            <c:numRef>
              <c:f>'Synthèse - Visualisation'!$C$6:$E$6</c:f>
              <c:numCache>
                <c:formatCode>_-* #\ ##0\ _€_-;\-* #\ ##0\ _€_-;_-* "-"??\ _€_-;_-@_-</c:formatCode>
                <c:ptCount val="3"/>
                <c:pt idx="0">
                  <c:v>68664.518879415351</c:v>
                </c:pt>
                <c:pt idx="1">
                  <c:v>56459.249595980706</c:v>
                </c:pt>
                <c:pt idx="2">
                  <c:v>29307.350984907669</c:v>
                </c:pt>
              </c:numCache>
            </c:numRef>
          </c:val>
          <c:extLst>
            <c:ext xmlns:c16="http://schemas.microsoft.com/office/drawing/2014/chart" uri="{C3380CC4-5D6E-409C-BE32-E72D297353CC}">
              <c16:uniqueId val="{00000001-9CE9-6D47-B654-D646E5BFA70C}"/>
            </c:ext>
          </c:extLst>
        </c:ser>
        <c:dLbls>
          <c:showLegendKey val="0"/>
          <c:showVal val="0"/>
          <c:showCatName val="0"/>
          <c:showSerName val="0"/>
          <c:showPercent val="0"/>
          <c:showBubbleSize val="0"/>
        </c:dLbls>
        <c:gapWidth val="150"/>
        <c:overlap val="100"/>
        <c:axId val="1663831088"/>
        <c:axId val="1663832176"/>
      </c:barChart>
      <c:catAx>
        <c:axId val="1663831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1663832176"/>
        <c:crosses val="autoZero"/>
        <c:auto val="1"/>
        <c:lblAlgn val="ctr"/>
        <c:lblOffset val="100"/>
        <c:noMultiLvlLbl val="0"/>
      </c:catAx>
      <c:valAx>
        <c:axId val="1663832176"/>
        <c:scaling>
          <c:orientation val="minMax"/>
        </c:scaling>
        <c:delete val="0"/>
        <c:axPos val="l"/>
        <c:majorGridlines>
          <c:spPr>
            <a:ln w="9525" cap="flat" cmpd="sng" algn="ctr">
              <a:solidFill>
                <a:schemeClr val="tx1">
                  <a:lumMod val="15000"/>
                  <a:lumOff val="85000"/>
                </a:schemeClr>
              </a:solidFill>
              <a:round/>
            </a:ln>
            <a:effectLst/>
          </c:spPr>
        </c:majorGridlines>
        <c:numFmt formatCode="_-* #\ ##0\ _€_-;\-* #\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1663831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cked"/>
        <c:varyColors val="0"/>
        <c:ser>
          <c:idx val="0"/>
          <c:order val="0"/>
          <c:tx>
            <c:strRef>
              <c:f>'Industrie ferroviaire'!$B$55</c:f>
              <c:strCache>
                <c:ptCount val="1"/>
                <c:pt idx="0">
                  <c:v>Emploi total de l'industrie ferroviaire</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'Industrie ferroviaire'!$C$54:$H$54</c:f>
              <c:numCache>
                <c:formatCode>General</c:formatCode>
                <c:ptCount val="6"/>
                <c:pt idx="0">
                  <c:v>2022</c:v>
                </c:pt>
                <c:pt idx="1">
                  <c:v>2027</c:v>
                </c:pt>
                <c:pt idx="2">
                  <c:v>2032</c:v>
                </c:pt>
                <c:pt idx="3">
                  <c:v>2037</c:v>
                </c:pt>
                <c:pt idx="4">
                  <c:v>2042</c:v>
                </c:pt>
                <c:pt idx="5">
                  <c:v>2050</c:v>
                </c:pt>
              </c:numCache>
            </c:numRef>
          </c:cat>
          <c:val>
            <c:numRef>
              <c:f>'Industrie ferroviaire'!$C$55:$H$55</c:f>
              <c:numCache>
                <c:formatCode>_-* #\ ##0\ _€_-;\-* #\ ##0\ _€_-;_-* "-"??\ _€_-;_-@_-</c:formatCode>
                <c:ptCount val="6"/>
                <c:pt idx="0">
                  <c:v>21000</c:v>
                </c:pt>
                <c:pt idx="1">
                  <c:v>29778</c:v>
                </c:pt>
                <c:pt idx="2">
                  <c:v>28457.166666666664</c:v>
                </c:pt>
                <c:pt idx="3">
                  <c:v>29343.333333333358</c:v>
                </c:pt>
                <c:pt idx="4">
                  <c:v>27432.999999999993</c:v>
                </c:pt>
                <c:pt idx="5">
                  <c:v>28211.666666666708</c:v>
                </c:pt>
              </c:numCache>
            </c:numRef>
          </c:val>
          <c:smooth val="0"/>
          <c:extLst>
            <c:ext xmlns:c16="http://schemas.microsoft.com/office/drawing/2014/chart" uri="{C3380CC4-5D6E-409C-BE32-E72D297353CC}">
              <c16:uniqueId val="{00000000-EEE4-4E76-91DD-FF53EDA03F9C}"/>
            </c:ext>
          </c:extLst>
        </c:ser>
        <c:dLbls>
          <c:showLegendKey val="0"/>
          <c:showVal val="0"/>
          <c:showCatName val="0"/>
          <c:showSerName val="0"/>
          <c:showPercent val="0"/>
          <c:showBubbleSize val="0"/>
        </c:dLbls>
        <c:marker val="1"/>
        <c:smooth val="0"/>
        <c:axId val="1863043104"/>
        <c:axId val="1907057424"/>
      </c:lineChart>
      <c:catAx>
        <c:axId val="1863043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907057424"/>
        <c:crosses val="autoZero"/>
        <c:auto val="1"/>
        <c:lblAlgn val="ctr"/>
        <c:lblOffset val="100"/>
        <c:noMultiLvlLbl val="0"/>
      </c:catAx>
      <c:valAx>
        <c:axId val="1907057424"/>
        <c:scaling>
          <c:orientation val="minMax"/>
          <c:min val="20000"/>
        </c:scaling>
        <c:delete val="0"/>
        <c:axPos val="l"/>
        <c:majorGridlines>
          <c:spPr>
            <a:ln w="9525" cap="flat" cmpd="sng" algn="ctr">
              <a:solidFill>
                <a:schemeClr val="tx1">
                  <a:lumMod val="15000"/>
                  <a:lumOff val="85000"/>
                </a:schemeClr>
              </a:solidFill>
              <a:round/>
            </a:ln>
            <a:effectLst/>
          </c:spPr>
        </c:majorGridlines>
        <c:numFmt formatCode="_-* #\ ##0\ _€_-;\-* #\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863043104"/>
        <c:crosses val="autoZero"/>
        <c:crossBetween val="midCat"/>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FR"/>
              <a:t>Besoin en emploi dans le transport ferroviaire de longue distance </a:t>
            </a:r>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'Modèle Emploi Ferroviaire'!$C$77:$F$77</c:f>
              <c:numCache>
                <c:formatCode>General</c:formatCode>
                <c:ptCount val="4"/>
                <c:pt idx="0">
                  <c:v>2022</c:v>
                </c:pt>
                <c:pt idx="1">
                  <c:v>2027</c:v>
                </c:pt>
                <c:pt idx="2">
                  <c:v>2037</c:v>
                </c:pt>
                <c:pt idx="3">
                  <c:v>2050</c:v>
                </c:pt>
              </c:numCache>
            </c:numRef>
          </c:cat>
          <c:val>
            <c:numRef>
              <c:f>'Modèle Emploi Ferroviaire'!$C$82:$F$82</c:f>
              <c:numCache>
                <c:formatCode>_-* #\ ##0\ _€_-;\-* #\ ##0\ _€_-;_-* "-"??\ _€_-;_-@_-</c:formatCode>
                <c:ptCount val="4"/>
                <c:pt idx="0">
                  <c:v>35135.5</c:v>
                </c:pt>
                <c:pt idx="1">
                  <c:v>45294.925565887897</c:v>
                </c:pt>
                <c:pt idx="2">
                  <c:v>63495.460308327441</c:v>
                </c:pt>
                <c:pt idx="3">
                  <c:v>80611.837094153234</c:v>
                </c:pt>
              </c:numCache>
            </c:numRef>
          </c:val>
          <c:smooth val="0"/>
          <c:extLst>
            <c:ext xmlns:c16="http://schemas.microsoft.com/office/drawing/2014/chart" uri="{C3380CC4-5D6E-409C-BE32-E72D297353CC}">
              <c16:uniqueId val="{00000000-451B-4344-84F5-31BFF0B73B39}"/>
            </c:ext>
          </c:extLst>
        </c:ser>
        <c:dLbls>
          <c:showLegendKey val="0"/>
          <c:showVal val="0"/>
          <c:showCatName val="0"/>
          <c:showSerName val="0"/>
          <c:showPercent val="0"/>
          <c:showBubbleSize val="0"/>
        </c:dLbls>
        <c:marker val="1"/>
        <c:smooth val="0"/>
        <c:axId val="1663834352"/>
        <c:axId val="1663835984"/>
      </c:lineChart>
      <c:dateAx>
        <c:axId val="1663834352"/>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1663835984"/>
        <c:crosses val="autoZero"/>
        <c:auto val="1"/>
        <c:lblOffset val="100"/>
        <c:baseTimeUnit val="days"/>
        <c:majorUnit val="1"/>
        <c:majorTimeUnit val="days"/>
        <c:minorUnit val="1"/>
        <c:minorTimeUnit val="days"/>
      </c:dateAx>
      <c:valAx>
        <c:axId val="1663835984"/>
        <c:scaling>
          <c:orientation val="minMax"/>
        </c:scaling>
        <c:delete val="0"/>
        <c:axPos val="l"/>
        <c:majorGridlines>
          <c:spPr>
            <a:ln w="9525" cap="flat" cmpd="sng" algn="ctr">
              <a:solidFill>
                <a:schemeClr val="tx1">
                  <a:lumMod val="15000"/>
                  <a:lumOff val="85000"/>
                </a:schemeClr>
              </a:solidFill>
              <a:round/>
            </a:ln>
            <a:effectLst/>
          </c:spPr>
        </c:majorGridlines>
        <c:numFmt formatCode="_-* #\ ##0\ _€_-;\-* #\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166383435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900">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FR"/>
              <a:t>Evolution de l'emploi total du transport ferroviaire de voyageurs</a:t>
            </a:r>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'Modèle Emploi Ferroviaire'!$C$114:$F$114</c:f>
              <c:numCache>
                <c:formatCode>General</c:formatCode>
                <c:ptCount val="4"/>
                <c:pt idx="0">
                  <c:v>2022</c:v>
                </c:pt>
                <c:pt idx="1">
                  <c:v>2027</c:v>
                </c:pt>
                <c:pt idx="2">
                  <c:v>2037</c:v>
                </c:pt>
                <c:pt idx="3">
                  <c:v>2050</c:v>
                </c:pt>
              </c:numCache>
            </c:numRef>
          </c:cat>
          <c:val>
            <c:numRef>
              <c:f>'Modèle Emploi Ferroviaire'!$C$119:$F$119</c:f>
              <c:numCache>
                <c:formatCode>_-* #\ ##0\ _€_-;\-* #\ ##0\ _€_-;_-* "-"??\ _€_-;_-@_-</c:formatCode>
                <c:ptCount val="4"/>
                <c:pt idx="0">
                  <c:v>140321</c:v>
                </c:pt>
                <c:pt idx="1">
                  <c:v>150480.42556588788</c:v>
                </c:pt>
                <c:pt idx="2">
                  <c:v>168680.96030832746</c:v>
                </c:pt>
                <c:pt idx="3">
                  <c:v>185797.33709415322</c:v>
                </c:pt>
              </c:numCache>
            </c:numRef>
          </c:val>
          <c:smooth val="0"/>
          <c:extLst>
            <c:ext xmlns:c16="http://schemas.microsoft.com/office/drawing/2014/chart" uri="{C3380CC4-5D6E-409C-BE32-E72D297353CC}">
              <c16:uniqueId val="{00000000-6E9A-2640-99D0-329D47375378}"/>
            </c:ext>
          </c:extLst>
        </c:ser>
        <c:dLbls>
          <c:showLegendKey val="0"/>
          <c:showVal val="0"/>
          <c:showCatName val="0"/>
          <c:showSerName val="0"/>
          <c:showPercent val="0"/>
          <c:showBubbleSize val="0"/>
        </c:dLbls>
        <c:marker val="1"/>
        <c:smooth val="0"/>
        <c:axId val="1663836528"/>
        <c:axId val="1244344656"/>
      </c:lineChart>
      <c:dateAx>
        <c:axId val="1663836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1244344656"/>
        <c:crosses val="autoZero"/>
        <c:auto val="0"/>
        <c:lblOffset val="100"/>
        <c:baseTimeUnit val="days"/>
        <c:majorUnit val="1"/>
        <c:majorTimeUnit val="days"/>
        <c:minorUnit val="1"/>
        <c:minorTimeUnit val="days"/>
      </c:dateAx>
      <c:valAx>
        <c:axId val="1244344656"/>
        <c:scaling>
          <c:orientation val="minMax"/>
          <c:max val="190000"/>
          <c:min val="120000"/>
        </c:scaling>
        <c:delete val="0"/>
        <c:axPos val="l"/>
        <c:majorGridlines>
          <c:spPr>
            <a:ln w="9525" cap="flat" cmpd="sng" algn="ctr">
              <a:solidFill>
                <a:schemeClr val="tx1">
                  <a:lumMod val="15000"/>
                  <a:lumOff val="85000"/>
                </a:schemeClr>
              </a:solidFill>
              <a:round/>
            </a:ln>
            <a:effectLst/>
          </c:spPr>
        </c:majorGridlines>
        <c:numFmt formatCode="_-* #\ ##0\ _€_-;\-* #\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16638365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900">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 par métier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770-154B-88B9-8453BB1FE3F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770-154B-88B9-8453BB1FE3F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770-154B-88B9-8453BB1FE3F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770-154B-88B9-8453BB1FE3F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770-154B-88B9-8453BB1FE3F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'Métiers SNCF'!$F$28:$F$32</c:f>
              <c:strCache>
                <c:ptCount val="5"/>
                <c:pt idx="0">
                  <c:v>Agent commercial à bord des trains</c:v>
                </c:pt>
                <c:pt idx="1">
                  <c:v>Conducteurs</c:v>
                </c:pt>
                <c:pt idx="2">
                  <c:v>Ingénieurs et cadres</c:v>
                </c:pt>
                <c:pt idx="3">
                  <c:v>Mainteneur, Aiguilleur, Agent commercial, gestionnaire</c:v>
                </c:pt>
                <c:pt idx="4">
                  <c:v>Manager de proximité, maitrise</c:v>
                </c:pt>
              </c:strCache>
            </c:strRef>
          </c:cat>
          <c:val>
            <c:numRef>
              <c:f>'Métiers SNCF'!$H$28:$H$32</c:f>
              <c:numCache>
                <c:formatCode>0%</c:formatCode>
                <c:ptCount val="5"/>
                <c:pt idx="0">
                  <c:v>4.8273568697001605E-2</c:v>
                </c:pt>
                <c:pt idx="1">
                  <c:v>0.1025120545363853</c:v>
                </c:pt>
                <c:pt idx="2">
                  <c:v>0.21728648229230171</c:v>
                </c:pt>
                <c:pt idx="3">
                  <c:v>0.31574571856121486</c:v>
                </c:pt>
                <c:pt idx="4">
                  <c:v>0.3161821759130965</c:v>
                </c:pt>
              </c:numCache>
            </c:numRef>
          </c:val>
          <c:extLst>
            <c:ext xmlns:c16="http://schemas.microsoft.com/office/drawing/2014/chart" uri="{C3380CC4-5D6E-409C-BE32-E72D297353CC}">
              <c16:uniqueId val="{0000000A-C770-154B-88B9-8453BB1FE3F0}"/>
            </c:ext>
          </c:extLst>
        </c:ser>
        <c:dLbls>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FR" sz="1050"/>
              <a:t>Répartition des effectifs du transport aérien par type d'employeur</a:t>
            </a:r>
          </a:p>
        </c:rich>
      </c:tx>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65E-0C45-B10C-9130041A626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65E-0C45-B10C-9130041A6260}"/>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D65E-0C45-B10C-9130041A6260}"/>
              </c:ext>
            </c:extLst>
          </c:dPt>
          <c:dLbls>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showLegendKey val="0"/>
              <c:showVal val="0"/>
              <c:showCatName val="0"/>
              <c:showSerName val="0"/>
              <c:showPercent val="1"/>
              <c:showBubbleSize val="0"/>
              <c:extLst>
                <c:ext xmlns:c16="http://schemas.microsoft.com/office/drawing/2014/chart" uri="{C3380CC4-5D6E-409C-BE32-E72D297353CC}">
                  <c16:uniqueId val="{00000001-D65E-0C45-B10C-9130041A6260}"/>
                </c:ext>
              </c:extLst>
            </c:dLbl>
            <c:dLbl>
              <c:idx val="1"/>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Arial" panose="020B0604020202020204" pitchFamily="34" charset="0"/>
                      <a:ea typeface="+mn-ea"/>
                      <a:cs typeface="Arial" panose="020B0604020202020204" pitchFamily="34" charset="0"/>
                    </a:defRPr>
                  </a:pPr>
                  <a:endParaRPr lang="fr-FR"/>
                </a:p>
              </c:txPr>
              <c:showLegendKey val="0"/>
              <c:showVal val="0"/>
              <c:showCatName val="0"/>
              <c:showSerName val="0"/>
              <c:showPercent val="1"/>
              <c:showBubbleSize val="0"/>
              <c:extLst>
                <c:ext xmlns:c16="http://schemas.microsoft.com/office/drawing/2014/chart" uri="{C3380CC4-5D6E-409C-BE32-E72D297353CC}">
                  <c16:uniqueId val="{00000003-D65E-0C45-B10C-9130041A6260}"/>
                </c:ext>
              </c:extLst>
            </c:dLbl>
            <c:dLbl>
              <c:idx val="2"/>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Arial" panose="020B0604020202020204" pitchFamily="34" charset="0"/>
                      <a:ea typeface="+mn-ea"/>
                      <a:cs typeface="Arial" panose="020B0604020202020204" pitchFamily="34" charset="0"/>
                    </a:defRPr>
                  </a:pPr>
                  <a:endParaRPr lang="fr-FR"/>
                </a:p>
              </c:txPr>
              <c:showLegendKey val="0"/>
              <c:showVal val="0"/>
              <c:showCatName val="0"/>
              <c:showSerName val="0"/>
              <c:showPercent val="1"/>
              <c:showBubbleSize val="0"/>
              <c:extLst>
                <c:ext xmlns:c16="http://schemas.microsoft.com/office/drawing/2014/chart" uri="{C3380CC4-5D6E-409C-BE32-E72D297353CC}">
                  <c16:uniqueId val="{00000005-D65E-0C45-B10C-9130041A6260}"/>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'Modèle Emploi Aérien'!$B$34:$B$36</c:f>
              <c:strCache>
                <c:ptCount val="3"/>
                <c:pt idx="0">
                  <c:v>Compagnies aériennes</c:v>
                </c:pt>
                <c:pt idx="1">
                  <c:v>Aéroports</c:v>
                </c:pt>
                <c:pt idx="2">
                  <c:v>Assistance en escale</c:v>
                </c:pt>
              </c:strCache>
            </c:strRef>
          </c:cat>
          <c:val>
            <c:numRef>
              <c:f>'Modèle Emploi Aérien'!$C$34:$C$36</c:f>
              <c:numCache>
                <c:formatCode>0%</c:formatCode>
                <c:ptCount val="3"/>
                <c:pt idx="0">
                  <c:v>0.77</c:v>
                </c:pt>
                <c:pt idx="1">
                  <c:v>0.14000000000000001</c:v>
                </c:pt>
                <c:pt idx="2">
                  <c:v>0.08</c:v>
                </c:pt>
              </c:numCache>
            </c:numRef>
          </c:val>
          <c:extLst>
            <c:ext xmlns:c16="http://schemas.microsoft.com/office/drawing/2014/chart" uri="{C3380CC4-5D6E-409C-BE32-E72D297353CC}">
              <c16:uniqueId val="{00000006-D65E-0C45-B10C-9130041A6260}"/>
            </c:ext>
          </c:extLst>
        </c:ser>
        <c:dLbls>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FR" sz="1050"/>
              <a:t>Répartition des effectifs par famille d'activité</a:t>
            </a:r>
          </a:p>
        </c:rich>
      </c:tx>
      <c:layout>
        <c:manualLayout>
          <c:xMode val="edge"/>
          <c:yMode val="edge"/>
          <c:x val="0.1569958817909268"/>
          <c:y val="5.3404539385847796E-3"/>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5.8805993000874877E-2"/>
          <c:y val="0.18560185185185185"/>
          <c:w val="0.46294378827646543"/>
          <c:h val="0.7715729804607757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D48-9240-AF68-6C064F2E5C1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D48-9240-AF68-6C064F2E5C19}"/>
              </c:ext>
            </c:extLst>
          </c:dPt>
          <c:dLbls>
            <c:dLbl>
              <c:idx val="0"/>
              <c:spPr>
                <a:noFill/>
                <a:ln>
                  <a:noFill/>
                </a:ln>
                <a:effectLst/>
              </c:spPr>
              <c:txPr>
                <a:bodyPr rot="0" spcFirstLastPara="1" vertOverflow="ellipsis" vert="horz" wrap="square" anchor="ctr" anchorCtr="1"/>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extLst>
                <c:ext xmlns:c16="http://schemas.microsoft.com/office/drawing/2014/chart" uri="{C3380CC4-5D6E-409C-BE32-E72D297353CC}">
                  <c16:uniqueId val="{00000001-2D48-9240-AF68-6C064F2E5C19}"/>
                </c:ext>
              </c:extLst>
            </c:dLbl>
            <c:dLbl>
              <c:idx val="1"/>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extLst>
                <c:ext xmlns:c16="http://schemas.microsoft.com/office/drawing/2014/chart" uri="{C3380CC4-5D6E-409C-BE32-E72D297353CC}">
                  <c16:uniqueId val="{00000003-2D48-9240-AF68-6C064F2E5C19}"/>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'Modèle Emploi Aérien'!$B$39:$B$46</c15:sqref>
                  </c15:fullRef>
                </c:ext>
              </c:extLst>
              <c:f>'Modèle Emploi Aérien'!$B$39:$B$40</c:f>
              <c:strCache>
                <c:ptCount val="2"/>
                <c:pt idx="0">
                  <c:v>Personnel navigant</c:v>
                </c:pt>
                <c:pt idx="1">
                  <c:v>Personnel au sol</c:v>
                </c:pt>
              </c:strCache>
            </c:strRef>
          </c:cat>
          <c:val>
            <c:numRef>
              <c:extLst>
                <c:ext xmlns:c15="http://schemas.microsoft.com/office/drawing/2012/chart" uri="{02D57815-91ED-43cb-92C2-25804820EDAC}">
                  <c15:fullRef>
                    <c15:sqref>'Modèle Emploi Aérien'!$C$39:$C$46</c15:sqref>
                  </c15:fullRef>
                </c:ext>
              </c:extLst>
              <c:f>'Modèle Emploi Aérien'!$C$39:$C$40</c:f>
              <c:numCache>
                <c:formatCode>0%</c:formatCode>
                <c:ptCount val="2"/>
                <c:pt idx="0">
                  <c:v>0.28999999999999998</c:v>
                </c:pt>
                <c:pt idx="1">
                  <c:v>0.71</c:v>
                </c:pt>
              </c:numCache>
            </c:numRef>
          </c:val>
          <c:extLst>
            <c:ext xmlns:c15="http://schemas.microsoft.com/office/drawing/2012/chart" uri="{02D57815-91ED-43cb-92C2-25804820EDAC}">
              <c15:categoryFilterExceptions>
                <c15:categoryFilterException>
                  <c15:sqref>'Modèle Emploi Aérien'!$C$41</c15:sqref>
                  <c15:spPr xmlns:c15="http://schemas.microsoft.com/office/drawing/2012/chart">
                    <a:solidFill>
                      <a:schemeClr val="accent2">
                        <a:lumMod val="50000"/>
                      </a:schemeClr>
                    </a:solidFill>
                    <a:ln w="19050">
                      <a:solidFill>
                        <a:schemeClr val="lt1"/>
                      </a:solidFill>
                    </a:ln>
                    <a:effectLst/>
                  </c15:spPr>
                  <c15:bubble3D val="0"/>
                </c15:categoryFilterException>
                <c15:categoryFilterException>
                  <c15:sqref>'Modèle Emploi Aérien'!$C$42</c15:sqref>
                  <c15:spPr xmlns:c15="http://schemas.microsoft.com/office/drawing/2012/chart">
                    <a:solidFill>
                      <a:schemeClr val="accent2">
                        <a:lumMod val="75000"/>
                      </a:schemeClr>
                    </a:solidFill>
                    <a:ln w="19050">
                      <a:solidFill>
                        <a:schemeClr val="lt1"/>
                      </a:solidFill>
                    </a:ln>
                    <a:effectLst/>
                  </c15:spPr>
                  <c15:bubble3D val="0"/>
                </c15:categoryFilterException>
                <c15:categoryFilterException>
                  <c15:sqref>'Modèle Emploi Aérien'!$C$43</c15:sqref>
                  <c15:spPr xmlns:c15="http://schemas.microsoft.com/office/drawing/2012/chart">
                    <a:solidFill>
                      <a:schemeClr val="accent2"/>
                    </a:solidFill>
                    <a:ln w="19050">
                      <a:solidFill>
                        <a:schemeClr val="lt1"/>
                      </a:solidFill>
                    </a:ln>
                    <a:effectLst/>
                  </c15:spPr>
                  <c15:bubble3D val="0"/>
                </c15:categoryFilterException>
                <c15:categoryFilterException>
                  <c15:sqref>'Modèle Emploi Aérien'!$C$44</c15:sqref>
                  <c15:spPr xmlns:c15="http://schemas.microsoft.com/office/drawing/2012/chart">
                    <a:solidFill>
                      <a:schemeClr val="accent2">
                        <a:lumMod val="60000"/>
                        <a:lumOff val="40000"/>
                      </a:schemeClr>
                    </a:solidFill>
                    <a:ln w="19050">
                      <a:solidFill>
                        <a:schemeClr val="lt1"/>
                      </a:solidFill>
                    </a:ln>
                    <a:effectLst/>
                  </c15:spPr>
                  <c15:bubble3D val="0"/>
                </c15:categoryFilterException>
                <c15:categoryFilterException>
                  <c15:sqref>'Modèle Emploi Aérien'!$C$45</c15:sqref>
                  <c15:spPr xmlns:c15="http://schemas.microsoft.com/office/drawing/2012/chart">
                    <a:solidFill>
                      <a:schemeClr val="accent2">
                        <a:lumMod val="40000"/>
                        <a:lumOff val="60000"/>
                      </a:schemeClr>
                    </a:solidFill>
                    <a:ln w="19050">
                      <a:solidFill>
                        <a:schemeClr val="lt1"/>
                      </a:solidFill>
                    </a:ln>
                    <a:effectLst/>
                  </c15:spPr>
                  <c15:bubble3D val="0"/>
                </c15:categoryFilterException>
                <c15:categoryFilterException>
                  <c15:sqref>'Modèle Emploi Aérien'!$C$46</c15:sqref>
                  <c15:spPr xmlns:c15="http://schemas.microsoft.com/office/drawing/2012/chart">
                    <a:solidFill>
                      <a:schemeClr val="accent2">
                        <a:lumMod val="20000"/>
                        <a:lumOff val="80000"/>
                      </a:scheme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E-2D48-9240-AF68-6C064F2E5C19}"/>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0.54210104986876639"/>
          <c:y val="0.29513779527559053"/>
          <c:w val="0.4074645669291338"/>
          <c:h val="0.4195980750207496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FR" sz="1200">
                <a:latin typeface="Arial" panose="020B0604020202020204" pitchFamily="34" charset="0"/>
                <a:cs typeface="Arial" panose="020B0604020202020204" pitchFamily="34" charset="0"/>
              </a:rPr>
              <a:t>Evolution de l'emploi du transport aérien</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manualLayout>
          <c:layoutTarget val="inner"/>
          <c:xMode val="edge"/>
          <c:yMode val="edge"/>
          <c:x val="0.13284536307961506"/>
          <c:y val="0.1150077519379845"/>
          <c:w val="0.80048797025371832"/>
          <c:h val="0.60713909626670948"/>
        </c:manualLayout>
      </c:layout>
      <c:barChart>
        <c:barDir val="col"/>
        <c:grouping val="stacked"/>
        <c:varyColors val="0"/>
        <c:ser>
          <c:idx val="0"/>
          <c:order val="0"/>
          <c:tx>
            <c:strRef>
              <c:f>'Modèle Emploi Aérien'!$B$60</c:f>
              <c:strCache>
                <c:ptCount val="1"/>
                <c:pt idx="0">
                  <c:v>Aéroports et assistance en escale</c:v>
                </c:pt>
              </c:strCache>
            </c:strRef>
          </c:tx>
          <c:spPr>
            <a:solidFill>
              <a:schemeClr val="accent1"/>
            </a:solidFill>
            <a:ln>
              <a:noFill/>
            </a:ln>
            <a:effectLst/>
          </c:spPr>
          <c:invertIfNegative val="0"/>
          <c:cat>
            <c:strRef>
              <c:f>('Modèle Emploi Aérien'!$C$59,'Modèle Emploi Aérien'!$F$59)</c:f>
              <c:strCache>
                <c:ptCount val="2"/>
                <c:pt idx="0">
                  <c:v>Emploi actuel (ETP)</c:v>
                </c:pt>
                <c:pt idx="1">
                  <c:v> Emploi 2050 </c:v>
                </c:pt>
              </c:strCache>
            </c:strRef>
          </c:cat>
          <c:val>
            <c:numRef>
              <c:f>('Modèle Emploi Aérien'!$C$60,'Modèle Emploi Aérien'!$F$60)</c:f>
              <c:numCache>
                <c:formatCode>_-* #\ ##0\ _€_-;\-* #\ ##0\ _€_-;_-* "-"??\ _€_-;_-@_-</c:formatCode>
                <c:ptCount val="2"/>
                <c:pt idx="0">
                  <c:v>15258.781973203411</c:v>
                </c:pt>
                <c:pt idx="1">
                  <c:v>5552.6530121642609</c:v>
                </c:pt>
              </c:numCache>
            </c:numRef>
          </c:val>
          <c:extLst>
            <c:ext xmlns:c16="http://schemas.microsoft.com/office/drawing/2014/chart" uri="{C3380CC4-5D6E-409C-BE32-E72D297353CC}">
              <c16:uniqueId val="{00000000-81DC-5940-8C0D-A227F69C6108}"/>
            </c:ext>
          </c:extLst>
        </c:ser>
        <c:ser>
          <c:idx val="1"/>
          <c:order val="1"/>
          <c:tx>
            <c:strRef>
              <c:f>'Modèle Emploi Aérien'!$B$62</c:f>
              <c:strCache>
                <c:ptCount val="1"/>
                <c:pt idx="0">
                  <c:v>Compagnies aériennes - Personnel au sol</c:v>
                </c:pt>
              </c:strCache>
            </c:strRef>
          </c:tx>
          <c:spPr>
            <a:solidFill>
              <a:schemeClr val="accent2"/>
            </a:solidFill>
            <a:ln>
              <a:noFill/>
            </a:ln>
            <a:effectLst/>
          </c:spPr>
          <c:invertIfNegative val="0"/>
          <c:cat>
            <c:strRef>
              <c:f>('Modèle Emploi Aérien'!$C$59,'Modèle Emploi Aérien'!$F$59)</c:f>
              <c:strCache>
                <c:ptCount val="2"/>
                <c:pt idx="0">
                  <c:v>Emploi actuel (ETP)</c:v>
                </c:pt>
                <c:pt idx="1">
                  <c:v> Emploi 2050 </c:v>
                </c:pt>
              </c:strCache>
            </c:strRef>
          </c:cat>
          <c:val>
            <c:numRef>
              <c:f>('Modèle Emploi Aérien'!$C$62,'Modèle Emploi Aérien'!$F$62)</c:f>
              <c:numCache>
                <c:formatCode>_-* #\ ##0\ _€_-;\-* #\ ##0\ _€_-;_-* "-"??\ _€_-;_-@_-</c:formatCode>
                <c:ptCount val="2"/>
                <c:pt idx="0">
                  <c:v>37918.073203410473</c:v>
                </c:pt>
                <c:pt idx="1">
                  <c:v>13798.342735228187</c:v>
                </c:pt>
              </c:numCache>
            </c:numRef>
          </c:val>
          <c:extLst>
            <c:ext xmlns:c16="http://schemas.microsoft.com/office/drawing/2014/chart" uri="{C3380CC4-5D6E-409C-BE32-E72D297353CC}">
              <c16:uniqueId val="{00000001-81DC-5940-8C0D-A227F69C6108}"/>
            </c:ext>
          </c:extLst>
        </c:ser>
        <c:ser>
          <c:idx val="2"/>
          <c:order val="2"/>
          <c:tx>
            <c:strRef>
              <c:f>'Modèle Emploi Aérien'!$B$63</c:f>
              <c:strCache>
                <c:ptCount val="1"/>
                <c:pt idx="0">
                  <c:v>Compagnies aériennes - Personnel navigant</c:v>
                </c:pt>
              </c:strCache>
            </c:strRef>
          </c:tx>
          <c:spPr>
            <a:solidFill>
              <a:schemeClr val="accent3"/>
            </a:solidFill>
            <a:ln>
              <a:noFill/>
            </a:ln>
            <a:effectLst/>
          </c:spPr>
          <c:invertIfNegative val="0"/>
          <c:cat>
            <c:strRef>
              <c:f>('Modèle Emploi Aérien'!$C$59,'Modèle Emploi Aérien'!$F$59)</c:f>
              <c:strCache>
                <c:ptCount val="2"/>
                <c:pt idx="0">
                  <c:v>Emploi actuel (ETP)</c:v>
                </c:pt>
                <c:pt idx="1">
                  <c:v> Emploi 2050 </c:v>
                </c:pt>
              </c:strCache>
            </c:strRef>
          </c:cat>
          <c:val>
            <c:numRef>
              <c:f>('Modèle Emploi Aérien'!$C$63,'Modèle Emploi Aérien'!$F$63)</c:f>
              <c:numCache>
                <c:formatCode>_-* #\ ##0\ _€_-;\-* #\ ##0\ _€_-;_-* "-"??\ _€_-;_-@_-</c:formatCode>
                <c:ptCount val="2"/>
                <c:pt idx="0">
                  <c:v>15487.663702801459</c:v>
                </c:pt>
                <c:pt idx="1">
                  <c:v>9956.3552375152231</c:v>
                </c:pt>
              </c:numCache>
            </c:numRef>
          </c:val>
          <c:extLst>
            <c:ext xmlns:c16="http://schemas.microsoft.com/office/drawing/2014/chart" uri="{C3380CC4-5D6E-409C-BE32-E72D297353CC}">
              <c16:uniqueId val="{00000002-81DC-5940-8C0D-A227F69C6108}"/>
            </c:ext>
          </c:extLst>
        </c:ser>
        <c:dLbls>
          <c:showLegendKey val="0"/>
          <c:showVal val="0"/>
          <c:showCatName val="0"/>
          <c:showSerName val="0"/>
          <c:showPercent val="0"/>
          <c:showBubbleSize val="0"/>
        </c:dLbls>
        <c:gapWidth val="150"/>
        <c:overlap val="100"/>
        <c:axId val="1244345200"/>
        <c:axId val="1491384112"/>
      </c:barChart>
      <c:catAx>
        <c:axId val="1244345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1491384112"/>
        <c:crosses val="autoZero"/>
        <c:auto val="1"/>
        <c:lblAlgn val="ctr"/>
        <c:lblOffset val="100"/>
        <c:noMultiLvlLbl val="0"/>
      </c:catAx>
      <c:valAx>
        <c:axId val="1491384112"/>
        <c:scaling>
          <c:orientation val="minMax"/>
        </c:scaling>
        <c:delete val="0"/>
        <c:axPos val="l"/>
        <c:majorGridlines>
          <c:spPr>
            <a:ln w="9525" cap="flat" cmpd="sng" algn="ctr">
              <a:solidFill>
                <a:schemeClr val="tx1">
                  <a:lumMod val="15000"/>
                  <a:lumOff val="85000"/>
                </a:schemeClr>
              </a:solidFill>
              <a:round/>
            </a:ln>
            <a:effectLst/>
          </c:spPr>
        </c:majorGridlines>
        <c:numFmt formatCode="_-* #\ ##0\ _€_-;\-* #\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1244345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fr-FR" sz="1200"/>
              <a:t>Trajectoire d'emploi</a:t>
            </a:r>
            <a:r>
              <a:rPr lang="fr-FR" sz="1200" baseline="0"/>
              <a:t> </a:t>
            </a:r>
            <a:r>
              <a:rPr lang="fr-FR" sz="1200"/>
              <a:t>du</a:t>
            </a:r>
            <a:r>
              <a:rPr lang="fr-FR" sz="1200" baseline="0"/>
              <a:t> transport aérien</a:t>
            </a:r>
            <a:endParaRPr lang="fr-FR"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title>
    <c:autoTitleDeleted val="0"/>
    <c:plotArea>
      <c:layout/>
      <c:lineChart>
        <c:grouping val="standard"/>
        <c:varyColors val="0"/>
        <c:ser>
          <c:idx val="0"/>
          <c:order val="0"/>
          <c:tx>
            <c:strRef>
              <c:f>'Modèle Emploi Aérien'!$B$92</c:f>
              <c:strCache>
                <c:ptCount val="1"/>
                <c:pt idx="0">
                  <c:v>Aéroports et assistance en escale</c:v>
                </c:pt>
              </c:strCache>
            </c:strRef>
          </c:tx>
          <c:spPr>
            <a:ln w="28575" cap="rnd">
              <a:solidFill>
                <a:schemeClr val="accent1"/>
              </a:solidFill>
              <a:round/>
            </a:ln>
            <a:effectLst/>
          </c:spPr>
          <c:marker>
            <c:symbol val="none"/>
          </c:marker>
          <c:cat>
            <c:numRef>
              <c:f>'Modèle Emploi Aérien'!$C$91:$AE$91</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'Modèle Emploi Aérien'!$C$92:$AE$92</c:f>
              <c:numCache>
                <c:formatCode>_-* #\ ##0\ _€_-;\-* #\ ##0\ _€_-;_-* "-"??\ _€_-;_-@_-</c:formatCode>
                <c:ptCount val="29"/>
                <c:pt idx="0">
                  <c:v>15258.781973203411</c:v>
                </c:pt>
                <c:pt idx="1">
                  <c:v>14621.823144487349</c:v>
                </c:pt>
                <c:pt idx="2">
                  <c:v>13984.864315771287</c:v>
                </c:pt>
                <c:pt idx="3">
                  <c:v>13347.905487055225</c:v>
                </c:pt>
                <c:pt idx="4">
                  <c:v>12710.946658339162</c:v>
                </c:pt>
                <c:pt idx="5">
                  <c:v>12073.987829623096</c:v>
                </c:pt>
                <c:pt idx="6">
                  <c:v>11790.451533211843</c:v>
                </c:pt>
                <c:pt idx="7">
                  <c:v>11506.915236800589</c:v>
                </c:pt>
                <c:pt idx="8">
                  <c:v>11223.378940389335</c:v>
                </c:pt>
                <c:pt idx="9">
                  <c:v>10939.842643978081</c:v>
                </c:pt>
                <c:pt idx="10">
                  <c:v>10656.306347566828</c:v>
                </c:pt>
                <c:pt idx="11">
                  <c:v>10372.770051155574</c:v>
                </c:pt>
                <c:pt idx="12">
                  <c:v>10089.23375474432</c:v>
                </c:pt>
                <c:pt idx="13">
                  <c:v>9805.6974583330666</c:v>
                </c:pt>
                <c:pt idx="14">
                  <c:v>9522.1611619218129</c:v>
                </c:pt>
                <c:pt idx="15">
                  <c:v>9238.6248655105592</c:v>
                </c:pt>
                <c:pt idx="16">
                  <c:v>8955.0885690993055</c:v>
                </c:pt>
                <c:pt idx="17">
                  <c:v>8671.5522726880517</c:v>
                </c:pt>
                <c:pt idx="18">
                  <c:v>8388.015976276798</c:v>
                </c:pt>
                <c:pt idx="19">
                  <c:v>8104.4796798655443</c:v>
                </c:pt>
                <c:pt idx="20">
                  <c:v>7820.9433834542906</c:v>
                </c:pt>
                <c:pt idx="21">
                  <c:v>7537.4070870430369</c:v>
                </c:pt>
                <c:pt idx="22">
                  <c:v>7253.8707906317832</c:v>
                </c:pt>
                <c:pt idx="23">
                  <c:v>6970.3344942205295</c:v>
                </c:pt>
                <c:pt idx="24">
                  <c:v>6686.7981978092757</c:v>
                </c:pt>
                <c:pt idx="25">
                  <c:v>6403.261901398022</c:v>
                </c:pt>
                <c:pt idx="26">
                  <c:v>6119.7256049867683</c:v>
                </c:pt>
                <c:pt idx="27">
                  <c:v>5836.1893085755146</c:v>
                </c:pt>
                <c:pt idx="28">
                  <c:v>5552.6530121642609</c:v>
                </c:pt>
              </c:numCache>
            </c:numRef>
          </c:val>
          <c:smooth val="0"/>
          <c:extLst>
            <c:ext xmlns:c16="http://schemas.microsoft.com/office/drawing/2014/chart" uri="{C3380CC4-5D6E-409C-BE32-E72D297353CC}">
              <c16:uniqueId val="{00000000-862B-9D46-A620-DE5BD858F59B}"/>
            </c:ext>
          </c:extLst>
        </c:ser>
        <c:ser>
          <c:idx val="1"/>
          <c:order val="1"/>
          <c:tx>
            <c:strRef>
              <c:f>'Modèle Emploi Aérien'!$B$93</c:f>
              <c:strCache>
                <c:ptCount val="1"/>
                <c:pt idx="0">
                  <c:v>Compagnies aériennes - Personnel au sol</c:v>
                </c:pt>
              </c:strCache>
            </c:strRef>
          </c:tx>
          <c:spPr>
            <a:ln w="28575" cap="rnd">
              <a:solidFill>
                <a:schemeClr val="accent2"/>
              </a:solidFill>
              <a:round/>
            </a:ln>
            <a:effectLst/>
          </c:spPr>
          <c:marker>
            <c:symbol val="none"/>
          </c:marker>
          <c:cat>
            <c:numRef>
              <c:f>'Modèle Emploi Aérien'!$C$91:$AE$91</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'Modèle Emploi Aérien'!$C$93:$AE$93</c:f>
              <c:numCache>
                <c:formatCode>_-* #\ ##0\ _€_-;\-* #\ ##0\ _€_-;_-* "-"??\ _€_-;_-@_-</c:formatCode>
                <c:ptCount val="29"/>
                <c:pt idx="0">
                  <c:v>37918.073203410473</c:v>
                </c:pt>
                <c:pt idx="1">
                  <c:v>36335.230514051058</c:v>
                </c:pt>
                <c:pt idx="2">
                  <c:v>34752.387824691643</c:v>
                </c:pt>
                <c:pt idx="3">
                  <c:v>33169.545135332228</c:v>
                </c:pt>
                <c:pt idx="4">
                  <c:v>31586.702445972813</c:v>
                </c:pt>
                <c:pt idx="5">
                  <c:v>30003.859756613394</c:v>
                </c:pt>
                <c:pt idx="6">
                  <c:v>29299.272060031428</c:v>
                </c:pt>
                <c:pt idx="7">
                  <c:v>28594.684363449462</c:v>
                </c:pt>
                <c:pt idx="8">
                  <c:v>27890.096666867496</c:v>
                </c:pt>
                <c:pt idx="9">
                  <c:v>27185.508970285529</c:v>
                </c:pt>
                <c:pt idx="10">
                  <c:v>26480.921273703563</c:v>
                </c:pt>
                <c:pt idx="11">
                  <c:v>25776.333577121597</c:v>
                </c:pt>
                <c:pt idx="12">
                  <c:v>25071.745880539631</c:v>
                </c:pt>
                <c:pt idx="13">
                  <c:v>24367.158183957665</c:v>
                </c:pt>
                <c:pt idx="14">
                  <c:v>23662.570487375699</c:v>
                </c:pt>
                <c:pt idx="15">
                  <c:v>22957.982790793732</c:v>
                </c:pt>
                <c:pt idx="16">
                  <c:v>22253.395094211766</c:v>
                </c:pt>
                <c:pt idx="17">
                  <c:v>21548.8073976298</c:v>
                </c:pt>
                <c:pt idx="18">
                  <c:v>20844.219701047834</c:v>
                </c:pt>
                <c:pt idx="19">
                  <c:v>20139.632004465868</c:v>
                </c:pt>
                <c:pt idx="20">
                  <c:v>19435.044307883902</c:v>
                </c:pt>
                <c:pt idx="21">
                  <c:v>18730.456611301935</c:v>
                </c:pt>
                <c:pt idx="22">
                  <c:v>18025.868914719969</c:v>
                </c:pt>
                <c:pt idx="23">
                  <c:v>17321.281218138003</c:v>
                </c:pt>
                <c:pt idx="24">
                  <c:v>16616.693521556037</c:v>
                </c:pt>
                <c:pt idx="25">
                  <c:v>15912.105824974071</c:v>
                </c:pt>
                <c:pt idx="26">
                  <c:v>15207.518128392105</c:v>
                </c:pt>
                <c:pt idx="27">
                  <c:v>14502.930431810139</c:v>
                </c:pt>
                <c:pt idx="28">
                  <c:v>13798.342735228187</c:v>
                </c:pt>
              </c:numCache>
            </c:numRef>
          </c:val>
          <c:smooth val="0"/>
          <c:extLst>
            <c:ext xmlns:c16="http://schemas.microsoft.com/office/drawing/2014/chart" uri="{C3380CC4-5D6E-409C-BE32-E72D297353CC}">
              <c16:uniqueId val="{00000001-862B-9D46-A620-DE5BD858F59B}"/>
            </c:ext>
          </c:extLst>
        </c:ser>
        <c:ser>
          <c:idx val="2"/>
          <c:order val="2"/>
          <c:tx>
            <c:strRef>
              <c:f>'Modèle Emploi Aérien'!$B$94</c:f>
              <c:strCache>
                <c:ptCount val="1"/>
                <c:pt idx="0">
                  <c:v>Compagnies aériennes - Personnel navigant</c:v>
                </c:pt>
              </c:strCache>
            </c:strRef>
          </c:tx>
          <c:spPr>
            <a:ln w="28575" cap="rnd">
              <a:solidFill>
                <a:schemeClr val="accent3"/>
              </a:solidFill>
              <a:round/>
            </a:ln>
            <a:effectLst/>
          </c:spPr>
          <c:marker>
            <c:symbol val="none"/>
          </c:marker>
          <c:cat>
            <c:numRef>
              <c:f>'Modèle Emploi Aérien'!$C$91:$AE$91</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'Modèle Emploi Aérien'!$C$94:$AE$94</c:f>
              <c:numCache>
                <c:formatCode>_-* #\ ##0\ _€_-;\-* #\ ##0\ _€_-;_-* "-"??\ _€_-;_-@_-</c:formatCode>
                <c:ptCount val="29"/>
                <c:pt idx="0">
                  <c:v>15487.663702801459</c:v>
                </c:pt>
                <c:pt idx="1">
                  <c:v>15266.411364190009</c:v>
                </c:pt>
                <c:pt idx="2">
                  <c:v>15045.15902557856</c:v>
                </c:pt>
                <c:pt idx="3">
                  <c:v>14823.90668696711</c:v>
                </c:pt>
                <c:pt idx="4">
                  <c:v>14602.65434835566</c:v>
                </c:pt>
                <c:pt idx="5">
                  <c:v>14381.402009744214</c:v>
                </c:pt>
                <c:pt idx="6">
                  <c:v>14189.008671821213</c:v>
                </c:pt>
                <c:pt idx="7">
                  <c:v>13996.615333898213</c:v>
                </c:pt>
                <c:pt idx="8">
                  <c:v>13804.221995975213</c:v>
                </c:pt>
                <c:pt idx="9">
                  <c:v>13611.828658052213</c:v>
                </c:pt>
                <c:pt idx="10">
                  <c:v>13419.435320129212</c:v>
                </c:pt>
                <c:pt idx="11">
                  <c:v>13227.041982206212</c:v>
                </c:pt>
                <c:pt idx="12">
                  <c:v>13034.648644283212</c:v>
                </c:pt>
                <c:pt idx="13">
                  <c:v>12842.255306360212</c:v>
                </c:pt>
                <c:pt idx="14">
                  <c:v>12649.861968437212</c:v>
                </c:pt>
                <c:pt idx="15">
                  <c:v>12457.468630514211</c:v>
                </c:pt>
                <c:pt idx="16">
                  <c:v>12265.075292591211</c:v>
                </c:pt>
                <c:pt idx="17">
                  <c:v>12072.681954668211</c:v>
                </c:pt>
                <c:pt idx="18">
                  <c:v>11880.288616745211</c:v>
                </c:pt>
                <c:pt idx="19">
                  <c:v>11687.89527882221</c:v>
                </c:pt>
                <c:pt idx="20">
                  <c:v>11495.50194089921</c:v>
                </c:pt>
                <c:pt idx="21">
                  <c:v>11303.10860297621</c:v>
                </c:pt>
                <c:pt idx="22">
                  <c:v>11110.71526505321</c:v>
                </c:pt>
                <c:pt idx="23">
                  <c:v>10918.32192713021</c:v>
                </c:pt>
                <c:pt idx="24">
                  <c:v>10725.928589207209</c:v>
                </c:pt>
                <c:pt idx="25">
                  <c:v>10533.535251284209</c:v>
                </c:pt>
                <c:pt idx="26">
                  <c:v>10341.141913361209</c:v>
                </c:pt>
                <c:pt idx="27">
                  <c:v>10148.748575438209</c:v>
                </c:pt>
                <c:pt idx="28">
                  <c:v>9956.3552375152231</c:v>
                </c:pt>
              </c:numCache>
            </c:numRef>
          </c:val>
          <c:smooth val="0"/>
          <c:extLst>
            <c:ext xmlns:c16="http://schemas.microsoft.com/office/drawing/2014/chart" uri="{C3380CC4-5D6E-409C-BE32-E72D297353CC}">
              <c16:uniqueId val="{00000002-862B-9D46-A620-DE5BD858F59B}"/>
            </c:ext>
          </c:extLst>
        </c:ser>
        <c:dLbls>
          <c:showLegendKey val="0"/>
          <c:showVal val="0"/>
          <c:showCatName val="0"/>
          <c:showSerName val="0"/>
          <c:showPercent val="0"/>
          <c:showBubbleSize val="0"/>
        </c:dLbls>
        <c:smooth val="0"/>
        <c:axId val="1491385744"/>
        <c:axId val="1653374784"/>
      </c:lineChart>
      <c:catAx>
        <c:axId val="1491385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1653374784"/>
        <c:crosses val="autoZero"/>
        <c:auto val="1"/>
        <c:lblAlgn val="ctr"/>
        <c:lblOffset val="100"/>
        <c:tickLblSkip val="5"/>
        <c:noMultiLvlLbl val="0"/>
      </c:catAx>
      <c:valAx>
        <c:axId val="1653374784"/>
        <c:scaling>
          <c:orientation val="minMax"/>
        </c:scaling>
        <c:delete val="0"/>
        <c:axPos val="l"/>
        <c:majorGridlines>
          <c:spPr>
            <a:ln w="9525" cap="flat" cmpd="sng" algn="ctr">
              <a:solidFill>
                <a:schemeClr val="tx1">
                  <a:lumMod val="15000"/>
                  <a:lumOff val="85000"/>
                </a:schemeClr>
              </a:solidFill>
              <a:round/>
            </a:ln>
            <a:effectLst/>
          </c:spPr>
        </c:majorGridlines>
        <c:numFmt formatCode="_-* #\ ##0\ _€_-;\-* #\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1491385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tx>
            <c:strRef>
              <c:f>'Industrie ferroviaire'!$B$22</c:f>
              <c:strCache>
                <c:ptCount val="1"/>
                <c:pt idx="0">
                  <c:v>TGV</c:v>
                </c:pt>
              </c:strCache>
            </c:strRef>
          </c:tx>
          <c:spPr>
            <a:ln w="28575" cap="rnd">
              <a:solidFill>
                <a:schemeClr val="accent2"/>
              </a:solidFill>
              <a:round/>
            </a:ln>
            <a:effectLst/>
          </c:spPr>
          <c:marker>
            <c:symbol val="none"/>
          </c:marker>
          <c:cat>
            <c:numRef>
              <c:f>'Industrie ferroviaire'!$C$21:$AE$21</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'Industrie ferroviaire'!$C$22:$AE$22</c:f>
              <c:numCache>
                <c:formatCode>_-* #\ ##0\ _€_-;\-* #\ ##0\ _€_-;_-* "-"??\ _€_-;_-@_-</c:formatCode>
                <c:ptCount val="29"/>
                <c:pt idx="0">
                  <c:v>380</c:v>
                </c:pt>
                <c:pt idx="1">
                  <c:v>397.6</c:v>
                </c:pt>
                <c:pt idx="2">
                  <c:v>415.20000000000005</c:v>
                </c:pt>
                <c:pt idx="3">
                  <c:v>432.80000000000007</c:v>
                </c:pt>
                <c:pt idx="4">
                  <c:v>450.40000000000009</c:v>
                </c:pt>
                <c:pt idx="5">
                  <c:v>468</c:v>
                </c:pt>
                <c:pt idx="6">
                  <c:v>480.9</c:v>
                </c:pt>
                <c:pt idx="7">
                  <c:v>493.79999999999995</c:v>
                </c:pt>
                <c:pt idx="8">
                  <c:v>506.69999999999993</c:v>
                </c:pt>
                <c:pt idx="9">
                  <c:v>519.59999999999991</c:v>
                </c:pt>
                <c:pt idx="10">
                  <c:v>532.49999999999989</c:v>
                </c:pt>
                <c:pt idx="11">
                  <c:v>545.39999999999986</c:v>
                </c:pt>
                <c:pt idx="12">
                  <c:v>558.29999999999984</c:v>
                </c:pt>
                <c:pt idx="13">
                  <c:v>571.19999999999982</c:v>
                </c:pt>
                <c:pt idx="14">
                  <c:v>584.0999999999998</c:v>
                </c:pt>
                <c:pt idx="15" formatCode="General">
                  <c:v>597</c:v>
                </c:pt>
                <c:pt idx="16">
                  <c:v>604.38461538461536</c:v>
                </c:pt>
                <c:pt idx="17">
                  <c:v>611.76923076923072</c:v>
                </c:pt>
                <c:pt idx="18">
                  <c:v>619.15384615384608</c:v>
                </c:pt>
                <c:pt idx="19">
                  <c:v>626.53846153846143</c:v>
                </c:pt>
                <c:pt idx="20">
                  <c:v>633.92307692307679</c:v>
                </c:pt>
                <c:pt idx="21">
                  <c:v>641.30769230769215</c:v>
                </c:pt>
                <c:pt idx="22">
                  <c:v>648.69230769230751</c:v>
                </c:pt>
                <c:pt idx="23">
                  <c:v>656.07692307692287</c:v>
                </c:pt>
                <c:pt idx="24">
                  <c:v>663.46153846153823</c:v>
                </c:pt>
                <c:pt idx="25">
                  <c:v>670.84615384615358</c:v>
                </c:pt>
                <c:pt idx="26">
                  <c:v>678.23076923076894</c:v>
                </c:pt>
                <c:pt idx="27">
                  <c:v>685.6153846153843</c:v>
                </c:pt>
                <c:pt idx="28">
                  <c:v>693</c:v>
                </c:pt>
              </c:numCache>
            </c:numRef>
          </c:val>
          <c:smooth val="0"/>
          <c:extLst>
            <c:ext xmlns:c16="http://schemas.microsoft.com/office/drawing/2014/chart" uri="{C3380CC4-5D6E-409C-BE32-E72D297353CC}">
              <c16:uniqueId val="{00000000-8A72-405F-A956-34B3AA7D6166}"/>
            </c:ext>
          </c:extLst>
        </c:ser>
        <c:ser>
          <c:idx val="2"/>
          <c:order val="1"/>
          <c:tx>
            <c:strRef>
              <c:f>'Industrie ferroviaire'!$B$23</c:f>
              <c:strCache>
                <c:ptCount val="1"/>
                <c:pt idx="0">
                  <c:v>Train classique</c:v>
                </c:pt>
              </c:strCache>
            </c:strRef>
          </c:tx>
          <c:spPr>
            <a:ln w="28575" cap="rnd">
              <a:solidFill>
                <a:schemeClr val="accent3"/>
              </a:solidFill>
              <a:round/>
            </a:ln>
            <a:effectLst/>
          </c:spPr>
          <c:marker>
            <c:symbol val="none"/>
          </c:marker>
          <c:cat>
            <c:numRef>
              <c:f>'Industrie ferroviaire'!$C$21:$AE$21</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'Industrie ferroviaire'!$C$23:$AE$23</c:f>
              <c:numCache>
                <c:formatCode>_-* #\ ##0\ _€_-;\-* #\ ##0\ _€_-;_-* "-"??\ _€_-;_-@_-</c:formatCode>
                <c:ptCount val="29"/>
                <c:pt idx="0">
                  <c:v>547</c:v>
                </c:pt>
                <c:pt idx="1">
                  <c:v>566.79999999999995</c:v>
                </c:pt>
                <c:pt idx="2">
                  <c:v>586.59999999999991</c:v>
                </c:pt>
                <c:pt idx="3">
                  <c:v>606.39999999999986</c:v>
                </c:pt>
                <c:pt idx="4">
                  <c:v>626.19999999999982</c:v>
                </c:pt>
                <c:pt idx="5">
                  <c:v>646</c:v>
                </c:pt>
                <c:pt idx="6">
                  <c:v>659.1</c:v>
                </c:pt>
                <c:pt idx="7">
                  <c:v>672.2</c:v>
                </c:pt>
                <c:pt idx="8">
                  <c:v>685.30000000000007</c:v>
                </c:pt>
                <c:pt idx="9">
                  <c:v>698.40000000000009</c:v>
                </c:pt>
                <c:pt idx="10">
                  <c:v>711.50000000000011</c:v>
                </c:pt>
                <c:pt idx="11">
                  <c:v>724.60000000000014</c:v>
                </c:pt>
                <c:pt idx="12">
                  <c:v>737.70000000000016</c:v>
                </c:pt>
                <c:pt idx="13">
                  <c:v>750.80000000000018</c:v>
                </c:pt>
                <c:pt idx="14">
                  <c:v>763.9000000000002</c:v>
                </c:pt>
                <c:pt idx="15" formatCode="General">
                  <c:v>777</c:v>
                </c:pt>
                <c:pt idx="16">
                  <c:v>783.61538461538464</c:v>
                </c:pt>
                <c:pt idx="17">
                  <c:v>790.23076923076928</c:v>
                </c:pt>
                <c:pt idx="18">
                  <c:v>796.84615384615392</c:v>
                </c:pt>
                <c:pt idx="19">
                  <c:v>803.46153846153857</c:v>
                </c:pt>
                <c:pt idx="20">
                  <c:v>810.07692307692321</c:v>
                </c:pt>
                <c:pt idx="21">
                  <c:v>816.69230769230785</c:v>
                </c:pt>
                <c:pt idx="22">
                  <c:v>823.30769230769249</c:v>
                </c:pt>
                <c:pt idx="23">
                  <c:v>829.92307692307713</c:v>
                </c:pt>
                <c:pt idx="24">
                  <c:v>836.53846153846177</c:v>
                </c:pt>
                <c:pt idx="25">
                  <c:v>843.15384615384642</c:v>
                </c:pt>
                <c:pt idx="26">
                  <c:v>849.76923076923106</c:v>
                </c:pt>
                <c:pt idx="27">
                  <c:v>856.3846153846157</c:v>
                </c:pt>
                <c:pt idx="28">
                  <c:v>863</c:v>
                </c:pt>
              </c:numCache>
            </c:numRef>
          </c:val>
          <c:smooth val="0"/>
          <c:extLst>
            <c:ext xmlns:c16="http://schemas.microsoft.com/office/drawing/2014/chart" uri="{C3380CC4-5D6E-409C-BE32-E72D297353CC}">
              <c16:uniqueId val="{00000001-8A72-405F-A956-34B3AA7D6166}"/>
            </c:ext>
          </c:extLst>
        </c:ser>
        <c:dLbls>
          <c:showLegendKey val="0"/>
          <c:showVal val="0"/>
          <c:showCatName val="0"/>
          <c:showSerName val="0"/>
          <c:showPercent val="0"/>
          <c:showBubbleSize val="0"/>
        </c:dLbls>
        <c:smooth val="0"/>
        <c:axId val="-112482800"/>
        <c:axId val="-112479536"/>
      </c:lineChart>
      <c:catAx>
        <c:axId val="-112482800"/>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2479536"/>
        <c:crosses val="autoZero"/>
        <c:auto val="1"/>
        <c:lblAlgn val="ctr"/>
        <c:lblOffset val="100"/>
        <c:tickMarkSkip val="1"/>
        <c:noMultiLvlLbl val="0"/>
      </c:catAx>
      <c:valAx>
        <c:axId val="-112479536"/>
        <c:scaling>
          <c:orientation val="minMax"/>
          <c:min val="300"/>
        </c:scaling>
        <c:delete val="0"/>
        <c:axPos val="l"/>
        <c:majorGridlines>
          <c:spPr>
            <a:ln w="9525" cap="flat" cmpd="sng" algn="ctr">
              <a:solidFill>
                <a:schemeClr val="tx1">
                  <a:lumMod val="15000"/>
                  <a:lumOff val="85000"/>
                </a:schemeClr>
              </a:solidFill>
              <a:round/>
            </a:ln>
            <a:effectLst/>
          </c:spPr>
        </c:majorGridlines>
        <c:numFmt formatCode="_-* #\ ##0\ _€_-;\-* #\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24828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3174</xdr:colOff>
      <xdr:row>18</xdr:row>
      <xdr:rowOff>95250</xdr:rowOff>
    </xdr:from>
    <xdr:to>
      <xdr:col>6</xdr:col>
      <xdr:colOff>114299</xdr:colOff>
      <xdr:row>38</xdr:row>
      <xdr:rowOff>152400</xdr:rowOff>
    </xdr:to>
    <xdr:graphicFrame macro="">
      <xdr:nvGraphicFramePr>
        <xdr:cNvPr id="2" name="Graphique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238124</xdr:colOff>
      <xdr:row>95</xdr:row>
      <xdr:rowOff>130174</xdr:rowOff>
    </xdr:from>
    <xdr:to>
      <xdr:col>4</xdr:col>
      <xdr:colOff>501649</xdr:colOff>
      <xdr:row>111</xdr:row>
      <xdr:rowOff>184149</xdr:rowOff>
    </xdr:to>
    <xdr:graphicFrame macro="">
      <xdr:nvGraphicFramePr>
        <xdr:cNvPr id="2" name="Graphique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250824</xdr:colOff>
      <xdr:row>121</xdr:row>
      <xdr:rowOff>180974</xdr:rowOff>
    </xdr:from>
    <xdr:to>
      <xdr:col>4</xdr:col>
      <xdr:colOff>285749</xdr:colOff>
      <xdr:row>141</xdr:row>
      <xdr:rowOff>44449</xdr:rowOff>
    </xdr:to>
    <xdr:graphicFrame macro="">
      <xdr:nvGraphicFramePr>
        <xdr:cNvPr id="3" name="Graphique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219075</xdr:colOff>
      <xdr:row>19</xdr:row>
      <xdr:rowOff>73025</xdr:rowOff>
    </xdr:from>
    <xdr:to>
      <xdr:col>16</xdr:col>
      <xdr:colOff>320675</xdr:colOff>
      <xdr:row>34</xdr:row>
      <xdr:rowOff>0</xdr:rowOff>
    </xdr:to>
    <xdr:graphicFrame macro="">
      <xdr:nvGraphicFramePr>
        <xdr:cNvPr id="3" name="Graphique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31381</xdr:colOff>
      <xdr:row>43</xdr:row>
      <xdr:rowOff>73836</xdr:rowOff>
    </xdr:from>
    <xdr:to>
      <xdr:col>12</xdr:col>
      <xdr:colOff>59071</xdr:colOff>
      <xdr:row>53</xdr:row>
      <xdr:rowOff>14766</xdr:rowOff>
    </xdr:to>
    <xdr:graphicFrame macro="">
      <xdr:nvGraphicFramePr>
        <xdr:cNvPr id="2" name="Graphique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6721</xdr:colOff>
      <xdr:row>34</xdr:row>
      <xdr:rowOff>73838</xdr:rowOff>
    </xdr:from>
    <xdr:to>
      <xdr:col>10</xdr:col>
      <xdr:colOff>140292</xdr:colOff>
      <xdr:row>42</xdr:row>
      <xdr:rowOff>59070</xdr:rowOff>
    </xdr:to>
    <xdr:graphicFrame macro="">
      <xdr:nvGraphicFramePr>
        <xdr:cNvPr id="3" name="Graphique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380482</xdr:colOff>
      <xdr:row>66</xdr:row>
      <xdr:rowOff>136599</xdr:rowOff>
    </xdr:from>
    <xdr:to>
      <xdr:col>3</xdr:col>
      <xdr:colOff>228895</xdr:colOff>
      <xdr:row>87</xdr:row>
      <xdr:rowOff>107023</xdr:rowOff>
    </xdr:to>
    <xdr:graphicFrame macro="">
      <xdr:nvGraphicFramePr>
        <xdr:cNvPr id="4" name="Graphique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600074</xdr:colOff>
      <xdr:row>67</xdr:row>
      <xdr:rowOff>114300</xdr:rowOff>
    </xdr:from>
    <xdr:to>
      <xdr:col>12</xdr:col>
      <xdr:colOff>107950</xdr:colOff>
      <xdr:row>86</xdr:row>
      <xdr:rowOff>101600</xdr:rowOff>
    </xdr:to>
    <xdr:graphicFrame macro="">
      <xdr:nvGraphicFramePr>
        <xdr:cNvPr id="5" name="Graphique 4">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73026</xdr:colOff>
      <xdr:row>60</xdr:row>
      <xdr:rowOff>127000</xdr:rowOff>
    </xdr:from>
    <xdr:to>
      <xdr:col>11</xdr:col>
      <xdr:colOff>176213</xdr:colOff>
      <xdr:row>78</xdr:row>
      <xdr:rowOff>139700</xdr:rowOff>
    </xdr:to>
    <xdr:graphicFrame macro="">
      <xdr:nvGraphicFramePr>
        <xdr:cNvPr id="2" name="Graphique 1">
          <a:extLst>
            <a:ext uri="{FF2B5EF4-FFF2-40B4-BE49-F238E27FC236}">
              <a16:creationId xmlns:a16="http://schemas.microsoft.com/office/drawing/2014/main" id="{DECD1A09-23E5-4B51-8033-44DA91E698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107950</xdr:colOff>
      <xdr:row>60</xdr:row>
      <xdr:rowOff>82550</xdr:rowOff>
    </xdr:from>
    <xdr:to>
      <xdr:col>4</xdr:col>
      <xdr:colOff>501650</xdr:colOff>
      <xdr:row>74</xdr:row>
      <xdr:rowOff>158750</xdr:rowOff>
    </xdr:to>
    <xdr:graphicFrame macro="">
      <xdr:nvGraphicFramePr>
        <xdr:cNvPr id="3" name="Graphique 2">
          <a:extLst>
            <a:ext uri="{FF2B5EF4-FFF2-40B4-BE49-F238E27FC236}">
              <a16:creationId xmlns:a16="http://schemas.microsoft.com/office/drawing/2014/main" id="{3710FF4D-455E-43AB-9281-4958A3FA1C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33782/Nextcloud/Projets/PTEF/32%20-%20Emploi/05%20-%20Vision%20par%20Secteur/13%20-%20Mob%20LD/Transport%20ferroviaire/Effectifs%20m&#233;tiers%20SNCF%202019.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SP_VIM" refreshedDate="44360.612810300925" createdVersion="5" refreshedVersion="5" minRefreshableVersion="3" recordCount="20" xr:uid="{00000000-000A-0000-FFFF-FFFF04000000}">
  <cacheSource type="worksheet">
    <worksheetSource ref="A3:E23" sheet="Données métiers" r:id="rId2"/>
  </cacheSource>
  <cacheFields count="5">
    <cacheField name="Date" numFmtId="14">
      <sharedItems/>
    </cacheField>
    <cacheField name="Métier" numFmtId="0">
      <sharedItems count="5">
        <s v="Mainteneur, Aiguilleur, Agent commercial, gestionnaire"/>
        <s v="Manager de proximité, maitrise"/>
        <s v="Agent commercial à bord des trains"/>
        <s v="Ingénieurs et cadres"/>
        <s v="Conducteurs"/>
      </sharedItems>
    </cacheField>
    <cacheField name="Contrat de travail" numFmtId="0">
      <sharedItems/>
    </cacheField>
    <cacheField name="Sexe" numFmtId="0">
      <sharedItems/>
    </cacheField>
    <cacheField name="Effectif" numFmtId="0">
      <sharedItems containsSemiMixedTypes="0" containsString="0" containsNumber="1" containsInteger="1" minValue="44" maxValue="3281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0">
  <r>
    <s v="2019"/>
    <x v="0"/>
    <s v="Contractuels"/>
    <s v="Femme"/>
    <n v="1114"/>
  </r>
  <r>
    <s v="2019"/>
    <x v="1"/>
    <s v="Contractuels"/>
    <s v="Homme"/>
    <n v="3239"/>
  </r>
  <r>
    <s v="2019"/>
    <x v="2"/>
    <s v="Contractuels"/>
    <s v="Femme"/>
    <n v="295"/>
  </r>
  <r>
    <s v="2019"/>
    <x v="0"/>
    <s v="Contractuels"/>
    <s v="Homme"/>
    <n v="4312"/>
  </r>
  <r>
    <s v="2019"/>
    <x v="3"/>
    <s v="Cadre permanent"/>
    <s v="Femme"/>
    <n v="7235"/>
  </r>
  <r>
    <s v="2019"/>
    <x v="2"/>
    <s v="Cadre permanent"/>
    <s v="Homme"/>
    <n v="3891"/>
  </r>
  <r>
    <s v="2019"/>
    <x v="4"/>
    <s v="Cadre permanent"/>
    <s v="Homme"/>
    <n v="13384"/>
  </r>
  <r>
    <s v="2019"/>
    <x v="1"/>
    <s v="Contractuels"/>
    <s v="Femme"/>
    <n v="1384"/>
  </r>
  <r>
    <s v="2019"/>
    <x v="3"/>
    <s v="Contractuels"/>
    <s v="Femme"/>
    <n v="1796"/>
  </r>
  <r>
    <s v="2019"/>
    <x v="4"/>
    <s v="Contractuels"/>
    <s v="Homme"/>
    <n v="956"/>
  </r>
  <r>
    <s v="2019"/>
    <x v="4"/>
    <s v="Contractuels"/>
    <s v="Femme"/>
    <n v="44"/>
  </r>
  <r>
    <s v="2019"/>
    <x v="0"/>
    <s v="Cadre permanent"/>
    <s v="Femme"/>
    <n v="8109"/>
  </r>
  <r>
    <s v="2019"/>
    <x v="2"/>
    <s v="Contractuels"/>
    <s v="Homme"/>
    <n v="534"/>
  </r>
  <r>
    <s v="2019"/>
    <x v="4"/>
    <s v="Cadre permanent"/>
    <s v="Femme"/>
    <n v="413"/>
  </r>
  <r>
    <s v="2019"/>
    <x v="0"/>
    <s v="Cadre permanent"/>
    <s v="Homme"/>
    <n v="32041"/>
  </r>
  <r>
    <s v="2019"/>
    <x v="1"/>
    <s v="Cadre permanent"/>
    <s v="Homme"/>
    <n v="32814"/>
  </r>
  <r>
    <s v="2019"/>
    <x v="1"/>
    <s v="Cadre permanent"/>
    <s v="Femme"/>
    <n v="8202"/>
  </r>
  <r>
    <s v="2019"/>
    <x v="3"/>
    <s v="Cadre permanent"/>
    <s v="Homme"/>
    <n v="19514"/>
  </r>
  <r>
    <s v="2019"/>
    <x v="3"/>
    <s v="Contractuels"/>
    <s v="Homme"/>
    <n v="2819"/>
  </r>
  <r>
    <s v="2019"/>
    <x v="2"/>
    <s v="Cadre permanent"/>
    <s v="Femme"/>
    <n v="224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Tableau croisé dynamique14" cacheId="1" applyNumberFormats="0" applyBorderFormats="0" applyFontFormats="0" applyPatternFormats="0" applyAlignmentFormats="0" applyWidthHeightFormats="1" dataCaption="Valeurs" updatedVersion="5" minRefreshableVersion="3" useAutoFormatting="1" itemPrintTitles="1" createdVersion="5" indent="0" outline="1" outlineData="1" multipleFieldFilters="0" chartFormat="11">
  <location ref="B27:C33" firstHeaderRow="1" firstDataRow="1" firstDataCol="1"/>
  <pivotFields count="5">
    <pivotField showAll="0"/>
    <pivotField axis="axisRow" showAll="0">
      <items count="6">
        <item x="2"/>
        <item x="4"/>
        <item x="3"/>
        <item x="0"/>
        <item x="1"/>
        <item t="default"/>
      </items>
    </pivotField>
    <pivotField showAll="0"/>
    <pivotField showAll="0"/>
    <pivotField dataField="1" showAll="0"/>
  </pivotFields>
  <rowFields count="1">
    <field x="1"/>
  </rowFields>
  <rowItems count="6">
    <i>
      <x/>
    </i>
    <i>
      <x v="1"/>
    </i>
    <i>
      <x v="2"/>
    </i>
    <i>
      <x v="3"/>
    </i>
    <i>
      <x v="4"/>
    </i>
    <i t="grand">
      <x/>
    </i>
  </rowItems>
  <colItems count="1">
    <i/>
  </colItems>
  <dataFields count="1">
    <dataField name="Somme de Effectif" fld="4" baseField="1" baseItem="1" numFmtId="165"/>
  </dataFields>
  <formats count="13">
    <format dxfId="38">
      <pivotArea outline="0" collapsedLevelsAreSubtotals="1" fieldPosition="0"/>
    </format>
    <format dxfId="37">
      <pivotArea type="all" dataOnly="0" outline="0" fieldPosition="0"/>
    </format>
    <format dxfId="36">
      <pivotArea outline="0" collapsedLevelsAreSubtotals="1" fieldPosition="0"/>
    </format>
    <format dxfId="35">
      <pivotArea field="1" type="button" dataOnly="0" labelOnly="1" outline="0" axis="axisRow" fieldPosition="0"/>
    </format>
    <format dxfId="34">
      <pivotArea dataOnly="0" labelOnly="1" fieldPosition="0">
        <references count="1">
          <reference field="1" count="0"/>
        </references>
      </pivotArea>
    </format>
    <format dxfId="33">
      <pivotArea dataOnly="0" labelOnly="1" grandRow="1" outline="0" fieldPosition="0"/>
    </format>
    <format dxfId="32">
      <pivotArea dataOnly="0" labelOnly="1" outline="0" axis="axisValues" fieldPosition="0"/>
    </format>
    <format dxfId="31">
      <pivotArea type="all" dataOnly="0" outline="0" fieldPosition="0"/>
    </format>
    <format dxfId="30">
      <pivotArea outline="0" collapsedLevelsAreSubtotals="1" fieldPosition="0"/>
    </format>
    <format dxfId="29">
      <pivotArea field="1" type="button" dataOnly="0" labelOnly="1" outline="0" axis="axisRow" fieldPosition="0"/>
    </format>
    <format dxfId="28">
      <pivotArea dataOnly="0" labelOnly="1" fieldPosition="0">
        <references count="1">
          <reference field="1" count="0"/>
        </references>
      </pivotArea>
    </format>
    <format dxfId="27">
      <pivotArea dataOnly="0" labelOnly="1" grandRow="1" outline="0" fieldPosition="0"/>
    </format>
    <format dxfId="26">
      <pivotArea dataOnly="0" labelOnly="1" outline="0" axis="axisValues" fieldPosition="0"/>
    </format>
  </formats>
  <chartFormats count="13">
    <chartFormat chart="1" format="0" series="1">
      <pivotArea type="data" outline="0" fieldPosition="0">
        <references count="1">
          <reference field="4294967294" count="1" selected="0">
            <x v="0"/>
          </reference>
        </references>
      </pivotArea>
    </chartFormat>
    <chartFormat chart="9"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 count="1" selected="0">
            <x v="0"/>
          </reference>
        </references>
      </pivotArea>
    </chartFormat>
    <chartFormat chart="1" format="2">
      <pivotArea type="data" outline="0" fieldPosition="0">
        <references count="2">
          <reference field="4294967294" count="1" selected="0">
            <x v="0"/>
          </reference>
          <reference field="1" count="1" selected="0">
            <x v="1"/>
          </reference>
        </references>
      </pivotArea>
    </chartFormat>
    <chartFormat chart="1" format="3">
      <pivotArea type="data" outline="0" fieldPosition="0">
        <references count="2">
          <reference field="4294967294" count="1" selected="0">
            <x v="0"/>
          </reference>
          <reference field="1" count="1" selected="0">
            <x v="2"/>
          </reference>
        </references>
      </pivotArea>
    </chartFormat>
    <chartFormat chart="1" format="4">
      <pivotArea type="data" outline="0" fieldPosition="0">
        <references count="2">
          <reference field="4294967294" count="1" selected="0">
            <x v="0"/>
          </reference>
          <reference field="1" count="1" selected="0">
            <x v="3"/>
          </reference>
        </references>
      </pivotArea>
    </chartFormat>
    <chartFormat chart="1" format="5">
      <pivotArea type="data" outline="0" fieldPosition="0">
        <references count="2">
          <reference field="4294967294" count="1" selected="0">
            <x v="0"/>
          </reference>
          <reference field="1" count="1" selected="0">
            <x v="4"/>
          </reference>
        </references>
      </pivotArea>
    </chartFormat>
    <chartFormat chart="10" format="6" series="1">
      <pivotArea type="data" outline="0" fieldPosition="0">
        <references count="1">
          <reference field="4294967294" count="1" selected="0">
            <x v="0"/>
          </reference>
        </references>
      </pivotArea>
    </chartFormat>
    <chartFormat chart="10" format="7">
      <pivotArea type="data" outline="0" fieldPosition="0">
        <references count="2">
          <reference field="4294967294" count="1" selected="0">
            <x v="0"/>
          </reference>
          <reference field="1" count="1" selected="0">
            <x v="0"/>
          </reference>
        </references>
      </pivotArea>
    </chartFormat>
    <chartFormat chart="10" format="8">
      <pivotArea type="data" outline="0" fieldPosition="0">
        <references count="2">
          <reference field="4294967294" count="1" selected="0">
            <x v="0"/>
          </reference>
          <reference field="1" count="1" selected="0">
            <x v="1"/>
          </reference>
        </references>
      </pivotArea>
    </chartFormat>
    <chartFormat chart="10" format="9">
      <pivotArea type="data" outline="0" fieldPosition="0">
        <references count="2">
          <reference field="4294967294" count="1" selected="0">
            <x v="0"/>
          </reference>
          <reference field="1" count="1" selected="0">
            <x v="2"/>
          </reference>
        </references>
      </pivotArea>
    </chartFormat>
    <chartFormat chart="10" format="10">
      <pivotArea type="data" outline="0" fieldPosition="0">
        <references count="2">
          <reference field="4294967294" count="1" selected="0">
            <x v="0"/>
          </reference>
          <reference field="1" count="1" selected="0">
            <x v="3"/>
          </reference>
        </references>
      </pivotArea>
    </chartFormat>
    <chartFormat chart="10" format="11">
      <pivotArea type="data" outline="0" fieldPosition="0">
        <references count="2">
          <reference field="4294967294" count="1" selected="0">
            <x v="0"/>
          </reference>
          <reference field="1"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ème Office">
  <a:themeElements>
    <a:clrScheme name="TSP nouvelle charte">
      <a:dk1>
        <a:srgbClr val="000000"/>
      </a:dk1>
      <a:lt1>
        <a:srgbClr val="FFFFFF"/>
      </a:lt1>
      <a:dk2>
        <a:srgbClr val="00005A"/>
      </a:dk2>
      <a:lt2>
        <a:srgbClr val="FFFFFF"/>
      </a:lt2>
      <a:accent1>
        <a:srgbClr val="00005A"/>
      </a:accent1>
      <a:accent2>
        <a:srgbClr val="FF8200"/>
      </a:accent2>
      <a:accent3>
        <a:srgbClr val="FAB758"/>
      </a:accent3>
      <a:accent4>
        <a:srgbClr val="FFDC23"/>
      </a:accent4>
      <a:accent5>
        <a:srgbClr val="00CAFE"/>
      </a:accent5>
      <a:accent6>
        <a:srgbClr val="0028DC"/>
      </a:accent6>
      <a:hlink>
        <a:srgbClr val="FF8200"/>
      </a:hlink>
      <a:folHlink>
        <a:srgbClr val="FF820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22563-42CB-4CB1-9743-B4E29BDC7EF8}">
  <dimension ref="A1:J27"/>
  <sheetViews>
    <sheetView tabSelected="1" workbookViewId="0">
      <selection activeCell="A7" sqref="A7"/>
    </sheetView>
  </sheetViews>
  <sheetFormatPr baseColWidth="10" defaultRowHeight="12.5" x14ac:dyDescent="0.25"/>
  <cols>
    <col min="1" max="1" width="19.7265625" style="3" customWidth="1"/>
    <col min="2" max="2" width="38.81640625" style="3" customWidth="1"/>
    <col min="3" max="16384" width="10.90625" style="3"/>
  </cols>
  <sheetData>
    <row r="1" spans="1:10" ht="14" x14ac:dyDescent="0.3">
      <c r="A1" s="1" t="s">
        <v>188</v>
      </c>
      <c r="B1" s="1" t="s">
        <v>189</v>
      </c>
      <c r="C1" s="9"/>
      <c r="D1" s="9"/>
      <c r="E1" s="9"/>
      <c r="F1" s="9"/>
      <c r="G1" s="9"/>
      <c r="H1" s="9"/>
      <c r="I1" s="9"/>
      <c r="J1" s="9"/>
    </row>
    <row r="2" spans="1:10" x14ac:dyDescent="0.25">
      <c r="A2" s="4"/>
      <c r="B2" s="3" t="s">
        <v>190</v>
      </c>
    </row>
    <row r="3" spans="1:10" x14ac:dyDescent="0.25">
      <c r="A3" s="5"/>
      <c r="B3" s="3" t="s">
        <v>191</v>
      </c>
    </row>
    <row r="4" spans="1:10" x14ac:dyDescent="0.25">
      <c r="A4" s="6"/>
      <c r="B4" s="3" t="s">
        <v>192</v>
      </c>
    </row>
    <row r="5" spans="1:10" x14ac:dyDescent="0.25">
      <c r="A5" s="7"/>
      <c r="B5" s="3" t="s">
        <v>193</v>
      </c>
    </row>
    <row r="6" spans="1:10" x14ac:dyDescent="0.25">
      <c r="A6" s="8"/>
      <c r="B6" s="3" t="s">
        <v>194</v>
      </c>
    </row>
    <row r="8" spans="1:10" ht="14" x14ac:dyDescent="0.3">
      <c r="A8" s="1" t="s">
        <v>195</v>
      </c>
      <c r="B8" s="9"/>
      <c r="C8" s="9"/>
      <c r="D8" s="9"/>
      <c r="E8" s="9"/>
      <c r="F8" s="9"/>
      <c r="G8" s="9"/>
      <c r="H8" s="9"/>
      <c r="I8" s="9"/>
      <c r="J8" s="9"/>
    </row>
    <row r="9" spans="1:10" x14ac:dyDescent="0.25">
      <c r="A9" s="3" t="s">
        <v>201</v>
      </c>
    </row>
    <row r="10" spans="1:10" x14ac:dyDescent="0.25">
      <c r="A10" s="3" t="s">
        <v>327</v>
      </c>
    </row>
    <row r="12" spans="1:10" ht="14" x14ac:dyDescent="0.3">
      <c r="A12" s="1" t="s">
        <v>196</v>
      </c>
      <c r="B12" s="9"/>
      <c r="C12" s="9"/>
      <c r="D12" s="9"/>
      <c r="E12" s="9"/>
      <c r="F12" s="9"/>
      <c r="G12" s="9"/>
      <c r="H12" s="9"/>
      <c r="I12" s="9"/>
      <c r="J12" s="9"/>
    </row>
    <row r="13" spans="1:10" ht="13" x14ac:dyDescent="0.3">
      <c r="A13" s="3" t="s">
        <v>202</v>
      </c>
    </row>
    <row r="14" spans="1:10" ht="13" x14ac:dyDescent="0.3">
      <c r="A14" s="3" t="s">
        <v>203</v>
      </c>
    </row>
    <row r="15" spans="1:10" ht="13" x14ac:dyDescent="0.3">
      <c r="A15" s="3" t="s">
        <v>197</v>
      </c>
    </row>
    <row r="17" spans="1:10" ht="14" x14ac:dyDescent="0.3">
      <c r="A17" s="1" t="s">
        <v>198</v>
      </c>
      <c r="B17" s="9"/>
      <c r="C17" s="9"/>
      <c r="D17" s="9"/>
      <c r="E17" s="9"/>
      <c r="F17" s="9"/>
      <c r="G17" s="9"/>
      <c r="H17" s="9"/>
      <c r="I17" s="9"/>
      <c r="J17" s="9"/>
    </row>
    <row r="18" spans="1:10" x14ac:dyDescent="0.25">
      <c r="A18" s="3" t="s">
        <v>199</v>
      </c>
    </row>
    <row r="19" spans="1:10" x14ac:dyDescent="0.25">
      <c r="A19" s="188" t="s">
        <v>200</v>
      </c>
    </row>
    <row r="20" spans="1:10" x14ac:dyDescent="0.25">
      <c r="A20" s="345" t="s">
        <v>328</v>
      </c>
    </row>
    <row r="22" spans="1:10" ht="14" x14ac:dyDescent="0.3">
      <c r="A22" s="1" t="s">
        <v>126</v>
      </c>
      <c r="B22" s="9"/>
      <c r="C22" s="9"/>
      <c r="D22" s="9"/>
      <c r="E22" s="9"/>
      <c r="F22" s="9"/>
      <c r="G22" s="9"/>
      <c r="H22" s="9"/>
      <c r="I22" s="9"/>
      <c r="J22" s="9"/>
    </row>
    <row r="23" spans="1:10" x14ac:dyDescent="0.25">
      <c r="A23" s="345" t="s">
        <v>329</v>
      </c>
    </row>
    <row r="25" spans="1:10" ht="14" x14ac:dyDescent="0.3">
      <c r="A25" s="1" t="s">
        <v>340</v>
      </c>
      <c r="B25" s="1"/>
      <c r="C25" s="9"/>
      <c r="D25" s="9"/>
      <c r="E25" s="9"/>
      <c r="F25" s="9"/>
      <c r="G25" s="9"/>
      <c r="H25" s="9"/>
      <c r="I25" s="9"/>
      <c r="J25" s="9"/>
    </row>
    <row r="26" spans="1:10" ht="52" customHeight="1" x14ac:dyDescent="0.25">
      <c r="A26" s="396" t="s">
        <v>338</v>
      </c>
      <c r="B26" s="396"/>
      <c r="C26" s="396"/>
      <c r="D26" s="396"/>
      <c r="E26" s="396"/>
      <c r="F26" s="396"/>
      <c r="G26" s="396"/>
      <c r="H26" s="396"/>
      <c r="I26" s="396"/>
      <c r="J26" s="396"/>
    </row>
    <row r="27" spans="1:10" ht="28.5" customHeight="1" x14ac:dyDescent="0.25">
      <c r="A27" s="396" t="s">
        <v>339</v>
      </c>
      <c r="B27" s="396"/>
      <c r="C27" s="396"/>
      <c r="D27" s="396"/>
      <c r="E27" s="396"/>
      <c r="F27" s="396"/>
      <c r="G27" s="396"/>
      <c r="H27" s="396"/>
      <c r="I27" s="396"/>
      <c r="J27" s="396"/>
    </row>
  </sheetData>
  <mergeCells count="2">
    <mergeCell ref="A26:J26"/>
    <mergeCell ref="A27:J2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A1:L17"/>
  <sheetViews>
    <sheetView workbookViewId="0">
      <selection activeCell="A2" sqref="A2"/>
    </sheetView>
  </sheetViews>
  <sheetFormatPr baseColWidth="10" defaultColWidth="10.81640625" defaultRowHeight="12.5" x14ac:dyDescent="0.25"/>
  <cols>
    <col min="1" max="1" width="10.81640625" style="3"/>
    <col min="2" max="2" width="36.08984375" style="3" customWidth="1"/>
    <col min="3" max="5" width="11.453125" style="3" bestFit="1" customWidth="1"/>
    <col min="6" max="16384" width="10.81640625" style="3"/>
  </cols>
  <sheetData>
    <row r="1" spans="1:12" ht="14" x14ac:dyDescent="0.3">
      <c r="A1" s="198" t="s">
        <v>186</v>
      </c>
      <c r="B1" s="11"/>
      <c r="C1" s="11"/>
      <c r="D1" s="11"/>
      <c r="E1" s="11"/>
      <c r="F1" s="11"/>
      <c r="G1" s="11"/>
      <c r="H1" s="11"/>
      <c r="I1" s="11"/>
      <c r="J1" s="11"/>
      <c r="K1" s="11"/>
      <c r="L1" s="11"/>
    </row>
    <row r="3" spans="1:12" ht="13" x14ac:dyDescent="0.3">
      <c r="B3" s="271" t="s">
        <v>290</v>
      </c>
      <c r="C3" s="37">
        <v>2022</v>
      </c>
      <c r="D3" s="37">
        <v>2027</v>
      </c>
      <c r="E3" s="38">
        <v>2050</v>
      </c>
      <c r="F3" s="267" t="s">
        <v>289</v>
      </c>
    </row>
    <row r="4" spans="1:12" ht="25.5" x14ac:dyDescent="0.3">
      <c r="B4" s="268" t="s">
        <v>185</v>
      </c>
      <c r="C4" s="29">
        <f>'Modèle Emploi Ferroviaire'!$C$82</f>
        <v>35135.5</v>
      </c>
      <c r="D4" s="29">
        <f>'Modèle Emploi Ferroviaire'!$D$82</f>
        <v>45294.925565887897</v>
      </c>
      <c r="E4" s="140">
        <f>'Modèle Emploi Ferroviaire'!F82</f>
        <v>80611.837094153234</v>
      </c>
      <c r="F4" s="264">
        <f>E4-C4</f>
        <v>45476.337094153234</v>
      </c>
    </row>
    <row r="5" spans="1:12" ht="13" x14ac:dyDescent="0.3">
      <c r="B5" s="269" t="s">
        <v>221</v>
      </c>
      <c r="C5" s="265"/>
      <c r="D5" s="266">
        <f>(D4-$C4)/$C4</f>
        <v>0.2891498787803759</v>
      </c>
      <c r="E5" s="272">
        <f t="shared" ref="E5" si="0">(E4-$C4)/$C4</f>
        <v>1.2943130763516453</v>
      </c>
      <c r="F5" s="264"/>
    </row>
    <row r="6" spans="1:12" ht="13" x14ac:dyDescent="0.3">
      <c r="B6" s="39" t="s">
        <v>184</v>
      </c>
      <c r="C6" s="29">
        <f>'Modèle Emploi Aérien'!$C$64</f>
        <v>68664.518879415351</v>
      </c>
      <c r="D6" s="29">
        <f>'Modèle Emploi Aérien'!$D$64</f>
        <v>56459.249595980706</v>
      </c>
      <c r="E6" s="140">
        <f>'Modèle Emploi Aérien'!$F$64</f>
        <v>29307.350984907669</v>
      </c>
      <c r="F6" s="264">
        <f t="shared" ref="F6:F8" si="1">E6-C6</f>
        <v>-39357.167894507686</v>
      </c>
    </row>
    <row r="7" spans="1:12" ht="13" x14ac:dyDescent="0.3">
      <c r="B7" s="269" t="s">
        <v>221</v>
      </c>
      <c r="C7" s="265"/>
      <c r="D7" s="266">
        <f>(D6-$C6)/$C6</f>
        <v>-0.17775219986422439</v>
      </c>
      <c r="E7" s="272">
        <f t="shared" ref="E7" si="2">(E6-$C6)/$C6</f>
        <v>-0.57318056744305546</v>
      </c>
      <c r="F7" s="264"/>
    </row>
    <row r="8" spans="1:12" ht="13" x14ac:dyDescent="0.3">
      <c r="B8" s="126" t="s">
        <v>5</v>
      </c>
      <c r="C8" s="118">
        <f>SUM(C4,C6)</f>
        <v>103800.01887941535</v>
      </c>
      <c r="D8" s="118">
        <f t="shared" ref="D8:E8" si="3">SUM(D4,D6)</f>
        <v>101754.1751618686</v>
      </c>
      <c r="E8" s="121">
        <f t="shared" si="3"/>
        <v>109919.1880790609</v>
      </c>
      <c r="F8" s="264">
        <f t="shared" si="1"/>
        <v>6119.1691996455484</v>
      </c>
    </row>
    <row r="9" spans="1:12" ht="13" x14ac:dyDescent="0.3">
      <c r="B9" s="270" t="s">
        <v>221</v>
      </c>
      <c r="C9" s="273"/>
      <c r="D9" s="254">
        <f>(D8-$C8)/$C8</f>
        <v>-1.9709473462846044E-2</v>
      </c>
      <c r="E9" s="258">
        <f t="shared" ref="E9" si="4">(E8-$C8)/$C8</f>
        <v>5.8951522993017924E-2</v>
      </c>
      <c r="F9" s="264"/>
    </row>
    <row r="11" spans="1:12" ht="26" x14ac:dyDescent="0.3">
      <c r="B11" s="388" t="s">
        <v>343</v>
      </c>
      <c r="C11" s="37">
        <v>2022</v>
      </c>
      <c r="D11" s="37">
        <v>2027</v>
      </c>
      <c r="E11" s="38">
        <v>2050</v>
      </c>
      <c r="F11" s="267" t="s">
        <v>289</v>
      </c>
    </row>
    <row r="12" spans="1:12" ht="25.5" x14ac:dyDescent="0.3">
      <c r="B12" s="268" t="s">
        <v>185</v>
      </c>
      <c r="C12" s="389">
        <f>ROUND(C4,1-LOG(C4))</f>
        <v>35000</v>
      </c>
      <c r="D12" s="390">
        <f t="shared" ref="D12:E12" si="5">ROUND(D4,1-LOG(D4))</f>
        <v>45000</v>
      </c>
      <c r="E12" s="391">
        <f t="shared" si="5"/>
        <v>81000</v>
      </c>
      <c r="F12" s="264">
        <f>E12-C12</f>
        <v>46000</v>
      </c>
    </row>
    <row r="13" spans="1:12" ht="13" x14ac:dyDescent="0.3">
      <c r="B13" s="269"/>
      <c r="C13" s="392"/>
      <c r="D13" s="266"/>
      <c r="E13" s="272"/>
      <c r="F13" s="264"/>
    </row>
    <row r="14" spans="1:12" ht="13" x14ac:dyDescent="0.3">
      <c r="B14" s="39" t="s">
        <v>184</v>
      </c>
      <c r="C14" s="393">
        <f>ROUND(C6,1-LOG(C6))</f>
        <v>69000</v>
      </c>
      <c r="D14" s="29">
        <f t="shared" ref="D14:E14" si="6">ROUND(D6,1-LOG(D6))</f>
        <v>56000</v>
      </c>
      <c r="E14" s="140">
        <f t="shared" si="6"/>
        <v>29000</v>
      </c>
      <c r="F14" s="264">
        <f t="shared" ref="F14" si="7">E14-C14</f>
        <v>-40000</v>
      </c>
    </row>
    <row r="15" spans="1:12" ht="13" x14ac:dyDescent="0.3">
      <c r="B15" s="269"/>
      <c r="C15" s="392"/>
      <c r="D15" s="266"/>
      <c r="E15" s="272"/>
      <c r="F15" s="264"/>
    </row>
    <row r="16" spans="1:12" ht="13" x14ac:dyDescent="0.3">
      <c r="B16" s="126" t="s">
        <v>5</v>
      </c>
      <c r="C16" s="394">
        <f>ROUND(C8,1-LOG(C8))</f>
        <v>100000</v>
      </c>
      <c r="D16" s="118">
        <f t="shared" ref="D16:E16" si="8">ROUND(D8,1-LOG(D8))</f>
        <v>100000</v>
      </c>
      <c r="E16" s="121">
        <f t="shared" si="8"/>
        <v>110000</v>
      </c>
      <c r="F16" s="264">
        <f t="shared" ref="F16" si="9">E16-C16</f>
        <v>10000</v>
      </c>
    </row>
    <row r="17" spans="2:6" ht="13" x14ac:dyDescent="0.3">
      <c r="B17" s="270"/>
      <c r="C17" s="395"/>
      <c r="D17" s="254"/>
      <c r="E17" s="258"/>
      <c r="F17" s="264"/>
    </row>
  </sheetData>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1:AB120"/>
  <sheetViews>
    <sheetView zoomScaleNormal="74" workbookViewId="0">
      <selection activeCell="G121" sqref="G121"/>
    </sheetView>
  </sheetViews>
  <sheetFormatPr baseColWidth="10" defaultRowHeight="12.5" x14ac:dyDescent="0.25"/>
  <cols>
    <col min="1" max="1" width="8.6328125" style="3" customWidth="1"/>
    <col min="2" max="2" width="48.36328125" style="3" bestFit="1" customWidth="1"/>
    <col min="3" max="9" width="14.6328125" style="3" customWidth="1"/>
    <col min="10" max="10" width="17.453125" style="3" bestFit="1" customWidth="1"/>
    <col min="11" max="11" width="10.90625" style="3"/>
    <col min="12" max="13" width="14.08984375" style="3" customWidth="1"/>
    <col min="14" max="14" width="11" style="3" bestFit="1" customWidth="1"/>
    <col min="15" max="15" width="14.08984375" style="3" customWidth="1"/>
    <col min="16" max="16" width="11" style="3" bestFit="1" customWidth="1"/>
    <col min="17" max="17" width="13.90625" style="3" customWidth="1"/>
    <col min="18" max="18" width="11" style="3" bestFit="1" customWidth="1"/>
    <col min="19" max="20" width="10.90625" style="3"/>
    <col min="21" max="22" width="12.7265625" style="3" bestFit="1" customWidth="1"/>
    <col min="23" max="23" width="11" style="3" bestFit="1" customWidth="1"/>
    <col min="24" max="24" width="12.7265625" style="3" bestFit="1" customWidth="1"/>
    <col min="25" max="25" width="11" style="3" bestFit="1" customWidth="1"/>
    <col min="26" max="26" width="13.7265625" style="3" bestFit="1" customWidth="1"/>
    <col min="27" max="16384" width="10.90625" style="3"/>
  </cols>
  <sheetData>
    <row r="1" spans="1:28" ht="18" customHeight="1" x14ac:dyDescent="0.3">
      <c r="A1" s="42" t="s">
        <v>226</v>
      </c>
      <c r="B1" s="11"/>
      <c r="C1" s="11"/>
      <c r="D1" s="11"/>
      <c r="E1" s="11"/>
      <c r="F1" s="11"/>
      <c r="G1" s="11"/>
      <c r="H1" s="11"/>
      <c r="I1" s="11"/>
      <c r="J1" s="11"/>
      <c r="K1" s="11"/>
      <c r="L1" s="11"/>
    </row>
    <row r="2" spans="1:28" x14ac:dyDescent="0.25">
      <c r="B2" s="188"/>
      <c r="C2" s="188"/>
      <c r="K2" s="378"/>
      <c r="L2" s="378"/>
      <c r="M2" s="378"/>
      <c r="N2" s="378"/>
      <c r="O2" s="378"/>
      <c r="P2" s="378"/>
      <c r="Q2" s="378"/>
      <c r="R2" s="378"/>
      <c r="S2" s="378"/>
      <c r="T2" s="378"/>
      <c r="U2" s="378"/>
      <c r="V2" s="378"/>
      <c r="W2" s="378"/>
      <c r="X2" s="378"/>
      <c r="Y2" s="378"/>
      <c r="Z2" s="378"/>
      <c r="AA2" s="378"/>
      <c r="AB2" s="378"/>
    </row>
    <row r="3" spans="1:28" ht="25" x14ac:dyDescent="0.25">
      <c r="B3" s="114" t="s">
        <v>153</v>
      </c>
      <c r="C3" s="113">
        <v>2022</v>
      </c>
      <c r="D3" s="113">
        <v>2027</v>
      </c>
      <c r="E3" s="102" t="s">
        <v>217</v>
      </c>
      <c r="F3" s="113">
        <v>2037</v>
      </c>
      <c r="G3" s="102" t="s">
        <v>218</v>
      </c>
      <c r="H3" s="113">
        <v>2050</v>
      </c>
      <c r="I3" s="102" t="s">
        <v>219</v>
      </c>
      <c r="K3" s="380"/>
      <c r="L3" s="381"/>
      <c r="M3" s="381"/>
      <c r="N3" s="382"/>
      <c r="O3" s="381"/>
      <c r="P3" s="382"/>
      <c r="Q3" s="381"/>
      <c r="R3" s="382"/>
      <c r="S3" s="378"/>
      <c r="T3" s="380"/>
      <c r="U3" s="381"/>
      <c r="V3" s="381"/>
      <c r="W3" s="382"/>
      <c r="X3" s="381"/>
      <c r="Y3" s="382"/>
      <c r="Z3" s="381"/>
      <c r="AA3" s="382"/>
      <c r="AB3" s="378"/>
    </row>
    <row r="4" spans="1:28" ht="13" x14ac:dyDescent="0.3">
      <c r="B4" s="25" t="s">
        <v>154</v>
      </c>
      <c r="C4" s="105">
        <v>11104630</v>
      </c>
      <c r="D4" s="106">
        <v>11671078</v>
      </c>
      <c r="E4" s="107">
        <f>(D4-$C4)/$C4</f>
        <v>5.1010074176267017E-2</v>
      </c>
      <c r="F4" s="106">
        <v>12892131</v>
      </c>
      <c r="G4" s="107">
        <f>(F4-$C4)/$C4</f>
        <v>0.16096898320790518</v>
      </c>
      <c r="H4" s="106">
        <v>14672447</v>
      </c>
      <c r="I4" s="108">
        <f>(H4-$C4)/$C4</f>
        <v>0.32129093900472144</v>
      </c>
      <c r="K4" s="378"/>
      <c r="L4" s="378"/>
      <c r="M4" s="378"/>
      <c r="N4" s="379"/>
      <c r="O4" s="378"/>
      <c r="P4" s="379"/>
      <c r="Q4" s="378"/>
      <c r="R4" s="379"/>
      <c r="S4" s="378"/>
      <c r="T4" s="378"/>
      <c r="U4" s="378"/>
      <c r="V4" s="378"/>
      <c r="W4" s="378"/>
      <c r="X4" s="378"/>
      <c r="Y4" s="378"/>
      <c r="Z4" s="378"/>
      <c r="AA4" s="378"/>
      <c r="AB4" s="378"/>
    </row>
    <row r="5" spans="1:28" ht="13" x14ac:dyDescent="0.3">
      <c r="B5" s="25" t="s">
        <v>155</v>
      </c>
      <c r="C5" s="109">
        <v>90939967</v>
      </c>
      <c r="D5" s="12">
        <v>101053819</v>
      </c>
      <c r="E5" s="103">
        <f t="shared" ref="E5" si="0">(D5-$C5)/$C5</f>
        <v>0.11121459940710117</v>
      </c>
      <c r="F5" s="12">
        <v>122003478</v>
      </c>
      <c r="G5" s="103">
        <f t="shared" ref="G5:I9" si="1">(F5-$C5)/$C5</f>
        <v>0.34158260690813752</v>
      </c>
      <c r="H5" s="12">
        <v>146438156</v>
      </c>
      <c r="I5" s="34">
        <f t="shared" si="1"/>
        <v>0.61027280777438597</v>
      </c>
      <c r="K5" s="378"/>
      <c r="L5" s="378"/>
      <c r="M5" s="378"/>
      <c r="N5" s="379"/>
      <c r="O5" s="378"/>
      <c r="P5" s="379"/>
      <c r="Q5" s="378"/>
      <c r="R5" s="379"/>
      <c r="S5" s="378"/>
      <c r="T5" s="378"/>
      <c r="U5" s="378"/>
      <c r="V5" s="378"/>
      <c r="W5" s="378"/>
      <c r="X5" s="378"/>
      <c r="Y5" s="378"/>
      <c r="Z5" s="378"/>
      <c r="AA5" s="378"/>
      <c r="AB5" s="378"/>
    </row>
    <row r="6" spans="1:28" ht="13" x14ac:dyDescent="0.3">
      <c r="B6" s="25" t="s">
        <v>156</v>
      </c>
      <c r="C6" s="109">
        <v>22151216</v>
      </c>
      <c r="D6" s="12">
        <v>41531150</v>
      </c>
      <c r="E6" s="103">
        <f t="shared" ref="E6" si="2">(D6-$C6)/$C6</f>
        <v>0.87489255668853572</v>
      </c>
      <c r="F6" s="12">
        <v>80466874</v>
      </c>
      <c r="G6" s="103">
        <f t="shared" si="1"/>
        <v>2.6326165570323545</v>
      </c>
      <c r="H6" s="12">
        <v>118328201</v>
      </c>
      <c r="I6" s="34">
        <f t="shared" si="1"/>
        <v>4.3418377122050549</v>
      </c>
      <c r="K6" s="378"/>
      <c r="L6" s="378"/>
      <c r="M6" s="378"/>
      <c r="N6" s="379"/>
      <c r="O6" s="378"/>
      <c r="P6" s="379"/>
      <c r="Q6" s="378"/>
      <c r="R6" s="379"/>
      <c r="S6" s="378"/>
      <c r="T6" s="378"/>
      <c r="U6" s="378"/>
      <c r="V6" s="378"/>
      <c r="W6" s="378"/>
      <c r="X6" s="378"/>
      <c r="Y6" s="378"/>
      <c r="Z6" s="378"/>
      <c r="AA6" s="378"/>
      <c r="AB6" s="378"/>
    </row>
    <row r="7" spans="1:28" ht="13" x14ac:dyDescent="0.3">
      <c r="B7" s="25" t="s">
        <v>157</v>
      </c>
      <c r="C7" s="109">
        <v>19425545</v>
      </c>
      <c r="D7" s="12">
        <v>27716443</v>
      </c>
      <c r="E7" s="103">
        <f t="shared" ref="E7" si="3">(D7-$C7)/$C7</f>
        <v>0.42680388117810852</v>
      </c>
      <c r="F7" s="12">
        <v>37152454</v>
      </c>
      <c r="G7" s="103">
        <f t="shared" si="1"/>
        <v>0.91255658464151201</v>
      </c>
      <c r="H7" s="12">
        <v>46106797</v>
      </c>
      <c r="I7" s="34">
        <f t="shared" si="1"/>
        <v>1.3735136903494858</v>
      </c>
      <c r="K7" s="378"/>
      <c r="L7" s="378"/>
      <c r="M7" s="378"/>
      <c r="N7" s="379"/>
      <c r="O7" s="378"/>
      <c r="P7" s="379"/>
      <c r="Q7" s="378"/>
      <c r="R7" s="379"/>
      <c r="S7" s="378"/>
      <c r="T7" s="378"/>
      <c r="U7" s="378"/>
      <c r="V7" s="378"/>
      <c r="W7" s="378"/>
      <c r="X7" s="378"/>
      <c r="Y7" s="378"/>
      <c r="Z7" s="378"/>
      <c r="AA7" s="378"/>
      <c r="AB7" s="378"/>
    </row>
    <row r="8" spans="1:28" ht="13" x14ac:dyDescent="0.3">
      <c r="B8" s="25" t="s">
        <v>158</v>
      </c>
      <c r="C8" s="109">
        <v>1074006</v>
      </c>
      <c r="D8" s="12">
        <v>9158792</v>
      </c>
      <c r="E8" s="103">
        <f t="shared" ref="E8" si="4">(D8-$C8)/$C8</f>
        <v>7.5276916516295067</v>
      </c>
      <c r="F8" s="12">
        <v>25336888</v>
      </c>
      <c r="G8" s="103">
        <f t="shared" si="1"/>
        <v>22.591011595838385</v>
      </c>
      <c r="H8" s="12">
        <v>32225075</v>
      </c>
      <c r="I8" s="34">
        <f t="shared" si="1"/>
        <v>29.004557702657156</v>
      </c>
      <c r="K8" s="378"/>
      <c r="L8" s="378"/>
      <c r="M8" s="378"/>
      <c r="N8" s="379"/>
      <c r="O8" s="378"/>
      <c r="P8" s="379"/>
      <c r="Q8" s="378"/>
      <c r="R8" s="379"/>
      <c r="S8" s="378"/>
      <c r="T8" s="378"/>
      <c r="U8" s="378"/>
      <c r="V8" s="378"/>
      <c r="W8" s="378"/>
      <c r="X8" s="378"/>
      <c r="Y8" s="378"/>
      <c r="Z8" s="378"/>
      <c r="AA8" s="378"/>
      <c r="AB8" s="378"/>
    </row>
    <row r="9" spans="1:28" ht="13" x14ac:dyDescent="0.3">
      <c r="B9" s="80" t="s">
        <v>159</v>
      </c>
      <c r="C9" s="110">
        <f>SUM(C4:C8)</f>
        <v>144695364</v>
      </c>
      <c r="D9" s="19">
        <f t="shared" ref="D9:H9" si="5">SUM(D4:D8)</f>
        <v>191131282</v>
      </c>
      <c r="E9" s="104">
        <f t="shared" ref="E9" si="6">(D9-$C9)/$C9</f>
        <v>0.32092194743709962</v>
      </c>
      <c r="F9" s="19">
        <f t="shared" si="5"/>
        <v>277851825</v>
      </c>
      <c r="G9" s="104">
        <f t="shared" si="1"/>
        <v>0.92025381683963281</v>
      </c>
      <c r="H9" s="19">
        <f t="shared" si="5"/>
        <v>357770676</v>
      </c>
      <c r="I9" s="35">
        <f t="shared" si="1"/>
        <v>1.4725787068063909</v>
      </c>
      <c r="K9" s="45"/>
      <c r="L9" s="45"/>
      <c r="M9" s="45"/>
      <c r="N9" s="45"/>
      <c r="O9" s="45"/>
      <c r="P9" s="45"/>
      <c r="Q9" s="45"/>
      <c r="R9" s="45"/>
      <c r="S9" s="378"/>
      <c r="T9" s="45"/>
      <c r="U9" s="378"/>
      <c r="V9" s="378"/>
      <c r="W9" s="378"/>
      <c r="X9" s="378"/>
      <c r="Y9" s="378"/>
      <c r="Z9" s="378"/>
      <c r="AA9" s="378"/>
      <c r="AB9" s="378"/>
    </row>
    <row r="10" spans="1:28" ht="13" x14ac:dyDescent="0.3">
      <c r="B10" s="25" t="s">
        <v>160</v>
      </c>
      <c r="C10" s="109">
        <v>0</v>
      </c>
      <c r="D10" s="12">
        <v>0</v>
      </c>
      <c r="E10" s="103" t="s">
        <v>204</v>
      </c>
      <c r="F10" s="12">
        <v>0</v>
      </c>
      <c r="G10" s="103" t="s">
        <v>204</v>
      </c>
      <c r="H10" s="12">
        <v>0</v>
      </c>
      <c r="I10" s="34" t="s">
        <v>204</v>
      </c>
      <c r="K10" s="378"/>
      <c r="L10" s="378"/>
      <c r="M10" s="378"/>
      <c r="N10" s="379"/>
      <c r="O10" s="378"/>
      <c r="P10" s="379"/>
      <c r="Q10" s="378"/>
      <c r="R10" s="379"/>
      <c r="S10" s="378"/>
      <c r="T10" s="378"/>
      <c r="U10" s="378"/>
      <c r="V10" s="378"/>
      <c r="W10" s="378"/>
      <c r="X10" s="378"/>
      <c r="Y10" s="378"/>
      <c r="Z10" s="378"/>
      <c r="AA10" s="378"/>
      <c r="AB10" s="378"/>
    </row>
    <row r="11" spans="1:28" ht="13" x14ac:dyDescent="0.3">
      <c r="B11" s="25" t="s">
        <v>161</v>
      </c>
      <c r="C11" s="109">
        <v>0</v>
      </c>
      <c r="D11" s="12">
        <v>10950000</v>
      </c>
      <c r="E11" s="103" t="s">
        <v>204</v>
      </c>
      <c r="F11" s="12">
        <v>21900000</v>
      </c>
      <c r="G11" s="103" t="s">
        <v>204</v>
      </c>
      <c r="H11" s="12">
        <v>30660000</v>
      </c>
      <c r="I11" s="34" t="s">
        <v>204</v>
      </c>
      <c r="K11" s="378"/>
      <c r="L11" s="378"/>
      <c r="M11" s="378"/>
      <c r="N11" s="379"/>
      <c r="O11" s="378"/>
      <c r="P11" s="379"/>
      <c r="Q11" s="378"/>
      <c r="R11" s="379"/>
      <c r="S11" s="378"/>
      <c r="T11" s="378"/>
      <c r="U11" s="378"/>
      <c r="V11" s="378"/>
      <c r="W11" s="378"/>
      <c r="X11" s="378"/>
      <c r="Y11" s="378"/>
      <c r="Z11" s="378"/>
      <c r="AA11" s="378"/>
      <c r="AB11" s="378"/>
    </row>
    <row r="12" spans="1:28" ht="13" x14ac:dyDescent="0.3">
      <c r="B12" s="25" t="s">
        <v>132</v>
      </c>
      <c r="C12" s="109">
        <v>84758446</v>
      </c>
      <c r="D12" s="12">
        <v>89081978</v>
      </c>
      <c r="E12" s="103">
        <f t="shared" ref="E12" si="7">(D12-$C12)/$C12</f>
        <v>5.1010043294092484E-2</v>
      </c>
      <c r="F12" s="12">
        <v>98401924</v>
      </c>
      <c r="G12" s="103">
        <f t="shared" ref="G12:I14" si="8">(F12-$C12)/$C12</f>
        <v>0.16096894933632927</v>
      </c>
      <c r="H12" s="12">
        <v>111990568</v>
      </c>
      <c r="I12" s="34">
        <f t="shared" si="8"/>
        <v>0.32129095429616539</v>
      </c>
      <c r="K12" s="378"/>
      <c r="L12" s="378"/>
      <c r="M12" s="378"/>
      <c r="N12" s="379"/>
      <c r="O12" s="378"/>
      <c r="P12" s="379"/>
      <c r="Q12" s="378"/>
      <c r="R12" s="379"/>
      <c r="S12" s="378"/>
      <c r="T12" s="378"/>
      <c r="U12" s="378"/>
      <c r="V12" s="378"/>
      <c r="W12" s="378"/>
      <c r="X12" s="378"/>
      <c r="Y12" s="378"/>
      <c r="Z12" s="378"/>
      <c r="AA12" s="378"/>
      <c r="AB12" s="378"/>
    </row>
    <row r="13" spans="1:28" ht="13" x14ac:dyDescent="0.3">
      <c r="B13" s="80" t="s">
        <v>162</v>
      </c>
      <c r="C13" s="110">
        <f>SUM(C11:C12)</f>
        <v>84758446</v>
      </c>
      <c r="D13" s="19">
        <f t="shared" ref="D13:H13" si="9">SUM(D11:D12)</f>
        <v>100031978</v>
      </c>
      <c r="E13" s="104">
        <f t="shared" ref="E13" si="10">(D13-$C13)/$C13</f>
        <v>0.1802007082574402</v>
      </c>
      <c r="F13" s="19">
        <f t="shared" si="9"/>
        <v>120301924</v>
      </c>
      <c r="G13" s="104">
        <f t="shared" si="8"/>
        <v>0.41935027926302471</v>
      </c>
      <c r="H13" s="19">
        <f t="shared" si="9"/>
        <v>142650568</v>
      </c>
      <c r="I13" s="35">
        <f t="shared" si="8"/>
        <v>0.68302481619353894</v>
      </c>
      <c r="K13" s="45"/>
      <c r="L13" s="45"/>
      <c r="M13" s="45"/>
      <c r="N13" s="45"/>
      <c r="O13" s="45"/>
      <c r="P13" s="45"/>
      <c r="Q13" s="45"/>
      <c r="R13" s="45"/>
      <c r="S13" s="378"/>
      <c r="T13" s="45"/>
      <c r="U13" s="378"/>
      <c r="V13" s="378"/>
      <c r="W13" s="378"/>
      <c r="X13" s="378"/>
      <c r="Y13" s="378"/>
      <c r="Z13" s="378"/>
      <c r="AA13" s="378"/>
      <c r="AB13" s="378"/>
    </row>
    <row r="14" spans="1:28" ht="13" x14ac:dyDescent="0.3">
      <c r="B14" s="101" t="s">
        <v>5</v>
      </c>
      <c r="C14" s="111">
        <f>SUM(C9,C13)</f>
        <v>229453810</v>
      </c>
      <c r="D14" s="33">
        <f t="shared" ref="D14:H14" si="11">SUM(D9,D13)</f>
        <v>291163260</v>
      </c>
      <c r="E14" s="112">
        <f t="shared" ref="E14" si="12">(D14-$C14)/$C14</f>
        <v>0.26894062033661592</v>
      </c>
      <c r="F14" s="33">
        <f t="shared" si="11"/>
        <v>398153749</v>
      </c>
      <c r="G14" s="112">
        <f t="shared" si="8"/>
        <v>0.73522396076142738</v>
      </c>
      <c r="H14" s="33">
        <f t="shared" si="11"/>
        <v>500421244</v>
      </c>
      <c r="I14" s="36">
        <f t="shared" si="8"/>
        <v>1.1809236638955789</v>
      </c>
      <c r="K14" s="383"/>
      <c r="L14" s="383"/>
      <c r="M14" s="383"/>
      <c r="N14" s="45"/>
      <c r="O14" s="383"/>
      <c r="P14" s="45"/>
      <c r="Q14" s="383"/>
      <c r="R14" s="45"/>
      <c r="S14" s="378"/>
      <c r="T14" s="383"/>
      <c r="U14" s="383"/>
      <c r="V14" s="383"/>
      <c r="W14" s="383"/>
      <c r="X14" s="383"/>
      <c r="Y14" s="383"/>
      <c r="Z14" s="383"/>
      <c r="AA14" s="383"/>
      <c r="AB14" s="378"/>
    </row>
    <row r="15" spans="1:28" x14ac:dyDescent="0.25">
      <c r="F15" s="41"/>
    </row>
    <row r="16" spans="1:28" ht="18" customHeight="1" x14ac:dyDescent="0.3">
      <c r="A16" s="42" t="s">
        <v>211</v>
      </c>
      <c r="B16" s="11"/>
      <c r="C16" s="11"/>
      <c r="D16" s="11"/>
      <c r="E16" s="11"/>
      <c r="F16" s="11"/>
      <c r="G16" s="11"/>
      <c r="H16" s="11"/>
      <c r="I16" s="11"/>
      <c r="J16" s="11"/>
      <c r="K16" s="11"/>
      <c r="L16" s="11"/>
    </row>
    <row r="17" spans="1:12" ht="13" x14ac:dyDescent="0.3">
      <c r="A17" s="14" t="s">
        <v>206</v>
      </c>
    </row>
    <row r="18" spans="1:12" ht="107.5" customHeight="1" x14ac:dyDescent="0.25">
      <c r="A18" s="397" t="s">
        <v>337</v>
      </c>
      <c r="B18" s="398"/>
      <c r="C18" s="398"/>
      <c r="D18" s="398"/>
      <c r="E18" s="398"/>
      <c r="F18" s="398"/>
      <c r="G18" s="398"/>
    </row>
    <row r="19" spans="1:12" ht="13" x14ac:dyDescent="0.25">
      <c r="A19" s="64"/>
      <c r="B19" s="65"/>
      <c r="C19" s="65"/>
      <c r="D19" s="65"/>
      <c r="E19" s="65"/>
      <c r="F19" s="65"/>
      <c r="G19" s="65"/>
    </row>
    <row r="20" spans="1:12" ht="13" x14ac:dyDescent="0.25">
      <c r="A20" s="63" t="s">
        <v>212</v>
      </c>
      <c r="B20" s="63"/>
      <c r="C20" s="63"/>
      <c r="D20" s="63"/>
      <c r="E20" s="63"/>
      <c r="F20" s="63"/>
      <c r="G20" s="63"/>
      <c r="H20" s="63"/>
      <c r="I20" s="63"/>
      <c r="J20" s="63"/>
      <c r="K20" s="63"/>
      <c r="L20" s="63"/>
    </row>
    <row r="21" spans="1:12" ht="13" x14ac:dyDescent="0.3">
      <c r="A21" s="13"/>
      <c r="B21" s="14"/>
      <c r="C21" s="14"/>
      <c r="D21" s="14"/>
      <c r="E21" s="14"/>
      <c r="F21" s="14"/>
      <c r="G21" s="14"/>
      <c r="H21" s="14"/>
    </row>
    <row r="22" spans="1:12" ht="13" x14ac:dyDescent="0.3">
      <c r="A22" s="13" t="s">
        <v>209</v>
      </c>
      <c r="B22" s="14"/>
      <c r="C22" s="14"/>
      <c r="D22" s="14"/>
      <c r="E22" s="14"/>
      <c r="F22" s="14"/>
      <c r="G22" s="14"/>
      <c r="H22" s="14"/>
    </row>
    <row r="23" spans="1:12" x14ac:dyDescent="0.25">
      <c r="B23" s="14"/>
      <c r="C23" s="14"/>
      <c r="D23" s="14"/>
      <c r="E23" s="14"/>
      <c r="F23" s="14"/>
      <c r="G23" s="14"/>
      <c r="H23" s="14"/>
    </row>
    <row r="24" spans="1:12" ht="13" x14ac:dyDescent="0.3">
      <c r="A24" s="15"/>
      <c r="B24" s="47" t="s">
        <v>124</v>
      </c>
      <c r="C24" s="48" t="s">
        <v>125</v>
      </c>
      <c r="D24" s="48" t="s">
        <v>126</v>
      </c>
      <c r="E24" s="49" t="s">
        <v>210</v>
      </c>
    </row>
    <row r="25" spans="1:12" ht="34.5" x14ac:dyDescent="0.25">
      <c r="A25" s="14"/>
      <c r="B25" s="50" t="s">
        <v>127</v>
      </c>
      <c r="C25" s="51">
        <v>57603</v>
      </c>
      <c r="D25" s="52" t="s">
        <v>128</v>
      </c>
      <c r="E25" s="46" t="s">
        <v>207</v>
      </c>
    </row>
    <row r="26" spans="1:12" ht="34.5" x14ac:dyDescent="0.25">
      <c r="A26" s="14"/>
      <c r="B26" s="50" t="s">
        <v>129</v>
      </c>
      <c r="C26" s="51">
        <v>4937</v>
      </c>
      <c r="D26" s="52" t="s">
        <v>128</v>
      </c>
      <c r="E26" s="46" t="s">
        <v>130</v>
      </c>
    </row>
    <row r="27" spans="1:12" ht="34.5" x14ac:dyDescent="0.25">
      <c r="A27" s="14"/>
      <c r="B27" s="50" t="s">
        <v>131</v>
      </c>
      <c r="C27" s="51">
        <v>14458</v>
      </c>
      <c r="D27" s="52" t="s">
        <v>128</v>
      </c>
      <c r="E27" s="46"/>
    </row>
    <row r="28" spans="1:12" ht="34.5" x14ac:dyDescent="0.25">
      <c r="A28" s="14"/>
      <c r="B28" s="50" t="s">
        <v>132</v>
      </c>
      <c r="C28" s="51">
        <v>28440</v>
      </c>
      <c r="D28" s="52" t="s">
        <v>128</v>
      </c>
      <c r="E28" s="46"/>
    </row>
    <row r="29" spans="1:12" ht="34.5" x14ac:dyDescent="0.25">
      <c r="A29" s="14"/>
      <c r="B29" s="50" t="s">
        <v>133</v>
      </c>
      <c r="C29" s="51">
        <v>23445</v>
      </c>
      <c r="D29" s="52" t="s">
        <v>128</v>
      </c>
      <c r="E29" s="46"/>
    </row>
    <row r="30" spans="1:12" ht="34.5" x14ac:dyDescent="0.25">
      <c r="A30" s="14"/>
      <c r="B30" s="50" t="s">
        <v>134</v>
      </c>
      <c r="C30" s="51">
        <v>10972</v>
      </c>
      <c r="D30" s="52" t="s">
        <v>128</v>
      </c>
      <c r="E30" s="46" t="s">
        <v>208</v>
      </c>
    </row>
    <row r="31" spans="1:12" ht="34.5" x14ac:dyDescent="0.25">
      <c r="A31" s="14"/>
      <c r="B31" s="53" t="s">
        <v>135</v>
      </c>
      <c r="C31" s="54">
        <v>466</v>
      </c>
      <c r="D31" s="52" t="s">
        <v>128</v>
      </c>
      <c r="E31" s="46"/>
    </row>
    <row r="32" spans="1:12" ht="19" customHeight="1" x14ac:dyDescent="0.25">
      <c r="A32" s="14"/>
      <c r="B32" s="59" t="s">
        <v>136</v>
      </c>
      <c r="C32" s="60">
        <f>SUM(C25:C31)</f>
        <v>140321</v>
      </c>
      <c r="D32" s="52"/>
      <c r="E32" s="46"/>
    </row>
    <row r="33" spans="1:12" x14ac:dyDescent="0.25">
      <c r="A33" s="14"/>
      <c r="B33" s="53" t="s">
        <v>137</v>
      </c>
      <c r="C33" s="54">
        <v>68833</v>
      </c>
      <c r="D33" s="52" t="s">
        <v>138</v>
      </c>
      <c r="E33" s="46"/>
    </row>
    <row r="34" spans="1:12" x14ac:dyDescent="0.25">
      <c r="A34" s="14"/>
      <c r="B34" s="53" t="s">
        <v>139</v>
      </c>
      <c r="C34" s="54">
        <v>41038</v>
      </c>
      <c r="D34" s="52" t="s">
        <v>140</v>
      </c>
      <c r="E34" s="46"/>
    </row>
    <row r="35" spans="1:12" x14ac:dyDescent="0.25">
      <c r="A35" s="14"/>
      <c r="B35" s="50" t="s">
        <v>141</v>
      </c>
      <c r="C35" s="51">
        <v>9443</v>
      </c>
      <c r="D35" s="52" t="s">
        <v>142</v>
      </c>
      <c r="E35" s="46"/>
    </row>
    <row r="36" spans="1:12" x14ac:dyDescent="0.25">
      <c r="A36" s="14"/>
      <c r="B36" s="50" t="s">
        <v>143</v>
      </c>
      <c r="C36" s="51">
        <v>786</v>
      </c>
      <c r="D36" s="52" t="s">
        <v>142</v>
      </c>
      <c r="E36" s="46"/>
    </row>
    <row r="37" spans="1:12" ht="23" x14ac:dyDescent="0.25">
      <c r="A37" s="14"/>
      <c r="B37" s="50" t="s">
        <v>144</v>
      </c>
      <c r="C37" s="51">
        <v>1585</v>
      </c>
      <c r="D37" s="52" t="s">
        <v>145</v>
      </c>
      <c r="E37" s="46"/>
    </row>
    <row r="38" spans="1:12" ht="23" x14ac:dyDescent="0.25">
      <c r="A38" s="14"/>
      <c r="B38" s="50" t="s">
        <v>146</v>
      </c>
      <c r="C38" s="51">
        <v>9504</v>
      </c>
      <c r="D38" s="52" t="s">
        <v>147</v>
      </c>
      <c r="E38" s="46"/>
    </row>
    <row r="39" spans="1:12" ht="13" x14ac:dyDescent="0.25">
      <c r="A39" s="14"/>
      <c r="B39" s="61" t="s">
        <v>5</v>
      </c>
      <c r="C39" s="62">
        <f>+SUM(C25:C31,C33:C38)</f>
        <v>271510</v>
      </c>
      <c r="D39" s="52"/>
      <c r="E39" s="46"/>
    </row>
    <row r="40" spans="1:12" ht="13" x14ac:dyDescent="0.25">
      <c r="A40" s="14"/>
      <c r="B40" s="55" t="s">
        <v>148</v>
      </c>
      <c r="C40" s="56">
        <f>$C$39-SUM(C33:C34)</f>
        <v>161639</v>
      </c>
      <c r="D40" s="57" t="s">
        <v>149</v>
      </c>
      <c r="E40" s="58"/>
    </row>
    <row r="42" spans="1:12" ht="13" x14ac:dyDescent="0.25">
      <c r="A42" s="63" t="s">
        <v>213</v>
      </c>
      <c r="B42" s="63"/>
      <c r="C42" s="63"/>
      <c r="D42" s="63"/>
      <c r="E42" s="63"/>
      <c r="F42" s="63"/>
      <c r="G42" s="63"/>
      <c r="H42" s="63"/>
      <c r="I42" s="63"/>
      <c r="J42" s="63"/>
      <c r="K42" s="63"/>
      <c r="L42" s="63"/>
    </row>
    <row r="43" spans="1:12" customFormat="1" ht="14.5" x14ac:dyDescent="0.35"/>
    <row r="44" spans="1:12" ht="13" x14ac:dyDescent="0.3">
      <c r="A44" s="21" t="s">
        <v>187</v>
      </c>
      <c r="C44" s="22"/>
      <c r="D44" s="22"/>
      <c r="E44" s="22"/>
      <c r="F44" s="22"/>
    </row>
    <row r="45" spans="1:12" x14ac:dyDescent="0.25">
      <c r="B45" s="23" t="s">
        <v>131</v>
      </c>
      <c r="C45" s="66">
        <v>0.3</v>
      </c>
      <c r="D45" s="24"/>
      <c r="E45" s="24"/>
      <c r="F45" s="24"/>
    </row>
    <row r="46" spans="1:12" x14ac:dyDescent="0.25">
      <c r="B46" s="25" t="s">
        <v>132</v>
      </c>
      <c r="C46" s="67">
        <v>0.3</v>
      </c>
      <c r="D46" s="24"/>
      <c r="E46" s="24"/>
      <c r="F46" s="24"/>
    </row>
    <row r="47" spans="1:12" x14ac:dyDescent="0.25">
      <c r="B47" s="26" t="s">
        <v>150</v>
      </c>
      <c r="C47" s="68">
        <v>0.3</v>
      </c>
      <c r="D47" s="18"/>
      <c r="E47" s="18"/>
      <c r="F47" s="18"/>
    </row>
    <row r="48" spans="1:12" x14ac:dyDescent="0.25">
      <c r="B48" s="27" t="s">
        <v>151</v>
      </c>
      <c r="C48" s="69">
        <v>0.1</v>
      </c>
      <c r="D48" s="24"/>
      <c r="E48" s="24"/>
      <c r="F48" s="24"/>
    </row>
    <row r="49" spans="1:8" x14ac:dyDescent="0.25">
      <c r="B49" s="14"/>
      <c r="C49" s="28"/>
      <c r="D49" s="24"/>
      <c r="E49" s="24"/>
      <c r="F49" s="24"/>
    </row>
    <row r="50" spans="1:8" ht="68.5" customHeight="1" x14ac:dyDescent="0.3">
      <c r="A50" s="15"/>
      <c r="B50" s="89" t="s">
        <v>124</v>
      </c>
      <c r="C50" s="90" t="s">
        <v>125</v>
      </c>
      <c r="D50" s="90" t="s">
        <v>214</v>
      </c>
      <c r="E50" s="91" t="s">
        <v>215</v>
      </c>
      <c r="F50" s="13"/>
      <c r="G50" s="13"/>
      <c r="H50" s="13"/>
    </row>
    <row r="51" spans="1:8" x14ac:dyDescent="0.25">
      <c r="A51" s="14"/>
      <c r="B51" s="39" t="s">
        <v>127</v>
      </c>
      <c r="C51" s="70">
        <v>57603</v>
      </c>
      <c r="D51" s="72">
        <v>0</v>
      </c>
      <c r="E51" s="78">
        <f>C51*D51</f>
        <v>0</v>
      </c>
      <c r="F51" s="378"/>
      <c r="G51" s="14"/>
      <c r="H51" s="74"/>
    </row>
    <row r="52" spans="1:8" x14ac:dyDescent="0.25">
      <c r="A52" s="14"/>
      <c r="B52" s="39" t="s">
        <v>129</v>
      </c>
      <c r="C52" s="70">
        <v>4937</v>
      </c>
      <c r="D52" s="72">
        <v>0</v>
      </c>
      <c r="E52" s="78">
        <f t="shared" ref="E52:E57" si="13">C52*D52</f>
        <v>0</v>
      </c>
      <c r="F52" s="16"/>
      <c r="G52" s="14"/>
      <c r="H52" s="74"/>
    </row>
    <row r="53" spans="1:8" x14ac:dyDescent="0.25">
      <c r="A53" s="14"/>
      <c r="B53" s="39" t="s">
        <v>131</v>
      </c>
      <c r="C53" s="70">
        <v>14458</v>
      </c>
      <c r="D53" s="72">
        <v>0</v>
      </c>
      <c r="E53" s="78">
        <f t="shared" si="13"/>
        <v>0</v>
      </c>
      <c r="F53" s="16"/>
      <c r="G53" s="14"/>
      <c r="H53" s="74"/>
    </row>
    <row r="54" spans="1:8" x14ac:dyDescent="0.25">
      <c r="A54" s="14"/>
      <c r="B54" s="39" t="s">
        <v>132</v>
      </c>
      <c r="C54" s="70">
        <v>28440</v>
      </c>
      <c r="D54" s="72">
        <v>0.25</v>
      </c>
      <c r="E54" s="78">
        <f t="shared" si="13"/>
        <v>7110</v>
      </c>
      <c r="F54" s="16"/>
      <c r="G54" s="14"/>
      <c r="H54" s="74"/>
    </row>
    <row r="55" spans="1:8" x14ac:dyDescent="0.25">
      <c r="A55" s="14"/>
      <c r="B55" s="39" t="s">
        <v>133</v>
      </c>
      <c r="C55" s="70">
        <v>23445</v>
      </c>
      <c r="D55" s="72">
        <v>1</v>
      </c>
      <c r="E55" s="78">
        <f t="shared" si="13"/>
        <v>23445</v>
      </c>
      <c r="F55" s="16"/>
      <c r="G55" s="14"/>
      <c r="H55" s="74"/>
    </row>
    <row r="56" spans="1:8" x14ac:dyDescent="0.25">
      <c r="A56" s="14"/>
      <c r="B56" s="39" t="s">
        <v>134</v>
      </c>
      <c r="C56" s="70">
        <v>10972</v>
      </c>
      <c r="D56" s="28" cm="1">
        <f t="array" ref="D56">D53*part_dir_indus_trans+D54*part_dir_indus_ter+D55*part_dir_indus_gl+(D61+D62)*part_dir_indus_fret</f>
        <v>0.375</v>
      </c>
      <c r="E56" s="78">
        <f t="shared" si="13"/>
        <v>4114.5</v>
      </c>
      <c r="F56" s="16"/>
      <c r="G56" s="14"/>
      <c r="H56" s="74"/>
    </row>
    <row r="57" spans="1:8" x14ac:dyDescent="0.25">
      <c r="A57" s="14"/>
      <c r="B57" s="85" t="s">
        <v>135</v>
      </c>
      <c r="C57" s="71">
        <v>466</v>
      </c>
      <c r="D57" s="72">
        <v>1</v>
      </c>
      <c r="E57" s="78">
        <f t="shared" si="13"/>
        <v>466</v>
      </c>
      <c r="F57" s="17"/>
      <c r="G57" s="14"/>
      <c r="H57" s="74"/>
    </row>
    <row r="58" spans="1:8" ht="13" x14ac:dyDescent="0.3">
      <c r="A58" s="14"/>
      <c r="B58" s="86" t="s">
        <v>136</v>
      </c>
      <c r="C58" s="43">
        <f>SUM(C51:C57)</f>
        <v>140321</v>
      </c>
      <c r="D58" s="44">
        <f>E58/C58</f>
        <v>0.25039374006741683</v>
      </c>
      <c r="E58" s="79">
        <f>SUM(E51:E57)</f>
        <v>35135.5</v>
      </c>
      <c r="F58" s="45"/>
      <c r="G58" s="14"/>
      <c r="H58" s="74"/>
    </row>
    <row r="59" spans="1:8" x14ac:dyDescent="0.25">
      <c r="A59" s="14"/>
      <c r="B59" s="85" t="s">
        <v>137</v>
      </c>
      <c r="C59" s="71">
        <v>68833</v>
      </c>
      <c r="D59" s="73">
        <v>0</v>
      </c>
      <c r="E59" s="78">
        <f t="shared" ref="E59:E64" si="14">C59*D59</f>
        <v>0</v>
      </c>
      <c r="F59" s="16"/>
      <c r="G59" s="14"/>
      <c r="H59" s="74"/>
    </row>
    <row r="60" spans="1:8" x14ac:dyDescent="0.25">
      <c r="A60" s="14"/>
      <c r="B60" s="85" t="s">
        <v>139</v>
      </c>
      <c r="C60" s="71">
        <v>41038</v>
      </c>
      <c r="D60" s="73">
        <v>0</v>
      </c>
      <c r="E60" s="78">
        <f t="shared" si="14"/>
        <v>0</v>
      </c>
      <c r="F60" s="16"/>
      <c r="G60" s="14"/>
      <c r="H60" s="74"/>
    </row>
    <row r="61" spans="1:8" x14ac:dyDescent="0.25">
      <c r="A61" s="14"/>
      <c r="B61" s="39" t="s">
        <v>141</v>
      </c>
      <c r="C61" s="70">
        <v>9443</v>
      </c>
      <c r="D61" s="73">
        <v>0</v>
      </c>
      <c r="E61" s="78">
        <f t="shared" si="14"/>
        <v>0</v>
      </c>
      <c r="F61" s="16"/>
      <c r="G61" s="14"/>
      <c r="H61" s="74"/>
    </row>
    <row r="62" spans="1:8" x14ac:dyDescent="0.25">
      <c r="A62" s="14"/>
      <c r="B62" s="39" t="s">
        <v>143</v>
      </c>
      <c r="C62" s="70">
        <v>786</v>
      </c>
      <c r="D62" s="73">
        <v>0</v>
      </c>
      <c r="E62" s="78">
        <f t="shared" si="14"/>
        <v>0</v>
      </c>
      <c r="F62" s="16"/>
      <c r="G62" s="14"/>
      <c r="H62" s="74"/>
    </row>
    <row r="63" spans="1:8" x14ac:dyDescent="0.25">
      <c r="A63" s="14"/>
      <c r="B63" s="39" t="s">
        <v>144</v>
      </c>
      <c r="C63" s="70">
        <v>1585</v>
      </c>
      <c r="D63" s="73">
        <v>0</v>
      </c>
      <c r="E63" s="78">
        <f t="shared" si="14"/>
        <v>0</v>
      </c>
      <c r="F63" s="16"/>
      <c r="G63" s="14"/>
      <c r="H63" s="74"/>
    </row>
    <row r="64" spans="1:8" x14ac:dyDescent="0.25">
      <c r="A64" s="14"/>
      <c r="B64" s="39" t="s">
        <v>146</v>
      </c>
      <c r="C64" s="70">
        <v>9504</v>
      </c>
      <c r="D64" s="73">
        <v>0</v>
      </c>
      <c r="E64" s="78">
        <f t="shared" si="14"/>
        <v>0</v>
      </c>
      <c r="F64" s="16"/>
      <c r="G64" s="14"/>
      <c r="H64" s="74"/>
    </row>
    <row r="65" spans="1:12" ht="13" x14ac:dyDescent="0.3">
      <c r="A65" s="14"/>
      <c r="B65" s="40" t="s">
        <v>5</v>
      </c>
      <c r="C65" s="19">
        <f>+SUM(C51:C57,C59:C64)</f>
        <v>271510</v>
      </c>
      <c r="D65" s="20">
        <f>E65/C65</f>
        <v>0.12940775662038231</v>
      </c>
      <c r="E65" s="81">
        <f>+SUM(E51:E57,E59:E64)</f>
        <v>35135.5</v>
      </c>
      <c r="F65" s="19"/>
      <c r="G65" s="14"/>
      <c r="H65" s="74"/>
    </row>
    <row r="66" spans="1:12" ht="13" x14ac:dyDescent="0.3">
      <c r="A66" s="14"/>
      <c r="B66" s="87" t="s">
        <v>148</v>
      </c>
      <c r="C66" s="82">
        <f>$C$39-SUM(C59:C60)</f>
        <v>161639</v>
      </c>
      <c r="D66" s="83">
        <v>0</v>
      </c>
      <c r="E66" s="84">
        <f t="shared" ref="E66" si="15">C66*D66</f>
        <v>0</v>
      </c>
      <c r="F66" s="16"/>
      <c r="G66" s="14"/>
      <c r="H66" s="74"/>
    </row>
    <row r="68" spans="1:12" ht="13" x14ac:dyDescent="0.3">
      <c r="A68" s="13" t="s">
        <v>216</v>
      </c>
      <c r="B68" s="14"/>
      <c r="C68" s="28"/>
      <c r="D68" s="24"/>
      <c r="E68" s="24"/>
      <c r="F68" s="24"/>
    </row>
    <row r="69" spans="1:12" ht="13" x14ac:dyDescent="0.3">
      <c r="A69" s="13"/>
      <c r="B69" s="76"/>
      <c r="C69" s="98" t="s">
        <v>125</v>
      </c>
      <c r="D69" s="24"/>
      <c r="E69" s="24"/>
      <c r="F69" s="24"/>
    </row>
    <row r="70" spans="1:12" x14ac:dyDescent="0.25">
      <c r="B70" s="95" t="s">
        <v>152</v>
      </c>
      <c r="C70" s="92">
        <f>E55+E57+D55*C56*C47</f>
        <v>27202.6</v>
      </c>
      <c r="D70" s="24"/>
      <c r="E70" s="24"/>
      <c r="F70" s="24"/>
    </row>
    <row r="71" spans="1:12" x14ac:dyDescent="0.25">
      <c r="B71" s="96" t="s">
        <v>132</v>
      </c>
      <c r="C71" s="93">
        <f>E54+D54*C46*C56</f>
        <v>7932.9</v>
      </c>
      <c r="D71" s="24"/>
      <c r="E71" s="24"/>
      <c r="F71" s="24"/>
    </row>
    <row r="72" spans="1:12" ht="13" x14ac:dyDescent="0.3">
      <c r="B72" s="97" t="s">
        <v>5</v>
      </c>
      <c r="C72" s="94">
        <f>SUM(C70,C71)</f>
        <v>35135.5</v>
      </c>
      <c r="D72" s="24"/>
      <c r="E72" s="24"/>
      <c r="F72" s="24"/>
    </row>
    <row r="73" spans="1:12" x14ac:dyDescent="0.25">
      <c r="B73" s="14"/>
      <c r="C73" s="28"/>
      <c r="D73" s="24"/>
      <c r="E73" s="24"/>
      <c r="F73" s="24"/>
    </row>
    <row r="74" spans="1:12" ht="18" customHeight="1" x14ac:dyDescent="0.3">
      <c r="A74" s="42" t="s">
        <v>224</v>
      </c>
      <c r="B74" s="11"/>
      <c r="C74" s="11"/>
      <c r="D74" s="11"/>
      <c r="E74" s="11"/>
      <c r="F74" s="11"/>
      <c r="G74" s="11"/>
      <c r="H74" s="11"/>
      <c r="I74" s="11"/>
      <c r="J74" s="11"/>
      <c r="K74" s="11"/>
      <c r="L74" s="11"/>
    </row>
    <row r="75" spans="1:12" ht="13" x14ac:dyDescent="0.3">
      <c r="A75" s="21" t="s">
        <v>220</v>
      </c>
    </row>
    <row r="77" spans="1:12" ht="13" x14ac:dyDescent="0.3">
      <c r="B77" s="129" t="s">
        <v>125</v>
      </c>
      <c r="C77" s="99">
        <f>C$3</f>
        <v>2022</v>
      </c>
      <c r="D77" s="99">
        <f>D$3</f>
        <v>2027</v>
      </c>
      <c r="E77" s="99">
        <f>F$3</f>
        <v>2037</v>
      </c>
      <c r="F77" s="125">
        <f>H$3</f>
        <v>2050</v>
      </c>
      <c r="H77" s="14"/>
    </row>
    <row r="78" spans="1:12" ht="13" x14ac:dyDescent="0.3">
      <c r="B78" s="126" t="s">
        <v>163</v>
      </c>
      <c r="C78" s="115">
        <f>$C$70</f>
        <v>27202.6</v>
      </c>
      <c r="D78" s="115">
        <f>$C78*(D$9/$C$9)</f>
        <v>35932.511367352447</v>
      </c>
      <c r="E78" s="115">
        <f>$C78*(F$9/$C$9)</f>
        <v>52235.896477961789</v>
      </c>
      <c r="F78" s="119">
        <f>$C78*(H$9/$C$9)</f>
        <v>67260.569529771514</v>
      </c>
      <c r="G78" s="30"/>
      <c r="H78" s="31"/>
    </row>
    <row r="79" spans="1:12" ht="13" x14ac:dyDescent="0.3">
      <c r="B79" s="127" t="s">
        <v>221</v>
      </c>
      <c r="C79" s="116"/>
      <c r="D79" s="117">
        <f>(D78-$C78)/$C78</f>
        <v>0.32092194743709973</v>
      </c>
      <c r="E79" s="117">
        <f t="shared" ref="E79:F83" si="16">(E78-$C78)/$C78</f>
        <v>0.9202538168396327</v>
      </c>
      <c r="F79" s="120">
        <f t="shared" si="16"/>
        <v>1.4725787068063905</v>
      </c>
      <c r="H79" s="14"/>
    </row>
    <row r="80" spans="1:12" ht="13" x14ac:dyDescent="0.3">
      <c r="B80" s="126" t="s">
        <v>205</v>
      </c>
      <c r="C80" s="115">
        <f>$C$71</f>
        <v>7932.9</v>
      </c>
      <c r="D80" s="115">
        <f>$C80*(D$13/$C$13)</f>
        <v>9362.4141985354472</v>
      </c>
      <c r="E80" s="115">
        <f>$C80*(F$13/$C$13)</f>
        <v>11259.563830365649</v>
      </c>
      <c r="F80" s="119">
        <f>$C80*(H$13/$C$13)</f>
        <v>13351.267564381726</v>
      </c>
      <c r="G80" s="30"/>
      <c r="H80" s="31"/>
    </row>
    <row r="81" spans="1:12" ht="13" x14ac:dyDescent="0.3">
      <c r="B81" s="127" t="s">
        <v>221</v>
      </c>
      <c r="C81" s="116"/>
      <c r="D81" s="117">
        <f>(D80-$C80)/$C80</f>
        <v>0.18020070825744022</v>
      </c>
      <c r="E81" s="117">
        <f t="shared" ref="E81:F81" si="17">(E80-$C80)/$C80</f>
        <v>0.41935027926302476</v>
      </c>
      <c r="F81" s="120">
        <f t="shared" si="17"/>
        <v>0.68302481619353905</v>
      </c>
    </row>
    <row r="82" spans="1:12" ht="13" x14ac:dyDescent="0.3">
      <c r="B82" s="126" t="s">
        <v>5</v>
      </c>
      <c r="C82" s="118">
        <f>SUM(C78,C80)</f>
        <v>35135.5</v>
      </c>
      <c r="D82" s="118">
        <f t="shared" ref="D82:F82" si="18">SUM(D78,D80)</f>
        <v>45294.925565887897</v>
      </c>
      <c r="E82" s="118">
        <f t="shared" si="18"/>
        <v>63495.460308327441</v>
      </c>
      <c r="F82" s="121">
        <f t="shared" si="18"/>
        <v>80611.837094153234</v>
      </c>
    </row>
    <row r="83" spans="1:12" ht="13" x14ac:dyDescent="0.3">
      <c r="B83" s="128" t="s">
        <v>221</v>
      </c>
      <c r="C83" s="122"/>
      <c r="D83" s="123">
        <f>(D82-$C82)/$C82</f>
        <v>0.2891498787803759</v>
      </c>
      <c r="E83" s="123">
        <f t="shared" si="16"/>
        <v>0.80715971903992945</v>
      </c>
      <c r="F83" s="124">
        <f t="shared" si="16"/>
        <v>1.2943130763516453</v>
      </c>
    </row>
    <row r="84" spans="1:12" x14ac:dyDescent="0.25">
      <c r="B84" s="14"/>
      <c r="C84" s="28"/>
      <c r="D84" s="24"/>
      <c r="E84" s="24"/>
      <c r="F84" s="24"/>
    </row>
    <row r="85" spans="1:12" ht="18" customHeight="1" x14ac:dyDescent="0.3">
      <c r="A85" s="42" t="s">
        <v>222</v>
      </c>
      <c r="B85" s="11"/>
      <c r="C85" s="11"/>
      <c r="D85" s="11"/>
      <c r="E85" s="11"/>
      <c r="F85" s="11"/>
      <c r="G85" s="11"/>
      <c r="H85" s="11"/>
      <c r="I85" s="11"/>
      <c r="J85" s="11"/>
      <c r="K85" s="11"/>
      <c r="L85" s="11"/>
    </row>
    <row r="87" spans="1:12" ht="13" x14ac:dyDescent="0.3">
      <c r="A87" s="21" t="s">
        <v>225</v>
      </c>
    </row>
    <row r="88" spans="1:12" ht="13" x14ac:dyDescent="0.3">
      <c r="B88" s="129" t="s">
        <v>223</v>
      </c>
      <c r="C88" s="99">
        <f>C$3</f>
        <v>2022</v>
      </c>
      <c r="D88" s="99">
        <f>D$3</f>
        <v>2027</v>
      </c>
      <c r="E88" s="99">
        <f>F$3</f>
        <v>2037</v>
      </c>
      <c r="F88" s="125">
        <f>H$3</f>
        <v>2050</v>
      </c>
    </row>
    <row r="89" spans="1:12" ht="13" x14ac:dyDescent="0.3">
      <c r="B89" s="126" t="s">
        <v>163</v>
      </c>
      <c r="C89" s="115">
        <f>ROUND(C78,-3)</f>
        <v>27000</v>
      </c>
      <c r="D89" s="115">
        <f t="shared" ref="D89:F89" si="19">ROUND(D78,-3)</f>
        <v>36000</v>
      </c>
      <c r="E89" s="115">
        <f t="shared" si="19"/>
        <v>52000</v>
      </c>
      <c r="F89" s="119">
        <f t="shared" si="19"/>
        <v>67000</v>
      </c>
    </row>
    <row r="90" spans="1:12" ht="13" x14ac:dyDescent="0.3">
      <c r="B90" s="127" t="s">
        <v>221</v>
      </c>
      <c r="C90" s="116"/>
      <c r="D90" s="117">
        <f>(D89-$C89)/$C89</f>
        <v>0.33333333333333331</v>
      </c>
      <c r="E90" s="117">
        <f t="shared" ref="E90:F90" si="20">(E89-$C89)/$C89</f>
        <v>0.92592592592592593</v>
      </c>
      <c r="F90" s="120">
        <f t="shared" si="20"/>
        <v>1.4814814814814814</v>
      </c>
    </row>
    <row r="91" spans="1:12" ht="13" x14ac:dyDescent="0.3">
      <c r="B91" s="126" t="s">
        <v>205</v>
      </c>
      <c r="C91" s="115">
        <f>ROUND(C80,-3)</f>
        <v>8000</v>
      </c>
      <c r="D91" s="115">
        <f t="shared" ref="D91:F91" si="21">ROUND(D80,-3)</f>
        <v>9000</v>
      </c>
      <c r="E91" s="115">
        <f t="shared" si="21"/>
        <v>11000</v>
      </c>
      <c r="F91" s="119">
        <f t="shared" si="21"/>
        <v>13000</v>
      </c>
    </row>
    <row r="92" spans="1:12" ht="13" x14ac:dyDescent="0.3">
      <c r="B92" s="127" t="s">
        <v>221</v>
      </c>
      <c r="C92" s="116"/>
      <c r="D92" s="117">
        <f>(D91-$C91)/$C91</f>
        <v>0.125</v>
      </c>
      <c r="E92" s="117">
        <f t="shared" ref="E92:F92" si="22">(E91-$C91)/$C91</f>
        <v>0.375</v>
      </c>
      <c r="F92" s="120">
        <f t="shared" si="22"/>
        <v>0.625</v>
      </c>
    </row>
    <row r="93" spans="1:12" ht="13" x14ac:dyDescent="0.3">
      <c r="B93" s="126" t="s">
        <v>5</v>
      </c>
      <c r="C93" s="118">
        <f>SUM(C89,C91)</f>
        <v>35000</v>
      </c>
      <c r="D93" s="118">
        <f t="shared" ref="D93:F93" si="23">SUM(D89,D91)</f>
        <v>45000</v>
      </c>
      <c r="E93" s="118">
        <f t="shared" si="23"/>
        <v>63000</v>
      </c>
      <c r="F93" s="121">
        <f t="shared" si="23"/>
        <v>80000</v>
      </c>
    </row>
    <row r="94" spans="1:12" ht="13" x14ac:dyDescent="0.3">
      <c r="B94" s="128" t="s">
        <v>221</v>
      </c>
      <c r="C94" s="122"/>
      <c r="D94" s="123">
        <f>(D93-$C93)/$C93</f>
        <v>0.2857142857142857</v>
      </c>
      <c r="E94" s="123">
        <f t="shared" ref="E94:F94" si="24">(E93-$C93)/$C93</f>
        <v>0.8</v>
      </c>
      <c r="F94" s="124">
        <f t="shared" si="24"/>
        <v>1.2857142857142858</v>
      </c>
    </row>
    <row r="114" spans="2:8" ht="13" x14ac:dyDescent="0.3">
      <c r="B114" s="129"/>
      <c r="C114" s="99">
        <f>C$3</f>
        <v>2022</v>
      </c>
      <c r="D114" s="99">
        <f>D$3</f>
        <v>2027</v>
      </c>
      <c r="E114" s="99">
        <f>F$3</f>
        <v>2037</v>
      </c>
      <c r="F114" s="125">
        <f>H$3</f>
        <v>2050</v>
      </c>
    </row>
    <row r="115" spans="2:8" ht="26" x14ac:dyDescent="0.3">
      <c r="B115" s="130" t="s">
        <v>164</v>
      </c>
      <c r="C115" s="115">
        <f>$C$82</f>
        <v>35135.5</v>
      </c>
      <c r="D115" s="115">
        <f t="shared" ref="D115:F115" si="25">D82</f>
        <v>45294.925565887897</v>
      </c>
      <c r="E115" s="115">
        <f t="shared" si="25"/>
        <v>63495.460308327441</v>
      </c>
      <c r="F115" s="119">
        <f t="shared" si="25"/>
        <v>80611.837094153234</v>
      </c>
      <c r="H115" s="32"/>
    </row>
    <row r="116" spans="2:8" ht="13" x14ac:dyDescent="0.3">
      <c r="B116" s="127" t="s">
        <v>221</v>
      </c>
      <c r="C116" s="116"/>
      <c r="D116" s="117">
        <f>(D115-$C115)/$C115</f>
        <v>0.2891498787803759</v>
      </c>
      <c r="E116" s="117">
        <f t="shared" ref="E116:F116" si="26">(E115-$C115)/$C115</f>
        <v>0.80715971903992945</v>
      </c>
      <c r="F116" s="120">
        <f t="shared" si="26"/>
        <v>1.2943130763516453</v>
      </c>
    </row>
    <row r="117" spans="2:8" ht="39" x14ac:dyDescent="0.3">
      <c r="B117" s="130" t="s">
        <v>165</v>
      </c>
      <c r="C117" s="115">
        <f>$C$58-$E$58</f>
        <v>105185.5</v>
      </c>
      <c r="D117" s="115">
        <f>C117</f>
        <v>105185.5</v>
      </c>
      <c r="E117" s="115">
        <f t="shared" ref="E117:F117" si="27">D117</f>
        <v>105185.5</v>
      </c>
      <c r="F117" s="119">
        <f t="shared" si="27"/>
        <v>105185.5</v>
      </c>
    </row>
    <row r="118" spans="2:8" ht="13" x14ac:dyDescent="0.3">
      <c r="B118" s="127" t="s">
        <v>221</v>
      </c>
      <c r="C118" s="116"/>
      <c r="D118" s="117">
        <f>(D117-$C117)/$C117</f>
        <v>0</v>
      </c>
      <c r="E118" s="117">
        <f t="shared" ref="E118:F118" si="28">(E117-$C117)/$C117</f>
        <v>0</v>
      </c>
      <c r="F118" s="120">
        <f t="shared" si="28"/>
        <v>0</v>
      </c>
    </row>
    <row r="119" spans="2:8" ht="13" x14ac:dyDescent="0.3">
      <c r="B119" s="126" t="s">
        <v>5</v>
      </c>
      <c r="C119" s="118">
        <f>SUM(C115,C117)</f>
        <v>140321</v>
      </c>
      <c r="D119" s="118">
        <f t="shared" ref="D119:F119" si="29">SUM(D115,D117)</f>
        <v>150480.42556588788</v>
      </c>
      <c r="E119" s="118">
        <f t="shared" si="29"/>
        <v>168680.96030832746</v>
      </c>
      <c r="F119" s="121">
        <f t="shared" si="29"/>
        <v>185797.33709415322</v>
      </c>
      <c r="G119" s="32"/>
    </row>
    <row r="120" spans="2:8" ht="13" x14ac:dyDescent="0.3">
      <c r="B120" s="128" t="s">
        <v>221</v>
      </c>
      <c r="C120" s="122"/>
      <c r="D120" s="123">
        <f>(D119-$C119)/$C119</f>
        <v>7.2401319587858434E-2</v>
      </c>
      <c r="E120" s="123">
        <f t="shared" ref="E120:F120" si="30">(E119-$C119)/$C119</f>
        <v>0.20210774088217343</v>
      </c>
      <c r="F120" s="124">
        <f t="shared" si="30"/>
        <v>0.32408789200585242</v>
      </c>
    </row>
  </sheetData>
  <mergeCells count="1">
    <mergeCell ref="A18:G18"/>
  </mergeCell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sheetPr>
  <dimension ref="A1:L34"/>
  <sheetViews>
    <sheetView zoomScale="89" workbookViewId="0">
      <selection activeCell="A25" sqref="A25"/>
    </sheetView>
  </sheetViews>
  <sheetFormatPr baseColWidth="10" defaultRowHeight="12.5" x14ac:dyDescent="0.25"/>
  <cols>
    <col min="1" max="1" width="10.90625" style="3"/>
    <col min="2" max="2" width="19.453125" style="3" customWidth="1"/>
    <col min="3" max="3" width="16.1796875" style="3" customWidth="1"/>
    <col min="4" max="4" width="10.36328125" style="3" bestFit="1" customWidth="1"/>
    <col min="5" max="5" width="6.453125" style="3" customWidth="1"/>
    <col min="6" max="6" width="21.36328125" style="3" customWidth="1"/>
    <col min="7" max="7" width="16" style="3" bestFit="1" customWidth="1"/>
    <col min="8" max="18" width="8" style="3" customWidth="1"/>
    <col min="19" max="22" width="9" style="3" customWidth="1"/>
    <col min="23" max="23" width="11.6328125" style="3" bestFit="1" customWidth="1"/>
    <col min="24" max="16384" width="10.90625" style="3"/>
  </cols>
  <sheetData>
    <row r="1" spans="1:12" ht="13" x14ac:dyDescent="0.3">
      <c r="A1" s="11" t="s">
        <v>291</v>
      </c>
      <c r="B1" s="11"/>
      <c r="C1" s="11"/>
      <c r="D1" s="11"/>
      <c r="E1" s="11"/>
      <c r="F1" s="11"/>
      <c r="G1" s="11"/>
      <c r="H1" s="11"/>
      <c r="I1" s="11"/>
      <c r="J1" s="11"/>
      <c r="K1" s="11"/>
      <c r="L1" s="11"/>
    </row>
    <row r="2" spans="1:12" ht="13" x14ac:dyDescent="0.3">
      <c r="A2" s="3" t="s">
        <v>292</v>
      </c>
    </row>
    <row r="4" spans="1:12" ht="13" x14ac:dyDescent="0.3">
      <c r="A4" s="274" t="s">
        <v>166</v>
      </c>
      <c r="B4" s="275" t="s">
        <v>167</v>
      </c>
      <c r="C4" s="275" t="s">
        <v>168</v>
      </c>
      <c r="D4" s="275" t="s">
        <v>169</v>
      </c>
      <c r="E4" s="276" t="s">
        <v>170</v>
      </c>
      <c r="F4" s="277"/>
    </row>
    <row r="5" spans="1:12" x14ac:dyDescent="0.25">
      <c r="A5" s="278" t="s">
        <v>171</v>
      </c>
      <c r="B5" s="279" t="s">
        <v>172</v>
      </c>
      <c r="C5" s="279" t="s">
        <v>173</v>
      </c>
      <c r="D5" s="279" t="s">
        <v>174</v>
      </c>
      <c r="E5" s="280">
        <v>1114</v>
      </c>
    </row>
    <row r="6" spans="1:12" x14ac:dyDescent="0.25">
      <c r="A6" s="278" t="s">
        <v>171</v>
      </c>
      <c r="B6" s="279" t="s">
        <v>175</v>
      </c>
      <c r="C6" s="279" t="s">
        <v>173</v>
      </c>
      <c r="D6" s="279" t="s">
        <v>176</v>
      </c>
      <c r="E6" s="280">
        <v>3239</v>
      </c>
    </row>
    <row r="7" spans="1:12" x14ac:dyDescent="0.25">
      <c r="A7" s="278" t="s">
        <v>171</v>
      </c>
      <c r="B7" s="279" t="s">
        <v>177</v>
      </c>
      <c r="C7" s="279" t="s">
        <v>173</v>
      </c>
      <c r="D7" s="279" t="s">
        <v>174</v>
      </c>
      <c r="E7" s="280">
        <v>295</v>
      </c>
    </row>
    <row r="8" spans="1:12" x14ac:dyDescent="0.25">
      <c r="A8" s="278" t="s">
        <v>171</v>
      </c>
      <c r="B8" s="279" t="s">
        <v>172</v>
      </c>
      <c r="C8" s="279" t="s">
        <v>173</v>
      </c>
      <c r="D8" s="279" t="s">
        <v>176</v>
      </c>
      <c r="E8" s="280">
        <v>4312</v>
      </c>
    </row>
    <row r="9" spans="1:12" x14ac:dyDescent="0.25">
      <c r="A9" s="278" t="s">
        <v>171</v>
      </c>
      <c r="B9" s="279" t="s">
        <v>178</v>
      </c>
      <c r="C9" s="279" t="s">
        <v>179</v>
      </c>
      <c r="D9" s="279" t="s">
        <v>174</v>
      </c>
      <c r="E9" s="280">
        <v>7235</v>
      </c>
    </row>
    <row r="10" spans="1:12" x14ac:dyDescent="0.25">
      <c r="A10" s="278" t="s">
        <v>171</v>
      </c>
      <c r="B10" s="279" t="s">
        <v>177</v>
      </c>
      <c r="C10" s="279" t="s">
        <v>179</v>
      </c>
      <c r="D10" s="279" t="s">
        <v>176</v>
      </c>
      <c r="E10" s="280">
        <v>3891</v>
      </c>
    </row>
    <row r="11" spans="1:12" x14ac:dyDescent="0.25">
      <c r="A11" s="278" t="s">
        <v>171</v>
      </c>
      <c r="B11" s="279" t="s">
        <v>180</v>
      </c>
      <c r="C11" s="279" t="s">
        <v>179</v>
      </c>
      <c r="D11" s="279" t="s">
        <v>176</v>
      </c>
      <c r="E11" s="280">
        <v>13384</v>
      </c>
    </row>
    <row r="12" spans="1:12" x14ac:dyDescent="0.25">
      <c r="A12" s="278" t="s">
        <v>171</v>
      </c>
      <c r="B12" s="279" t="s">
        <v>175</v>
      </c>
      <c r="C12" s="279" t="s">
        <v>173</v>
      </c>
      <c r="D12" s="279" t="s">
        <v>174</v>
      </c>
      <c r="E12" s="280">
        <v>1384</v>
      </c>
    </row>
    <row r="13" spans="1:12" x14ac:dyDescent="0.25">
      <c r="A13" s="278" t="s">
        <v>171</v>
      </c>
      <c r="B13" s="279" t="s">
        <v>178</v>
      </c>
      <c r="C13" s="279" t="s">
        <v>173</v>
      </c>
      <c r="D13" s="279" t="s">
        <v>174</v>
      </c>
      <c r="E13" s="280">
        <v>1796</v>
      </c>
    </row>
    <row r="14" spans="1:12" x14ac:dyDescent="0.25">
      <c r="A14" s="278" t="s">
        <v>171</v>
      </c>
      <c r="B14" s="279" t="s">
        <v>180</v>
      </c>
      <c r="C14" s="279" t="s">
        <v>173</v>
      </c>
      <c r="D14" s="279" t="s">
        <v>176</v>
      </c>
      <c r="E14" s="280">
        <v>956</v>
      </c>
    </row>
    <row r="15" spans="1:12" x14ac:dyDescent="0.25">
      <c r="A15" s="278" t="s">
        <v>171</v>
      </c>
      <c r="B15" s="279" t="s">
        <v>180</v>
      </c>
      <c r="C15" s="279" t="s">
        <v>173</v>
      </c>
      <c r="D15" s="279" t="s">
        <v>174</v>
      </c>
      <c r="E15" s="280">
        <v>44</v>
      </c>
    </row>
    <row r="16" spans="1:12" x14ac:dyDescent="0.25">
      <c r="A16" s="278" t="s">
        <v>171</v>
      </c>
      <c r="B16" s="279" t="s">
        <v>172</v>
      </c>
      <c r="C16" s="279" t="s">
        <v>179</v>
      </c>
      <c r="D16" s="279" t="s">
        <v>174</v>
      </c>
      <c r="E16" s="280">
        <v>8109</v>
      </c>
    </row>
    <row r="17" spans="1:8" x14ac:dyDescent="0.25">
      <c r="A17" s="278" t="s">
        <v>171</v>
      </c>
      <c r="B17" s="279" t="s">
        <v>177</v>
      </c>
      <c r="C17" s="279" t="s">
        <v>173</v>
      </c>
      <c r="D17" s="279" t="s">
        <v>176</v>
      </c>
      <c r="E17" s="280">
        <v>534</v>
      </c>
    </row>
    <row r="18" spans="1:8" x14ac:dyDescent="0.25">
      <c r="A18" s="278" t="s">
        <v>171</v>
      </c>
      <c r="B18" s="279" t="s">
        <v>180</v>
      </c>
      <c r="C18" s="279" t="s">
        <v>179</v>
      </c>
      <c r="D18" s="279" t="s">
        <v>174</v>
      </c>
      <c r="E18" s="280">
        <v>413</v>
      </c>
    </row>
    <row r="19" spans="1:8" x14ac:dyDescent="0.25">
      <c r="A19" s="278" t="s">
        <v>171</v>
      </c>
      <c r="B19" s="279" t="s">
        <v>172</v>
      </c>
      <c r="C19" s="279" t="s">
        <v>179</v>
      </c>
      <c r="D19" s="279" t="s">
        <v>176</v>
      </c>
      <c r="E19" s="280">
        <v>32041</v>
      </c>
    </row>
    <row r="20" spans="1:8" x14ac:dyDescent="0.25">
      <c r="A20" s="278" t="s">
        <v>171</v>
      </c>
      <c r="B20" s="279" t="s">
        <v>175</v>
      </c>
      <c r="C20" s="279" t="s">
        <v>179</v>
      </c>
      <c r="D20" s="279" t="s">
        <v>176</v>
      </c>
      <c r="E20" s="280">
        <v>32814</v>
      </c>
    </row>
    <row r="21" spans="1:8" x14ac:dyDescent="0.25">
      <c r="A21" s="278" t="s">
        <v>171</v>
      </c>
      <c r="B21" s="279" t="s">
        <v>175</v>
      </c>
      <c r="C21" s="279" t="s">
        <v>179</v>
      </c>
      <c r="D21" s="279" t="s">
        <v>174</v>
      </c>
      <c r="E21" s="280">
        <v>8202</v>
      </c>
    </row>
    <row r="22" spans="1:8" x14ac:dyDescent="0.25">
      <c r="A22" s="278" t="s">
        <v>171</v>
      </c>
      <c r="B22" s="279" t="s">
        <v>178</v>
      </c>
      <c r="C22" s="279" t="s">
        <v>179</v>
      </c>
      <c r="D22" s="279" t="s">
        <v>176</v>
      </c>
      <c r="E22" s="280">
        <v>19514</v>
      </c>
    </row>
    <row r="23" spans="1:8" x14ac:dyDescent="0.25">
      <c r="A23" s="278" t="s">
        <v>171</v>
      </c>
      <c r="B23" s="279" t="s">
        <v>178</v>
      </c>
      <c r="C23" s="279" t="s">
        <v>173</v>
      </c>
      <c r="D23" s="279" t="s">
        <v>176</v>
      </c>
      <c r="E23" s="280">
        <v>2819</v>
      </c>
    </row>
    <row r="24" spans="1:8" x14ac:dyDescent="0.25">
      <c r="A24" s="281" t="s">
        <v>171</v>
      </c>
      <c r="B24" s="282" t="s">
        <v>177</v>
      </c>
      <c r="C24" s="282" t="s">
        <v>179</v>
      </c>
      <c r="D24" s="282" t="s">
        <v>174</v>
      </c>
      <c r="E24" s="283">
        <v>2248</v>
      </c>
    </row>
    <row r="26" spans="1:8" ht="13" x14ac:dyDescent="0.3">
      <c r="A26" s="284" t="s">
        <v>181</v>
      </c>
    </row>
    <row r="27" spans="1:8" ht="13" x14ac:dyDescent="0.3">
      <c r="B27" s="3" t="s">
        <v>115</v>
      </c>
      <c r="C27" s="3" t="s">
        <v>182</v>
      </c>
      <c r="D27" s="21" t="s">
        <v>183</v>
      </c>
      <c r="F27" s="23" t="s">
        <v>115</v>
      </c>
      <c r="G27" s="139" t="s">
        <v>182</v>
      </c>
      <c r="H27" s="285" t="s">
        <v>183</v>
      </c>
    </row>
    <row r="28" spans="1:8" x14ac:dyDescent="0.25">
      <c r="B28" s="286" t="s">
        <v>177</v>
      </c>
      <c r="C28" s="32">
        <v>6968</v>
      </c>
      <c r="D28" s="287">
        <f>GETPIVOTDATA("Effectif",$B$27,"Métier","Agent commercial à bord des trains")/GETPIVOTDATA("Effectif",$B$27)</f>
        <v>4.8273568697001605E-2</v>
      </c>
      <c r="F28" s="25" t="s">
        <v>177</v>
      </c>
      <c r="G28" s="14">
        <v>6968</v>
      </c>
      <c r="H28" s="146">
        <f>G28/$G$33</f>
        <v>4.8273568697001605E-2</v>
      </c>
    </row>
    <row r="29" spans="1:8" x14ac:dyDescent="0.25">
      <c r="B29" s="286" t="s">
        <v>180</v>
      </c>
      <c r="C29" s="32">
        <v>14797</v>
      </c>
      <c r="D29" s="287">
        <f>GETPIVOTDATA("Effectif",$B$27,"Métier","Conducteurs")/GETPIVOTDATA("Effectif",$B$27)</f>
        <v>0.1025120545363853</v>
      </c>
      <c r="F29" s="25" t="s">
        <v>180</v>
      </c>
      <c r="G29" s="14">
        <v>14797</v>
      </c>
      <c r="H29" s="146">
        <f t="shared" ref="H29:H33" si="0">G29/$G$33</f>
        <v>0.1025120545363853</v>
      </c>
    </row>
    <row r="30" spans="1:8" x14ac:dyDescent="0.25">
      <c r="B30" s="286" t="s">
        <v>178</v>
      </c>
      <c r="C30" s="32">
        <v>31364</v>
      </c>
      <c r="D30" s="287">
        <f>GETPIVOTDATA("Effectif",$B$27,"Métier","Ingénieurs et cadres")/GETPIVOTDATA("Effectif",$B$27)</f>
        <v>0.21728648229230171</v>
      </c>
      <c r="F30" s="25" t="s">
        <v>178</v>
      </c>
      <c r="G30" s="14">
        <v>31364</v>
      </c>
      <c r="H30" s="146">
        <f t="shared" si="0"/>
        <v>0.21728648229230171</v>
      </c>
    </row>
    <row r="31" spans="1:8" x14ac:dyDescent="0.25">
      <c r="B31" s="286" t="s">
        <v>172</v>
      </c>
      <c r="C31" s="32">
        <v>45576</v>
      </c>
      <c r="D31" s="287">
        <f>GETPIVOTDATA("Effectif",$B$27,"Métier","Mainteneur, Aiguilleur, Agent commercial, gestionnaire")/GETPIVOTDATA("Effectif",$B$27)</f>
        <v>0.31574571856121486</v>
      </c>
      <c r="F31" s="25" t="s">
        <v>172</v>
      </c>
      <c r="G31" s="14">
        <v>45576</v>
      </c>
      <c r="H31" s="146">
        <f t="shared" si="0"/>
        <v>0.31574571856121486</v>
      </c>
    </row>
    <row r="32" spans="1:8" x14ac:dyDescent="0.25">
      <c r="B32" s="286" t="s">
        <v>175</v>
      </c>
      <c r="C32" s="32">
        <v>45639</v>
      </c>
      <c r="D32" s="287">
        <f>GETPIVOTDATA("Effectif",$B$27,"Métier","Manager de proximité, maitrise")/GETPIVOTDATA("Effectif",$B$27)</f>
        <v>0.3161821759130965</v>
      </c>
      <c r="F32" s="25" t="s">
        <v>175</v>
      </c>
      <c r="G32" s="14">
        <v>45639</v>
      </c>
      <c r="H32" s="146">
        <f t="shared" si="0"/>
        <v>0.3161821759130965</v>
      </c>
    </row>
    <row r="33" spans="2:8" ht="13" x14ac:dyDescent="0.3">
      <c r="B33" s="286" t="s">
        <v>114</v>
      </c>
      <c r="C33" s="32">
        <v>144344</v>
      </c>
      <c r="D33" s="132">
        <f>SUM(D28:D32)</f>
        <v>1</v>
      </c>
      <c r="F33" s="27" t="s">
        <v>114</v>
      </c>
      <c r="G33" s="288">
        <v>144344</v>
      </c>
      <c r="H33" s="289">
        <f t="shared" si="0"/>
        <v>1</v>
      </c>
    </row>
    <row r="34" spans="2:8" ht="13" x14ac:dyDescent="0.3">
      <c r="D34" s="21"/>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sheetPr>
  <dimension ref="A1:AE94"/>
  <sheetViews>
    <sheetView zoomScale="89" zoomScaleNormal="80" workbookViewId="0">
      <selection activeCell="A2" sqref="A2"/>
    </sheetView>
  </sheetViews>
  <sheetFormatPr baseColWidth="10" defaultColWidth="10.81640625" defaultRowHeight="12.5" x14ac:dyDescent="0.25"/>
  <cols>
    <col min="1" max="1" width="7.453125" style="3" customWidth="1"/>
    <col min="2" max="2" width="50" style="3" customWidth="1"/>
    <col min="3" max="7" width="15.6328125" style="3" customWidth="1"/>
    <col min="8" max="16384" width="10.81640625" style="3"/>
  </cols>
  <sheetData>
    <row r="1" spans="1:12" ht="18" customHeight="1" x14ac:dyDescent="0.3">
      <c r="A1" s="42" t="s">
        <v>227</v>
      </c>
      <c r="B1" s="11"/>
      <c r="C1" s="11"/>
      <c r="D1" s="11"/>
      <c r="E1" s="11"/>
      <c r="F1" s="11"/>
      <c r="G1" s="11"/>
      <c r="H1" s="11"/>
      <c r="I1" s="11"/>
      <c r="J1" s="11"/>
      <c r="K1" s="11"/>
      <c r="L1" s="11"/>
    </row>
    <row r="2" spans="1:12" ht="13" x14ac:dyDescent="0.3">
      <c r="B2" s="13"/>
      <c r="C2" s="13"/>
      <c r="D2" s="13"/>
      <c r="E2" s="13"/>
      <c r="F2" s="13"/>
      <c r="G2" s="13"/>
    </row>
    <row r="3" spans="1:12" ht="13" x14ac:dyDescent="0.3">
      <c r="B3" s="145" t="s">
        <v>116</v>
      </c>
      <c r="C3" s="99">
        <v>2022</v>
      </c>
      <c r="D3" s="37">
        <v>2027</v>
      </c>
      <c r="E3" s="37" t="s">
        <v>228</v>
      </c>
      <c r="F3" s="37">
        <v>2050</v>
      </c>
      <c r="G3" s="38" t="s">
        <v>228</v>
      </c>
    </row>
    <row r="4" spans="1:12" x14ac:dyDescent="0.25">
      <c r="B4" s="39" t="s">
        <v>117</v>
      </c>
      <c r="C4" s="12">
        <v>238</v>
      </c>
      <c r="D4" s="12">
        <v>221</v>
      </c>
      <c r="E4" s="24">
        <f>(D4-$C4)/$C4</f>
        <v>-7.1428571428571425E-2</v>
      </c>
      <c r="F4" s="12">
        <v>153</v>
      </c>
      <c r="G4" s="146">
        <f>(F4-$C4)/$C4</f>
        <v>-0.35714285714285715</v>
      </c>
    </row>
    <row r="5" spans="1:12" ht="13" x14ac:dyDescent="0.3">
      <c r="B5" s="143" t="s">
        <v>119</v>
      </c>
      <c r="C5" s="346">
        <v>78</v>
      </c>
      <c r="D5" s="346">
        <v>71</v>
      </c>
      <c r="E5" s="103">
        <f>(D5-$C5)/$C5</f>
        <v>-8.9743589743589744E-2</v>
      </c>
      <c r="F5" s="346">
        <v>43</v>
      </c>
      <c r="G5" s="34">
        <f>(F5-$C5)/$C5</f>
        <v>-0.44871794871794873</v>
      </c>
    </row>
    <row r="6" spans="1:12" ht="13" x14ac:dyDescent="0.3">
      <c r="B6" s="144" t="s">
        <v>118</v>
      </c>
      <c r="C6" s="347">
        <v>160</v>
      </c>
      <c r="D6" s="347">
        <v>151</v>
      </c>
      <c r="E6" s="147">
        <f>(D6-$C6)/$C6</f>
        <v>-5.6250000000000001E-2</v>
      </c>
      <c r="F6" s="347">
        <v>110</v>
      </c>
      <c r="G6" s="148">
        <f>(F6-$C6)/$C6</f>
        <v>-0.3125</v>
      </c>
    </row>
    <row r="7" spans="1:12" ht="13" x14ac:dyDescent="0.3">
      <c r="B7" s="14"/>
      <c r="C7" s="131"/>
      <c r="D7" s="131"/>
      <c r="E7" s="131"/>
      <c r="F7" s="131"/>
      <c r="G7" s="132"/>
    </row>
    <row r="8" spans="1:12" ht="18" customHeight="1" x14ac:dyDescent="0.3">
      <c r="A8" s="42" t="s">
        <v>229</v>
      </c>
      <c r="B8" s="11"/>
      <c r="C8" s="11"/>
      <c r="D8" s="11"/>
      <c r="E8" s="11"/>
      <c r="F8" s="11"/>
      <c r="G8" s="11"/>
      <c r="H8" s="11"/>
      <c r="I8" s="11"/>
      <c r="J8" s="11"/>
      <c r="K8" s="11"/>
      <c r="L8" s="11"/>
    </row>
    <row r="10" spans="1:12" ht="13" x14ac:dyDescent="0.25">
      <c r="A10" s="63" t="s">
        <v>244</v>
      </c>
      <c r="B10" s="63"/>
      <c r="C10" s="63"/>
      <c r="D10" s="63"/>
      <c r="E10" s="63"/>
      <c r="F10" s="63"/>
      <c r="G10" s="63"/>
      <c r="H10" s="63"/>
      <c r="I10" s="63"/>
      <c r="J10" s="63"/>
      <c r="K10" s="63"/>
      <c r="L10" s="63"/>
    </row>
    <row r="11" spans="1:12" ht="30" customHeight="1" x14ac:dyDescent="0.25">
      <c r="A11" s="396" t="s">
        <v>232</v>
      </c>
      <c r="B11" s="396"/>
      <c r="C11" s="396"/>
      <c r="D11" s="396"/>
      <c r="E11" s="396"/>
      <c r="F11" s="396"/>
      <c r="G11" s="396"/>
    </row>
    <row r="12" spans="1:12" ht="60" customHeight="1" x14ac:dyDescent="0.25">
      <c r="A12" s="399" t="s">
        <v>231</v>
      </c>
      <c r="B12" s="399"/>
      <c r="C12" s="399"/>
      <c r="D12" s="399"/>
      <c r="E12" s="399"/>
      <c r="F12" s="399"/>
      <c r="G12" s="399"/>
    </row>
    <row r="14" spans="1:12" ht="26" x14ac:dyDescent="0.3">
      <c r="B14" s="76"/>
      <c r="C14" s="88" t="s">
        <v>234</v>
      </c>
      <c r="D14" s="169" t="s">
        <v>236</v>
      </c>
    </row>
    <row r="15" spans="1:12" s="133" customFormat="1" x14ac:dyDescent="0.25">
      <c r="B15" s="76" t="s">
        <v>230</v>
      </c>
      <c r="C15" s="77">
        <v>81000</v>
      </c>
      <c r="E15" s="149"/>
    </row>
    <row r="16" spans="1:12" ht="13" x14ac:dyDescent="0.3">
      <c r="B16" s="21"/>
      <c r="C16" s="135"/>
      <c r="E16" s="134"/>
    </row>
    <row r="17" spans="1:12" ht="26" x14ac:dyDescent="0.25">
      <c r="B17" s="157" t="s">
        <v>258</v>
      </c>
      <c r="C17" s="163" t="s">
        <v>235</v>
      </c>
      <c r="D17" s="91" t="s">
        <v>234</v>
      </c>
      <c r="E17" s="169" t="s">
        <v>236</v>
      </c>
    </row>
    <row r="18" spans="1:12" x14ac:dyDescent="0.25">
      <c r="B18" s="160" t="s">
        <v>239</v>
      </c>
      <c r="C18" s="161">
        <v>0.70299999999999996</v>
      </c>
      <c r="D18" s="158">
        <f>C18*$C$15</f>
        <v>56943</v>
      </c>
      <c r="E18" s="149"/>
      <c r="F18" s="22"/>
    </row>
    <row r="19" spans="1:12" ht="13" x14ac:dyDescent="0.3">
      <c r="B19" s="25" t="s">
        <v>240</v>
      </c>
      <c r="C19" s="161">
        <v>0.17899999999999999</v>
      </c>
      <c r="D19" s="158">
        <f t="shared" ref="D19:D22" si="0">C19*$C$15</f>
        <v>14499</v>
      </c>
      <c r="E19" s="137"/>
      <c r="F19" s="22"/>
    </row>
    <row r="20" spans="1:12" ht="13" x14ac:dyDescent="0.3">
      <c r="B20" s="25" t="s">
        <v>241</v>
      </c>
      <c r="C20" s="161">
        <v>4.2999999999999997E-2</v>
      </c>
      <c r="D20" s="158">
        <f t="shared" si="0"/>
        <v>3482.9999999999995</v>
      </c>
      <c r="E20" s="137"/>
    </row>
    <row r="21" spans="1:12" ht="13" x14ac:dyDescent="0.3">
      <c r="B21" s="25" t="s">
        <v>242</v>
      </c>
      <c r="C21" s="161">
        <v>2.5000000000000001E-2</v>
      </c>
      <c r="D21" s="158">
        <f t="shared" si="0"/>
        <v>2025</v>
      </c>
      <c r="E21" s="137"/>
      <c r="F21" s="136"/>
    </row>
    <row r="22" spans="1:12" ht="13" x14ac:dyDescent="0.3">
      <c r="B22" s="27" t="s">
        <v>0</v>
      </c>
      <c r="C22" s="162">
        <v>3.5000000000000003E-2</v>
      </c>
      <c r="D22" s="159">
        <f t="shared" si="0"/>
        <v>2835.0000000000005</v>
      </c>
      <c r="E22" s="137"/>
    </row>
    <row r="23" spans="1:12" ht="13" x14ac:dyDescent="0.3">
      <c r="B23" s="15"/>
      <c r="C23" s="2"/>
      <c r="D23" s="15"/>
      <c r="E23" s="137"/>
    </row>
    <row r="24" spans="1:12" ht="26" x14ac:dyDescent="0.25">
      <c r="B24" s="157" t="s">
        <v>238</v>
      </c>
      <c r="C24" s="89" t="s">
        <v>234</v>
      </c>
      <c r="E24" s="155"/>
    </row>
    <row r="25" spans="1:12" x14ac:dyDescent="0.25">
      <c r="B25" s="166" t="s">
        <v>237</v>
      </c>
      <c r="C25" s="164">
        <f>D18</f>
        <v>56943</v>
      </c>
      <c r="D25" s="151"/>
      <c r="E25" s="152"/>
    </row>
    <row r="26" spans="1:12" ht="25" x14ac:dyDescent="0.25">
      <c r="B26" s="167" t="s">
        <v>1</v>
      </c>
      <c r="C26" s="164">
        <f>D19*C25/(C15-D19)</f>
        <v>12415.099878197321</v>
      </c>
      <c r="D26" s="154" t="s">
        <v>243</v>
      </c>
      <c r="E26" s="156"/>
    </row>
    <row r="27" spans="1:12" ht="13" x14ac:dyDescent="0.25">
      <c r="B27" s="168" t="s">
        <v>5</v>
      </c>
      <c r="C27" s="165">
        <f>C25+C26</f>
        <v>69358.099878197318</v>
      </c>
      <c r="D27" s="151"/>
      <c r="E27" s="152"/>
    </row>
    <row r="29" spans="1:12" ht="13" x14ac:dyDescent="0.25">
      <c r="A29" s="63" t="s">
        <v>245</v>
      </c>
      <c r="B29" s="63"/>
      <c r="C29" s="63"/>
      <c r="D29" s="63"/>
      <c r="E29" s="63"/>
      <c r="F29" s="63"/>
      <c r="G29" s="63"/>
      <c r="H29" s="63"/>
      <c r="I29" s="63"/>
      <c r="J29" s="63"/>
      <c r="K29" s="63"/>
      <c r="L29" s="63"/>
    </row>
    <row r="30" spans="1:12" ht="26.5" customHeight="1" x14ac:dyDescent="0.25">
      <c r="A30" s="396" t="s">
        <v>232</v>
      </c>
      <c r="B30" s="396"/>
      <c r="C30" s="396"/>
      <c r="D30" s="396"/>
      <c r="E30" s="396"/>
      <c r="F30" s="396"/>
      <c r="G30" s="396"/>
    </row>
    <row r="31" spans="1:12" ht="26.5" customHeight="1" x14ac:dyDescent="0.25">
      <c r="A31" s="399" t="s">
        <v>288</v>
      </c>
      <c r="B31" s="399"/>
      <c r="C31" s="399"/>
      <c r="D31" s="399"/>
      <c r="E31" s="399"/>
      <c r="F31" s="399"/>
      <c r="G31" s="399"/>
    </row>
    <row r="32" spans="1:12" ht="13" x14ac:dyDescent="0.3">
      <c r="B32" s="15"/>
      <c r="C32" s="138"/>
      <c r="D32" s="15"/>
      <c r="E32" s="137"/>
    </row>
    <row r="33" spans="2:5" ht="13" x14ac:dyDescent="0.3">
      <c r="B33" s="172" t="s">
        <v>247</v>
      </c>
      <c r="C33" s="171" t="s">
        <v>233</v>
      </c>
      <c r="D33" s="14" t="s">
        <v>248</v>
      </c>
      <c r="E33" s="149"/>
    </row>
    <row r="34" spans="2:5" x14ac:dyDescent="0.25">
      <c r="B34" s="39" t="s">
        <v>2</v>
      </c>
      <c r="C34" s="173">
        <v>0.77</v>
      </c>
      <c r="D34" s="14"/>
      <c r="E34" s="149"/>
    </row>
    <row r="35" spans="2:5" x14ac:dyDescent="0.25">
      <c r="B35" s="39" t="s">
        <v>3</v>
      </c>
      <c r="C35" s="173">
        <v>0.14000000000000001</v>
      </c>
      <c r="D35" s="14"/>
      <c r="E35" s="149"/>
    </row>
    <row r="36" spans="2:5" x14ac:dyDescent="0.25">
      <c r="B36" s="153" t="s">
        <v>4</v>
      </c>
      <c r="C36" s="174">
        <v>0.08</v>
      </c>
      <c r="D36" s="14"/>
      <c r="E36" s="149"/>
    </row>
    <row r="37" spans="2:5" ht="13" x14ac:dyDescent="0.3">
      <c r="B37" s="15"/>
      <c r="C37" s="2"/>
      <c r="D37" s="15"/>
      <c r="E37" s="137"/>
    </row>
    <row r="38" spans="2:5" ht="13" x14ac:dyDescent="0.3">
      <c r="B38" s="75" t="s">
        <v>246</v>
      </c>
      <c r="C38" s="171" t="s">
        <v>233</v>
      </c>
      <c r="D38" s="14" t="s">
        <v>248</v>
      </c>
      <c r="E38" s="137"/>
    </row>
    <row r="39" spans="2:5" x14ac:dyDescent="0.25">
      <c r="B39" s="178" t="s">
        <v>6</v>
      </c>
      <c r="C39" s="175">
        <v>0.28999999999999998</v>
      </c>
      <c r="E39" s="149"/>
    </row>
    <row r="40" spans="2:5" x14ac:dyDescent="0.25">
      <c r="B40" s="39" t="s">
        <v>255</v>
      </c>
      <c r="C40" s="170">
        <f>1-C39</f>
        <v>0.71</v>
      </c>
      <c r="D40" s="14"/>
      <c r="E40" s="149"/>
    </row>
    <row r="41" spans="2:5" ht="13" x14ac:dyDescent="0.3">
      <c r="B41" s="150" t="s">
        <v>249</v>
      </c>
      <c r="C41" s="176">
        <v>0.17</v>
      </c>
      <c r="D41" s="14"/>
      <c r="E41" s="149"/>
    </row>
    <row r="42" spans="2:5" ht="13" x14ac:dyDescent="0.3">
      <c r="B42" s="150" t="s">
        <v>250</v>
      </c>
      <c r="C42" s="176">
        <v>0.16</v>
      </c>
      <c r="D42" s="14"/>
      <c r="E42" s="149"/>
    </row>
    <row r="43" spans="2:5" ht="13" x14ac:dyDescent="0.3">
      <c r="B43" s="150" t="s">
        <v>251</v>
      </c>
      <c r="C43" s="176">
        <v>0.16</v>
      </c>
      <c r="D43" s="14"/>
      <c r="E43" s="149"/>
    </row>
    <row r="44" spans="2:5" ht="13" x14ac:dyDescent="0.3">
      <c r="B44" s="150" t="s">
        <v>252</v>
      </c>
      <c r="C44" s="176">
        <v>0.13</v>
      </c>
      <c r="D44" s="14"/>
      <c r="E44" s="149"/>
    </row>
    <row r="45" spans="2:5" ht="13" x14ac:dyDescent="0.3">
      <c r="B45" s="150" t="s">
        <v>253</v>
      </c>
      <c r="C45" s="176">
        <v>0.06</v>
      </c>
      <c r="D45" s="14"/>
      <c r="E45" s="149"/>
    </row>
    <row r="46" spans="2:5" ht="13" x14ac:dyDescent="0.3">
      <c r="B46" s="87" t="s">
        <v>254</v>
      </c>
      <c r="C46" s="177">
        <v>0.01</v>
      </c>
      <c r="D46" s="14"/>
      <c r="E46" s="149"/>
    </row>
    <row r="47" spans="2:5" ht="13" x14ac:dyDescent="0.3">
      <c r="B47" s="15"/>
      <c r="C47" s="179"/>
      <c r="D47" s="14"/>
      <c r="E47" s="149"/>
    </row>
    <row r="48" spans="2:5" ht="26" x14ac:dyDescent="0.3">
      <c r="B48" s="186" t="s">
        <v>256</v>
      </c>
      <c r="C48" s="187" t="s">
        <v>234</v>
      </c>
      <c r="D48" s="14"/>
      <c r="E48" s="149"/>
    </row>
    <row r="49" spans="1:12" x14ac:dyDescent="0.25">
      <c r="B49" s="96" t="s">
        <v>120</v>
      </c>
      <c r="C49" s="181">
        <f>($C$35+$C$36)*$C$27</f>
        <v>15258.781973203411</v>
      </c>
      <c r="D49" s="14"/>
      <c r="E49" s="149"/>
    </row>
    <row r="50" spans="1:12" x14ac:dyDescent="0.25">
      <c r="B50" s="96" t="s">
        <v>2</v>
      </c>
      <c r="C50" s="181">
        <f>$C$34*$C$27</f>
        <v>53405.736906211932</v>
      </c>
      <c r="D50" s="14"/>
      <c r="E50" s="149"/>
    </row>
    <row r="51" spans="1:12" ht="13" x14ac:dyDescent="0.3">
      <c r="B51" s="185" t="s">
        <v>121</v>
      </c>
      <c r="C51" s="182">
        <f>$C$40*C$50</f>
        <v>37918.073203410473</v>
      </c>
      <c r="D51" s="14"/>
      <c r="E51" s="149"/>
    </row>
    <row r="52" spans="1:12" ht="13" x14ac:dyDescent="0.3">
      <c r="B52" s="185" t="s">
        <v>122</v>
      </c>
      <c r="C52" s="183">
        <f>$C$39*C$50</f>
        <v>15487.663702801459</v>
      </c>
      <c r="D52" s="14"/>
      <c r="E52" s="149"/>
    </row>
    <row r="53" spans="1:12" ht="13" x14ac:dyDescent="0.3">
      <c r="B53" s="97" t="s">
        <v>5</v>
      </c>
      <c r="C53" s="184">
        <f>SUM(C49:C50)</f>
        <v>68664.518879415351</v>
      </c>
      <c r="D53" s="15"/>
      <c r="E53" s="137"/>
    </row>
    <row r="54" spans="1:12" ht="13" x14ac:dyDescent="0.3">
      <c r="B54" s="15"/>
      <c r="C54" s="2"/>
      <c r="D54" s="15"/>
      <c r="E54" s="137"/>
    </row>
    <row r="56" spans="1:12" ht="18" customHeight="1" x14ac:dyDescent="0.3">
      <c r="A56" s="42" t="s">
        <v>259</v>
      </c>
      <c r="B56" s="11"/>
      <c r="C56" s="11"/>
      <c r="D56" s="11"/>
      <c r="E56" s="11"/>
      <c r="F56" s="11"/>
      <c r="G56" s="11"/>
      <c r="H56" s="11"/>
      <c r="I56" s="11"/>
      <c r="J56" s="11"/>
      <c r="K56" s="11"/>
      <c r="L56" s="11"/>
    </row>
    <row r="57" spans="1:12" ht="98.5" customHeight="1" x14ac:dyDescent="0.25">
      <c r="A57" s="396" t="s">
        <v>282</v>
      </c>
      <c r="B57" s="400"/>
      <c r="C57" s="400"/>
      <c r="D57" s="400"/>
      <c r="E57" s="400"/>
      <c r="F57" s="400"/>
      <c r="G57" s="400"/>
      <c r="H57" s="10"/>
    </row>
    <row r="58" spans="1:12" ht="13" x14ac:dyDescent="0.3">
      <c r="B58" s="21"/>
      <c r="C58" s="131"/>
      <c r="D58" s="131"/>
      <c r="E58" s="131"/>
      <c r="F58" s="131"/>
      <c r="G58" s="132"/>
      <c r="H58" s="10"/>
    </row>
    <row r="59" spans="1:12" ht="26" x14ac:dyDescent="0.25">
      <c r="B59" s="187" t="s">
        <v>283</v>
      </c>
      <c r="C59" s="189" t="s">
        <v>257</v>
      </c>
      <c r="D59" s="194" t="s">
        <v>260</v>
      </c>
      <c r="E59" s="251" t="s">
        <v>228</v>
      </c>
      <c r="F59" s="195" t="s">
        <v>261</v>
      </c>
      <c r="G59" s="255" t="s">
        <v>228</v>
      </c>
    </row>
    <row r="60" spans="1:12" ht="13" x14ac:dyDescent="0.3">
      <c r="B60" s="96" t="s">
        <v>120</v>
      </c>
      <c r="C60" s="196">
        <f>($C$35+$C$36)*$C$27</f>
        <v>15258.781973203411</v>
      </c>
      <c r="D60" s="197">
        <f>$C60*(1+E60)</f>
        <v>12073.987829623096</v>
      </c>
      <c r="E60" s="252">
        <f>'Trafic par aéroport'!$Q$63</f>
        <v>-0.20871876596528247</v>
      </c>
      <c r="F60" s="197">
        <f>$C60*(1+G60)</f>
        <v>5552.6530121642609</v>
      </c>
      <c r="G60" s="256">
        <f>'Trafic par aéroport'!$U$63</f>
        <v>-0.63610116312589637</v>
      </c>
      <c r="H60" s="3" t="s">
        <v>284</v>
      </c>
    </row>
    <row r="61" spans="1:12" ht="13" x14ac:dyDescent="0.3">
      <c r="B61" s="96" t="s">
        <v>2</v>
      </c>
      <c r="C61" s="190">
        <f>$C$34*$C$27</f>
        <v>53405.736906211932</v>
      </c>
      <c r="D61" s="115">
        <f>SUM(D62:D63)</f>
        <v>44385.261766357609</v>
      </c>
      <c r="E61" s="117">
        <f>(D61-$C61)/$C61</f>
        <v>-0.16890460954963621</v>
      </c>
      <c r="F61" s="115">
        <f>SUM(F62:F63)</f>
        <v>23754.697972743408</v>
      </c>
      <c r="G61" s="120">
        <f>(F61-$C61)/$C61</f>
        <v>-0.55520325439081508</v>
      </c>
    </row>
    <row r="62" spans="1:12" ht="13" x14ac:dyDescent="0.3">
      <c r="B62" s="185" t="s">
        <v>121</v>
      </c>
      <c r="C62" s="191">
        <f>$C$40*C$50</f>
        <v>37918.073203410473</v>
      </c>
      <c r="D62" s="180">
        <f>$C62*(1+E62)</f>
        <v>30003.859756613394</v>
      </c>
      <c r="E62" s="117">
        <f>'Trafic par aéroport'!$Q$63</f>
        <v>-0.20871876596528247</v>
      </c>
      <c r="F62" s="180">
        <f>$C62*(1+G62)</f>
        <v>13798.342735228187</v>
      </c>
      <c r="G62" s="120">
        <f>'Trafic par aéroport'!$U$63</f>
        <v>-0.63610116312589637</v>
      </c>
      <c r="H62" s="3" t="s">
        <v>284</v>
      </c>
    </row>
    <row r="63" spans="1:12" ht="13" x14ac:dyDescent="0.3">
      <c r="B63" s="185" t="s">
        <v>122</v>
      </c>
      <c r="C63" s="192">
        <f>$C$39*C$50</f>
        <v>15487.663702801459</v>
      </c>
      <c r="D63" s="180">
        <f>$C63*(1+E63)</f>
        <v>14381.402009744214</v>
      </c>
      <c r="E63" s="253">
        <f>E4*'Trafic par aéroport'!$D$15</f>
        <v>-7.1428571428571425E-2</v>
      </c>
      <c r="F63" s="180">
        <f>$C63*(1+G63)</f>
        <v>9956.3552375152231</v>
      </c>
      <c r="G63" s="257">
        <f>G4*'Trafic par aéroport'!$D$15</f>
        <v>-0.35714285714285715</v>
      </c>
      <c r="H63" s="3" t="s">
        <v>285</v>
      </c>
    </row>
    <row r="64" spans="1:12" ht="13" x14ac:dyDescent="0.3">
      <c r="B64" s="97" t="s">
        <v>5</v>
      </c>
      <c r="C64" s="193">
        <f>SUM(C60:C61)</f>
        <v>68664.518879415351</v>
      </c>
      <c r="D64" s="100">
        <f>SUM(D60:D61)</f>
        <v>56459.249595980706</v>
      </c>
      <c r="E64" s="254">
        <f>(D64-$C64)/$C64</f>
        <v>-0.17775219986422439</v>
      </c>
      <c r="F64" s="100">
        <f>SUM(F60:F61)</f>
        <v>29307.350984907669</v>
      </c>
      <c r="G64" s="258">
        <f>(F64-$C64)/$C64</f>
        <v>-0.57318056744305546</v>
      </c>
    </row>
    <row r="65" spans="1:12" x14ac:dyDescent="0.25">
      <c r="F65" s="32"/>
    </row>
    <row r="66" spans="1:12" ht="18" customHeight="1" x14ac:dyDescent="0.3">
      <c r="A66" s="42" t="s">
        <v>222</v>
      </c>
      <c r="B66" s="11"/>
      <c r="C66" s="11"/>
      <c r="D66" s="11"/>
      <c r="E66" s="11"/>
      <c r="F66" s="11"/>
      <c r="G66" s="11"/>
      <c r="H66" s="11"/>
      <c r="I66" s="11"/>
      <c r="J66" s="11"/>
      <c r="K66" s="11"/>
      <c r="L66" s="11"/>
    </row>
    <row r="90" spans="2:31" ht="13" x14ac:dyDescent="0.3">
      <c r="B90" s="21" t="s">
        <v>123</v>
      </c>
    </row>
    <row r="91" spans="2:31" x14ac:dyDescent="0.25">
      <c r="B91" s="76"/>
      <c r="C91" s="259">
        <v>2022</v>
      </c>
      <c r="D91" s="260">
        <v>2023</v>
      </c>
      <c r="E91" s="260">
        <v>2024</v>
      </c>
      <c r="F91" s="260">
        <v>2025</v>
      </c>
      <c r="G91" s="260">
        <v>2026</v>
      </c>
      <c r="H91" s="260">
        <v>2027</v>
      </c>
      <c r="I91" s="260">
        <v>2028</v>
      </c>
      <c r="J91" s="260">
        <v>2029</v>
      </c>
      <c r="K91" s="260">
        <v>2030</v>
      </c>
      <c r="L91" s="260">
        <v>2031</v>
      </c>
      <c r="M91" s="260">
        <v>2032</v>
      </c>
      <c r="N91" s="260">
        <v>2033</v>
      </c>
      <c r="O91" s="260">
        <v>2034</v>
      </c>
      <c r="P91" s="260">
        <v>2035</v>
      </c>
      <c r="Q91" s="260">
        <v>2036</v>
      </c>
      <c r="R91" s="260">
        <v>2037</v>
      </c>
      <c r="S91" s="260">
        <v>2038</v>
      </c>
      <c r="T91" s="260">
        <v>2039</v>
      </c>
      <c r="U91" s="260">
        <v>2040</v>
      </c>
      <c r="V91" s="260">
        <v>2041</v>
      </c>
      <c r="W91" s="260">
        <v>2042</v>
      </c>
      <c r="X91" s="260">
        <v>2043</v>
      </c>
      <c r="Y91" s="260">
        <v>2044</v>
      </c>
      <c r="Z91" s="260">
        <v>2045</v>
      </c>
      <c r="AA91" s="260">
        <v>2046</v>
      </c>
      <c r="AB91" s="260">
        <v>2047</v>
      </c>
      <c r="AC91" s="260">
        <v>2048</v>
      </c>
      <c r="AD91" s="260">
        <v>2049</v>
      </c>
      <c r="AE91" s="261">
        <v>2050</v>
      </c>
    </row>
    <row r="92" spans="2:31" x14ac:dyDescent="0.25">
      <c r="B92" s="96" t="s">
        <v>120</v>
      </c>
      <c r="C92" s="29">
        <f>VLOOKUP($B92,$B$59:$G$64,2,0)</f>
        <v>15258.781973203411</v>
      </c>
      <c r="D92" s="262">
        <f t="shared" ref="D92:G94" si="1">C92+($H92-$C92)/COUNTA($D$91:$H$91)</f>
        <v>14621.823144487349</v>
      </c>
      <c r="E92" s="262">
        <f t="shared" si="1"/>
        <v>13984.864315771287</v>
      </c>
      <c r="F92" s="262">
        <f t="shared" si="1"/>
        <v>13347.905487055225</v>
      </c>
      <c r="G92" s="262">
        <f t="shared" si="1"/>
        <v>12710.946658339162</v>
      </c>
      <c r="H92" s="29">
        <f>VLOOKUP($B92,$B$59:$G$64,3,0)</f>
        <v>12073.987829623096</v>
      </c>
      <c r="I92" s="262">
        <f>H92+($AE92-$H92)/COUNTA($I$91:$AE$91)</f>
        <v>11790.451533211843</v>
      </c>
      <c r="J92" s="262">
        <f t="shared" ref="J92:AD92" si="2">I92+($AE92-$H92)/COUNTA($I$91:$AE$91)</f>
        <v>11506.915236800589</v>
      </c>
      <c r="K92" s="262">
        <f t="shared" si="2"/>
        <v>11223.378940389335</v>
      </c>
      <c r="L92" s="262">
        <f t="shared" si="2"/>
        <v>10939.842643978081</v>
      </c>
      <c r="M92" s="262">
        <f t="shared" si="2"/>
        <v>10656.306347566828</v>
      </c>
      <c r="N92" s="262">
        <f t="shared" si="2"/>
        <v>10372.770051155574</v>
      </c>
      <c r="O92" s="262">
        <f t="shared" si="2"/>
        <v>10089.23375474432</v>
      </c>
      <c r="P92" s="262">
        <f t="shared" si="2"/>
        <v>9805.6974583330666</v>
      </c>
      <c r="Q92" s="262">
        <f t="shared" si="2"/>
        <v>9522.1611619218129</v>
      </c>
      <c r="R92" s="262">
        <f t="shared" si="2"/>
        <v>9238.6248655105592</v>
      </c>
      <c r="S92" s="262">
        <f t="shared" si="2"/>
        <v>8955.0885690993055</v>
      </c>
      <c r="T92" s="262">
        <f t="shared" si="2"/>
        <v>8671.5522726880517</v>
      </c>
      <c r="U92" s="262">
        <f t="shared" si="2"/>
        <v>8388.015976276798</v>
      </c>
      <c r="V92" s="262">
        <f t="shared" si="2"/>
        <v>8104.4796798655443</v>
      </c>
      <c r="W92" s="262">
        <f t="shared" si="2"/>
        <v>7820.9433834542906</v>
      </c>
      <c r="X92" s="262">
        <f t="shared" si="2"/>
        <v>7537.4070870430369</v>
      </c>
      <c r="Y92" s="262">
        <f t="shared" si="2"/>
        <v>7253.8707906317832</v>
      </c>
      <c r="Z92" s="262">
        <f t="shared" si="2"/>
        <v>6970.3344942205295</v>
      </c>
      <c r="AA92" s="262">
        <f t="shared" si="2"/>
        <v>6686.7981978092757</v>
      </c>
      <c r="AB92" s="262">
        <f t="shared" si="2"/>
        <v>6403.261901398022</v>
      </c>
      <c r="AC92" s="262">
        <f t="shared" si="2"/>
        <v>6119.7256049867683</v>
      </c>
      <c r="AD92" s="262">
        <f t="shared" si="2"/>
        <v>5836.1893085755146</v>
      </c>
      <c r="AE92" s="140">
        <f>VLOOKUP($B92,$B$59:$G$64,5,0)</f>
        <v>5552.6530121642609</v>
      </c>
    </row>
    <row r="93" spans="2:31" ht="13" x14ac:dyDescent="0.3">
      <c r="B93" s="150" t="s">
        <v>121</v>
      </c>
      <c r="C93" s="29">
        <f>VLOOKUP($B93,$B$59:$G$64,2,0)</f>
        <v>37918.073203410473</v>
      </c>
      <c r="D93" s="262">
        <f t="shared" si="1"/>
        <v>36335.230514051058</v>
      </c>
      <c r="E93" s="262">
        <f t="shared" si="1"/>
        <v>34752.387824691643</v>
      </c>
      <c r="F93" s="262">
        <f t="shared" si="1"/>
        <v>33169.545135332228</v>
      </c>
      <c r="G93" s="262">
        <f t="shared" si="1"/>
        <v>31586.702445972813</v>
      </c>
      <c r="H93" s="29">
        <f t="shared" ref="H93:H94" si="3">VLOOKUP($B93,$B$59:$G$64,3,0)</f>
        <v>30003.859756613394</v>
      </c>
      <c r="I93" s="262">
        <f t="shared" ref="I93:AD93" si="4">H93+($AE93-$H93)/COUNTA($I$91:$AE$91)</f>
        <v>29299.272060031428</v>
      </c>
      <c r="J93" s="262">
        <f t="shared" si="4"/>
        <v>28594.684363449462</v>
      </c>
      <c r="K93" s="262">
        <f t="shared" si="4"/>
        <v>27890.096666867496</v>
      </c>
      <c r="L93" s="262">
        <f t="shared" si="4"/>
        <v>27185.508970285529</v>
      </c>
      <c r="M93" s="262">
        <f t="shared" si="4"/>
        <v>26480.921273703563</v>
      </c>
      <c r="N93" s="262">
        <f t="shared" si="4"/>
        <v>25776.333577121597</v>
      </c>
      <c r="O93" s="262">
        <f t="shared" si="4"/>
        <v>25071.745880539631</v>
      </c>
      <c r="P93" s="262">
        <f t="shared" si="4"/>
        <v>24367.158183957665</v>
      </c>
      <c r="Q93" s="262">
        <f t="shared" si="4"/>
        <v>23662.570487375699</v>
      </c>
      <c r="R93" s="262">
        <f t="shared" si="4"/>
        <v>22957.982790793732</v>
      </c>
      <c r="S93" s="262">
        <f t="shared" si="4"/>
        <v>22253.395094211766</v>
      </c>
      <c r="T93" s="262">
        <f t="shared" si="4"/>
        <v>21548.8073976298</v>
      </c>
      <c r="U93" s="262">
        <f t="shared" si="4"/>
        <v>20844.219701047834</v>
      </c>
      <c r="V93" s="262">
        <f t="shared" si="4"/>
        <v>20139.632004465868</v>
      </c>
      <c r="W93" s="262">
        <f t="shared" si="4"/>
        <v>19435.044307883902</v>
      </c>
      <c r="X93" s="262">
        <f t="shared" si="4"/>
        <v>18730.456611301935</v>
      </c>
      <c r="Y93" s="262">
        <f t="shared" si="4"/>
        <v>18025.868914719969</v>
      </c>
      <c r="Z93" s="262">
        <f t="shared" si="4"/>
        <v>17321.281218138003</v>
      </c>
      <c r="AA93" s="262">
        <f t="shared" si="4"/>
        <v>16616.693521556037</v>
      </c>
      <c r="AB93" s="262">
        <f t="shared" si="4"/>
        <v>15912.105824974071</v>
      </c>
      <c r="AC93" s="262">
        <f t="shared" si="4"/>
        <v>15207.518128392105</v>
      </c>
      <c r="AD93" s="262">
        <f t="shared" si="4"/>
        <v>14502.930431810139</v>
      </c>
      <c r="AE93" s="140">
        <f t="shared" ref="AE93:AE94" si="5">VLOOKUP($B93,$B$59:$G$64,5,0)</f>
        <v>13798.342735228187</v>
      </c>
    </row>
    <row r="94" spans="2:31" ht="13" x14ac:dyDescent="0.3">
      <c r="B94" s="87" t="s">
        <v>122</v>
      </c>
      <c r="C94" s="141">
        <f>VLOOKUP($B94,$B$59:$G$64,2,0)</f>
        <v>15487.663702801459</v>
      </c>
      <c r="D94" s="263">
        <f t="shared" si="1"/>
        <v>15266.411364190009</v>
      </c>
      <c r="E94" s="263">
        <f t="shared" si="1"/>
        <v>15045.15902557856</v>
      </c>
      <c r="F94" s="263">
        <f t="shared" si="1"/>
        <v>14823.90668696711</v>
      </c>
      <c r="G94" s="263">
        <f t="shared" si="1"/>
        <v>14602.65434835566</v>
      </c>
      <c r="H94" s="141">
        <f t="shared" si="3"/>
        <v>14381.402009744214</v>
      </c>
      <c r="I94" s="263">
        <f t="shared" ref="I94:AD94" si="6">H94+($AE94-$H94)/COUNTA($I$91:$AE$91)</f>
        <v>14189.008671821213</v>
      </c>
      <c r="J94" s="263">
        <f t="shared" si="6"/>
        <v>13996.615333898213</v>
      </c>
      <c r="K94" s="263">
        <f t="shared" si="6"/>
        <v>13804.221995975213</v>
      </c>
      <c r="L94" s="263">
        <f t="shared" si="6"/>
        <v>13611.828658052213</v>
      </c>
      <c r="M94" s="263">
        <f t="shared" si="6"/>
        <v>13419.435320129212</v>
      </c>
      <c r="N94" s="263">
        <f t="shared" si="6"/>
        <v>13227.041982206212</v>
      </c>
      <c r="O94" s="263">
        <f t="shared" si="6"/>
        <v>13034.648644283212</v>
      </c>
      <c r="P94" s="263">
        <f t="shared" si="6"/>
        <v>12842.255306360212</v>
      </c>
      <c r="Q94" s="263">
        <f t="shared" si="6"/>
        <v>12649.861968437212</v>
      </c>
      <c r="R94" s="263">
        <f t="shared" si="6"/>
        <v>12457.468630514211</v>
      </c>
      <c r="S94" s="263">
        <f t="shared" si="6"/>
        <v>12265.075292591211</v>
      </c>
      <c r="T94" s="263">
        <f t="shared" si="6"/>
        <v>12072.681954668211</v>
      </c>
      <c r="U94" s="263">
        <f t="shared" si="6"/>
        <v>11880.288616745211</v>
      </c>
      <c r="V94" s="263">
        <f t="shared" si="6"/>
        <v>11687.89527882221</v>
      </c>
      <c r="W94" s="263">
        <f t="shared" si="6"/>
        <v>11495.50194089921</v>
      </c>
      <c r="X94" s="263">
        <f t="shared" si="6"/>
        <v>11303.10860297621</v>
      </c>
      <c r="Y94" s="263">
        <f t="shared" si="6"/>
        <v>11110.71526505321</v>
      </c>
      <c r="Z94" s="263">
        <f t="shared" si="6"/>
        <v>10918.32192713021</v>
      </c>
      <c r="AA94" s="263">
        <f t="shared" si="6"/>
        <v>10725.928589207209</v>
      </c>
      <c r="AB94" s="263">
        <f t="shared" si="6"/>
        <v>10533.535251284209</v>
      </c>
      <c r="AC94" s="263">
        <f t="shared" si="6"/>
        <v>10341.141913361209</v>
      </c>
      <c r="AD94" s="263">
        <f t="shared" si="6"/>
        <v>10148.748575438209</v>
      </c>
      <c r="AE94" s="142">
        <f t="shared" si="5"/>
        <v>9956.3552375152231</v>
      </c>
    </row>
  </sheetData>
  <mergeCells count="5">
    <mergeCell ref="A12:G12"/>
    <mergeCell ref="A11:G11"/>
    <mergeCell ref="A30:G30"/>
    <mergeCell ref="A31:G31"/>
    <mergeCell ref="A57:G57"/>
  </mergeCells>
  <phoneticPr fontId="21"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sheetPr>
  <dimension ref="A1:Z65"/>
  <sheetViews>
    <sheetView zoomScale="62" zoomScaleNormal="100" workbookViewId="0">
      <selection activeCell="V18" sqref="V18"/>
    </sheetView>
  </sheetViews>
  <sheetFormatPr baseColWidth="10" defaultColWidth="10.81640625" defaultRowHeight="12.5" x14ac:dyDescent="0.25"/>
  <cols>
    <col min="1" max="1" width="10.81640625" style="208"/>
    <col min="2" max="2" width="8" style="208" customWidth="1"/>
    <col min="3" max="3" width="30.1796875" style="208" customWidth="1"/>
    <col min="4" max="4" width="31.36328125" style="208" customWidth="1"/>
    <col min="5" max="5" width="11.81640625" style="208" customWidth="1"/>
    <col min="6" max="16" width="10.81640625" style="208" customWidth="1"/>
    <col min="17" max="24" width="21.6328125" style="208" customWidth="1"/>
    <col min="25" max="26" width="10.81640625" style="208"/>
    <col min="27" max="27" width="27.36328125" style="208" customWidth="1"/>
    <col min="28" max="16384" width="10.81640625" style="208"/>
  </cols>
  <sheetData>
    <row r="1" spans="1:26" s="3" customFormat="1" ht="18" customHeight="1" x14ac:dyDescent="0.3">
      <c r="A1" s="207" t="s">
        <v>276</v>
      </c>
      <c r="B1" s="11"/>
      <c r="C1" s="11"/>
      <c r="D1" s="11"/>
      <c r="E1" s="11"/>
      <c r="F1" s="11"/>
      <c r="G1" s="11"/>
      <c r="H1" s="11"/>
      <c r="I1" s="11"/>
      <c r="J1" s="11"/>
      <c r="K1" s="11"/>
      <c r="L1" s="11"/>
      <c r="M1" s="11"/>
      <c r="N1" s="11"/>
      <c r="O1" s="11"/>
      <c r="P1" s="11"/>
      <c r="Q1" s="11"/>
      <c r="R1" s="11"/>
      <c r="S1" s="11"/>
      <c r="T1" s="11"/>
      <c r="U1" s="11"/>
      <c r="V1" s="11"/>
      <c r="W1" s="11"/>
      <c r="X1" s="11"/>
      <c r="Y1" s="11"/>
      <c r="Z1" s="11"/>
    </row>
    <row r="2" spans="1:26" ht="38" customHeight="1" x14ac:dyDescent="0.25">
      <c r="A2" s="406" t="s">
        <v>277</v>
      </c>
      <c r="B2" s="406"/>
      <c r="C2" s="406"/>
      <c r="D2" s="406"/>
      <c r="E2" s="406"/>
      <c r="F2" s="406"/>
      <c r="G2" s="406"/>
      <c r="H2" s="406"/>
      <c r="I2" s="406"/>
      <c r="K2" s="209"/>
      <c r="L2" s="209"/>
    </row>
    <row r="3" spans="1:26" ht="169.5" customHeight="1" x14ac:dyDescent="0.25">
      <c r="A3" s="406" t="s">
        <v>280</v>
      </c>
      <c r="B3" s="406"/>
      <c r="C3" s="406"/>
      <c r="D3" s="406"/>
      <c r="E3" s="406"/>
      <c r="F3" s="406"/>
      <c r="G3" s="406"/>
      <c r="H3" s="406"/>
      <c r="I3" s="406"/>
      <c r="K3" s="209"/>
      <c r="L3" s="209"/>
    </row>
    <row r="4" spans="1:26" ht="46" customHeight="1" x14ac:dyDescent="0.25">
      <c r="A4" s="406" t="s">
        <v>281</v>
      </c>
      <c r="B4" s="406"/>
      <c r="C4" s="406"/>
      <c r="D4" s="406"/>
      <c r="E4" s="406"/>
      <c r="F4" s="406"/>
      <c r="G4" s="406"/>
      <c r="H4" s="406"/>
      <c r="I4" s="406"/>
      <c r="K4" s="209"/>
      <c r="L4" s="209"/>
    </row>
    <row r="5" spans="1:26" x14ac:dyDescent="0.25">
      <c r="K5" s="209"/>
      <c r="L5" s="209"/>
    </row>
    <row r="6" spans="1:26" ht="13" x14ac:dyDescent="0.25">
      <c r="C6" s="210" t="s">
        <v>262</v>
      </c>
      <c r="D6" s="211"/>
      <c r="E6" s="211"/>
      <c r="F6" s="211"/>
      <c r="G6" s="211"/>
      <c r="H6" s="211"/>
      <c r="I6" s="211"/>
      <c r="K6" s="209"/>
      <c r="L6" s="209"/>
    </row>
    <row r="7" spans="1:26" ht="13" x14ac:dyDescent="0.25">
      <c r="C7" s="212" t="s">
        <v>274</v>
      </c>
      <c r="D7" s="213" t="s">
        <v>268</v>
      </c>
      <c r="E7" s="213" t="s">
        <v>269</v>
      </c>
      <c r="F7" s="213" t="s">
        <v>270</v>
      </c>
      <c r="G7" s="213" t="s">
        <v>271</v>
      </c>
      <c r="H7" s="384" t="s">
        <v>341</v>
      </c>
      <c r="I7" s="214" t="s">
        <v>272</v>
      </c>
      <c r="K7" s="209"/>
      <c r="L7" s="209"/>
    </row>
    <row r="8" spans="1:26" ht="13" x14ac:dyDescent="0.25">
      <c r="C8" s="215" t="s">
        <v>263</v>
      </c>
      <c r="D8" s="216">
        <v>0.9</v>
      </c>
      <c r="E8" s="216">
        <v>0.7</v>
      </c>
      <c r="F8" s="216">
        <v>0.3</v>
      </c>
      <c r="G8" s="216">
        <v>0.2</v>
      </c>
      <c r="H8" s="216">
        <v>0.1</v>
      </c>
      <c r="I8" s="217">
        <v>0</v>
      </c>
      <c r="K8" s="209"/>
      <c r="L8" s="209"/>
    </row>
    <row r="9" spans="1:26" x14ac:dyDescent="0.25">
      <c r="C9" s="211"/>
      <c r="D9" s="211"/>
      <c r="E9" s="211"/>
      <c r="F9" s="211"/>
      <c r="G9" s="211"/>
      <c r="H9" s="211"/>
      <c r="I9" s="211"/>
      <c r="K9" s="209"/>
      <c r="L9" s="209"/>
    </row>
    <row r="10" spans="1:26" ht="26" x14ac:dyDescent="0.25">
      <c r="C10" s="212" t="s">
        <v>264</v>
      </c>
      <c r="D10" s="218">
        <f>-6%*67%</f>
        <v>-4.02E-2</v>
      </c>
      <c r="E10" s="211" t="s">
        <v>267</v>
      </c>
      <c r="F10" s="211"/>
      <c r="G10" s="211"/>
      <c r="H10" s="211"/>
      <c r="I10" s="211"/>
      <c r="K10" s="209"/>
      <c r="L10" s="209"/>
    </row>
    <row r="11" spans="1:26" ht="26" x14ac:dyDescent="0.25">
      <c r="C11" s="219" t="s">
        <v>265</v>
      </c>
      <c r="D11" s="220">
        <f>-45%*67%</f>
        <v>-0.30150000000000005</v>
      </c>
      <c r="E11" s="211" t="s">
        <v>266</v>
      </c>
      <c r="F11" s="211"/>
      <c r="G11" s="211"/>
      <c r="H11" s="211"/>
      <c r="I11" s="211"/>
      <c r="K11" s="209"/>
      <c r="L11" s="209"/>
    </row>
    <row r="12" spans="1:26" x14ac:dyDescent="0.25">
      <c r="K12" s="209"/>
      <c r="L12" s="209"/>
    </row>
    <row r="13" spans="1:26" ht="39" x14ac:dyDescent="0.3">
      <c r="C13" s="387" t="s">
        <v>342</v>
      </c>
      <c r="D13" s="386">
        <v>-6.6362243611310254E-2</v>
      </c>
      <c r="K13" s="209"/>
      <c r="L13" s="209"/>
    </row>
    <row r="14" spans="1:26" x14ac:dyDescent="0.25">
      <c r="K14" s="209"/>
      <c r="L14" s="209"/>
    </row>
    <row r="15" spans="1:26" ht="26" x14ac:dyDescent="0.25">
      <c r="C15" s="221" t="s">
        <v>113</v>
      </c>
      <c r="D15" s="222">
        <v>1</v>
      </c>
      <c r="E15" s="211" t="s">
        <v>275</v>
      </c>
      <c r="K15" s="209"/>
      <c r="L15" s="209"/>
    </row>
    <row r="16" spans="1:26" ht="12" customHeight="1" x14ac:dyDescent="0.25">
      <c r="J16" s="223"/>
      <c r="K16" s="223"/>
      <c r="L16" s="223"/>
      <c r="M16" s="223"/>
      <c r="N16" s="223"/>
    </row>
    <row r="17" spans="1:22" ht="30.5" customHeight="1" x14ac:dyDescent="0.25">
      <c r="A17" s="403" t="s">
        <v>3</v>
      </c>
      <c r="B17" s="404"/>
      <c r="C17" s="405"/>
      <c r="D17" s="250" t="s">
        <v>112</v>
      </c>
      <c r="E17" s="404" t="s">
        <v>7</v>
      </c>
      <c r="F17" s="404"/>
      <c r="G17" s="404"/>
      <c r="H17" s="404"/>
      <c r="I17" s="405"/>
      <c r="J17" s="403" t="s">
        <v>8</v>
      </c>
      <c r="K17" s="404"/>
      <c r="L17" s="404"/>
      <c r="M17" s="404"/>
      <c r="N17" s="404"/>
      <c r="O17" s="404"/>
      <c r="P17" s="405"/>
      <c r="Q17" s="401">
        <v>2027</v>
      </c>
      <c r="R17" s="402"/>
      <c r="S17" s="403">
        <v>2050</v>
      </c>
      <c r="T17" s="404"/>
      <c r="U17" s="404"/>
      <c r="V17" s="405"/>
    </row>
    <row r="18" spans="1:22" ht="25" x14ac:dyDescent="0.25">
      <c r="A18" s="234" t="s">
        <v>273</v>
      </c>
      <c r="B18" s="235" t="s">
        <v>9</v>
      </c>
      <c r="C18" s="236" t="s">
        <v>10</v>
      </c>
      <c r="D18" s="236" t="s">
        <v>111</v>
      </c>
      <c r="E18" s="235" t="s">
        <v>11</v>
      </c>
      <c r="F18" s="235" t="s">
        <v>12</v>
      </c>
      <c r="G18" s="235" t="s">
        <v>13</v>
      </c>
      <c r="H18" s="235" t="s">
        <v>14</v>
      </c>
      <c r="I18" s="236" t="s">
        <v>15</v>
      </c>
      <c r="J18" s="234" t="s">
        <v>16</v>
      </c>
      <c r="K18" s="235" t="s">
        <v>17</v>
      </c>
      <c r="L18" s="235" t="s">
        <v>18</v>
      </c>
      <c r="M18" s="235" t="s">
        <v>19</v>
      </c>
      <c r="N18" s="385" t="s">
        <v>341</v>
      </c>
      <c r="O18" s="235" t="s">
        <v>20</v>
      </c>
      <c r="P18" s="236" t="s">
        <v>15</v>
      </c>
      <c r="Q18" s="242" t="s">
        <v>287</v>
      </c>
      <c r="R18" s="243" t="s">
        <v>112</v>
      </c>
      <c r="S18" s="242" t="s">
        <v>278</v>
      </c>
      <c r="T18" s="244" t="s">
        <v>279</v>
      </c>
      <c r="U18" s="249" t="s">
        <v>286</v>
      </c>
      <c r="V18" s="243" t="s">
        <v>112</v>
      </c>
    </row>
    <row r="19" spans="1:22" x14ac:dyDescent="0.25">
      <c r="A19" s="224" t="s">
        <v>55</v>
      </c>
      <c r="B19" s="225" t="s">
        <v>56</v>
      </c>
      <c r="C19" s="226" t="s">
        <v>57</v>
      </c>
      <c r="D19" s="237">
        <v>1673</v>
      </c>
      <c r="E19" s="238">
        <v>0</v>
      </c>
      <c r="F19" s="238">
        <v>0</v>
      </c>
      <c r="G19" s="238">
        <v>0</v>
      </c>
      <c r="H19" s="238">
        <v>1</v>
      </c>
      <c r="I19" s="239">
        <f t="shared" ref="I19:I62" si="0">SUM(E19:H19)</f>
        <v>1</v>
      </c>
      <c r="J19" s="241">
        <v>0.43349844188304199</v>
      </c>
      <c r="K19" s="238">
        <v>0.56650155811695801</v>
      </c>
      <c r="L19" s="238">
        <v>0</v>
      </c>
      <c r="M19" s="238">
        <v>0</v>
      </c>
      <c r="N19" s="238">
        <v>0</v>
      </c>
      <c r="O19" s="238">
        <v>0</v>
      </c>
      <c r="P19" s="239">
        <v>1</v>
      </c>
      <c r="Q19" s="232">
        <f t="shared" ref="Q19:Q62" si="1">-E19+$D$10*O19+$D$13*(1-E19)</f>
        <v>-6.6362243611310254E-2</v>
      </c>
      <c r="R19" s="233">
        <f t="shared" ref="R19:R62" si="2">$D19*(1+$D$15*Q19)</f>
        <v>1561.975966438278</v>
      </c>
      <c r="S19" s="232">
        <f t="shared" ref="S19:S62" si="3">-J19*$D$8-K19*$E$8-L19*$F$8-M19*$G$8-N19*$H$8</f>
        <v>-0.78669968837660842</v>
      </c>
      <c r="T19" s="230">
        <f t="shared" ref="T19:T62" si="4">$D$11*O19</f>
        <v>0</v>
      </c>
      <c r="U19" s="230">
        <f>S19+T19+$D$13*(1+S19+T19)</f>
        <v>-0.80085477561892837</v>
      </c>
      <c r="V19" s="233">
        <f t="shared" ref="V19:V62" si="5">$D19*(1+$D$15*U19)</f>
        <v>333.16996038953283</v>
      </c>
    </row>
    <row r="20" spans="1:22" x14ac:dyDescent="0.25">
      <c r="A20" s="224" t="s">
        <v>21</v>
      </c>
      <c r="B20" s="225" t="s">
        <v>30</v>
      </c>
      <c r="C20" s="226" t="s">
        <v>31</v>
      </c>
      <c r="D20" s="240">
        <v>1104</v>
      </c>
      <c r="E20" s="228">
        <v>0.53368453399556681</v>
      </c>
      <c r="F20" s="228">
        <v>0</v>
      </c>
      <c r="G20" s="228">
        <v>0.26803206799717022</v>
      </c>
      <c r="H20" s="228">
        <v>0.198283398007263</v>
      </c>
      <c r="I20" s="229">
        <f t="shared" si="0"/>
        <v>1</v>
      </c>
      <c r="J20" s="227">
        <v>0.79574826421553135</v>
      </c>
      <c r="K20" s="228">
        <v>0.18253273832900718</v>
      </c>
      <c r="L20" s="228">
        <v>0</v>
      </c>
      <c r="M20" s="228">
        <v>2.1718997455461443E-2</v>
      </c>
      <c r="N20" s="228">
        <v>0</v>
      </c>
      <c r="O20" s="228">
        <v>0</v>
      </c>
      <c r="P20" s="229">
        <v>1</v>
      </c>
      <c r="Q20" s="232">
        <f t="shared" si="1"/>
        <v>-0.5646302745502747</v>
      </c>
      <c r="R20" s="233">
        <f t="shared" si="2"/>
        <v>480.64817689649675</v>
      </c>
      <c r="S20" s="232">
        <f t="shared" si="3"/>
        <v>-0.84829015411537556</v>
      </c>
      <c r="T20" s="230">
        <f t="shared" si="4"/>
        <v>0</v>
      </c>
      <c r="U20" s="230">
        <f t="shared" ref="U20:U62" si="6">S20+T20+$D$13*(1+S20+T20)</f>
        <v>-0.85835795986620533</v>
      </c>
      <c r="V20" s="233">
        <f t="shared" si="5"/>
        <v>156.37281230770932</v>
      </c>
    </row>
    <row r="21" spans="1:22" x14ac:dyDescent="0.25">
      <c r="A21" s="224" t="s">
        <v>55</v>
      </c>
      <c r="B21" s="225" t="s">
        <v>58</v>
      </c>
      <c r="C21" s="226" t="s">
        <v>59</v>
      </c>
      <c r="D21" s="240">
        <v>1525</v>
      </c>
      <c r="E21" s="228">
        <v>0</v>
      </c>
      <c r="F21" s="228">
        <v>0</v>
      </c>
      <c r="G21" s="228">
        <v>0</v>
      </c>
      <c r="H21" s="228">
        <v>1</v>
      </c>
      <c r="I21" s="229">
        <f t="shared" si="0"/>
        <v>1</v>
      </c>
      <c r="J21" s="227">
        <v>0.45086284219308026</v>
      </c>
      <c r="K21" s="228">
        <v>0.54913715780691974</v>
      </c>
      <c r="L21" s="228">
        <v>0</v>
      </c>
      <c r="M21" s="228">
        <v>0</v>
      </c>
      <c r="N21" s="228">
        <v>0</v>
      </c>
      <c r="O21" s="228">
        <v>0</v>
      </c>
      <c r="P21" s="229">
        <v>1</v>
      </c>
      <c r="Q21" s="232">
        <f t="shared" si="1"/>
        <v>-6.6362243611310254E-2</v>
      </c>
      <c r="R21" s="233">
        <f t="shared" si="2"/>
        <v>1423.7975784927519</v>
      </c>
      <c r="S21" s="232">
        <f t="shared" si="3"/>
        <v>-0.79017256843861605</v>
      </c>
      <c r="T21" s="230">
        <f t="shared" si="4"/>
        <v>0</v>
      </c>
      <c r="U21" s="230">
        <f t="shared" si="6"/>
        <v>-0.80409718756822812</v>
      </c>
      <c r="V21" s="233">
        <f t="shared" si="5"/>
        <v>298.7517889584521</v>
      </c>
    </row>
    <row r="22" spans="1:22" x14ac:dyDescent="0.25">
      <c r="A22" s="224" t="s">
        <v>21</v>
      </c>
      <c r="B22" s="225" t="s">
        <v>26</v>
      </c>
      <c r="C22" s="226" t="s">
        <v>27</v>
      </c>
      <c r="D22" s="240">
        <v>1183</v>
      </c>
      <c r="E22" s="228">
        <v>0.66141730765151763</v>
      </c>
      <c r="F22" s="228">
        <v>0</v>
      </c>
      <c r="G22" s="228">
        <v>0.13583351169712993</v>
      </c>
      <c r="H22" s="228">
        <v>0.20274918065135245</v>
      </c>
      <c r="I22" s="229">
        <f t="shared" si="0"/>
        <v>1</v>
      </c>
      <c r="J22" s="227">
        <v>0.79084538024451145</v>
      </c>
      <c r="K22" s="228">
        <v>0.20915461975548849</v>
      </c>
      <c r="L22" s="228">
        <v>0</v>
      </c>
      <c r="M22" s="228">
        <v>0</v>
      </c>
      <c r="N22" s="228">
        <v>0</v>
      </c>
      <c r="O22" s="228">
        <v>0</v>
      </c>
      <c r="P22" s="229">
        <v>1</v>
      </c>
      <c r="Q22" s="232">
        <f t="shared" si="1"/>
        <v>-0.68388641476372092</v>
      </c>
      <c r="R22" s="233">
        <f t="shared" si="2"/>
        <v>373.96237133451814</v>
      </c>
      <c r="S22" s="232">
        <f t="shared" si="3"/>
        <v>-0.85816907604890225</v>
      </c>
      <c r="T22" s="230">
        <f t="shared" si="4"/>
        <v>0</v>
      </c>
      <c r="U22" s="230">
        <f t="shared" si="6"/>
        <v>-0.86758129437576226</v>
      </c>
      <c r="V22" s="233">
        <f t="shared" si="5"/>
        <v>156.65132875347325</v>
      </c>
    </row>
    <row r="23" spans="1:22" x14ac:dyDescent="0.25">
      <c r="A23" s="224" t="s">
        <v>21</v>
      </c>
      <c r="B23" s="225" t="s">
        <v>36</v>
      </c>
      <c r="C23" s="226" t="s">
        <v>37</v>
      </c>
      <c r="D23" s="240">
        <v>6799</v>
      </c>
      <c r="E23" s="228">
        <v>0.26651002197503498</v>
      </c>
      <c r="F23" s="228">
        <v>0.21125696254883403</v>
      </c>
      <c r="G23" s="228">
        <v>4.9289355361471998E-2</v>
      </c>
      <c r="H23" s="228">
        <v>0.47294366011465899</v>
      </c>
      <c r="I23" s="229">
        <f t="shared" si="0"/>
        <v>1</v>
      </c>
      <c r="J23" s="227">
        <v>0.82695921013555274</v>
      </c>
      <c r="K23" s="228">
        <v>0.13353297389276469</v>
      </c>
      <c r="L23" s="228">
        <v>1.5824943832850651E-2</v>
      </c>
      <c r="M23" s="228">
        <v>2.3682872138831912E-2</v>
      </c>
      <c r="N23" s="228">
        <v>0</v>
      </c>
      <c r="O23" s="228">
        <v>0</v>
      </c>
      <c r="P23" s="229">
        <v>1</v>
      </c>
      <c r="Q23" s="232">
        <f t="shared" si="1"/>
        <v>-0.31518606258318232</v>
      </c>
      <c r="R23" s="233">
        <f t="shared" si="2"/>
        <v>4656.0499604969427</v>
      </c>
      <c r="S23" s="232">
        <f t="shared" si="3"/>
        <v>-0.84722042842455436</v>
      </c>
      <c r="T23" s="230">
        <f t="shared" si="4"/>
        <v>0</v>
      </c>
      <c r="U23" s="230">
        <f t="shared" si="6"/>
        <v>-0.85735922357227567</v>
      </c>
      <c r="V23" s="233">
        <f t="shared" si="5"/>
        <v>969.81463893209764</v>
      </c>
    </row>
    <row r="24" spans="1:22" x14ac:dyDescent="0.25">
      <c r="A24" s="224" t="s">
        <v>21</v>
      </c>
      <c r="B24" s="225" t="s">
        <v>48</v>
      </c>
      <c r="C24" s="226" t="s">
        <v>49</v>
      </c>
      <c r="D24" s="240">
        <v>8573</v>
      </c>
      <c r="E24" s="228">
        <v>0.14435959173808452</v>
      </c>
      <c r="F24" s="228">
        <v>0</v>
      </c>
      <c r="G24" s="228">
        <v>0</v>
      </c>
      <c r="H24" s="228">
        <v>0.85564040826191545</v>
      </c>
      <c r="I24" s="229">
        <f t="shared" si="0"/>
        <v>1</v>
      </c>
      <c r="J24" s="227">
        <v>0.14172785721814285</v>
      </c>
      <c r="K24" s="228">
        <v>0.39115694058953732</v>
      </c>
      <c r="L24" s="228">
        <v>0.46711520219231983</v>
      </c>
      <c r="M24" s="228">
        <v>0</v>
      </c>
      <c r="N24" s="228">
        <v>0</v>
      </c>
      <c r="O24" s="228">
        <v>0</v>
      </c>
      <c r="P24" s="229">
        <v>1</v>
      </c>
      <c r="Q24" s="232">
        <f t="shared" si="1"/>
        <v>-0.20114180895484271</v>
      </c>
      <c r="R24" s="233">
        <f t="shared" si="2"/>
        <v>6848.6112718301338</v>
      </c>
      <c r="S24" s="232">
        <f t="shared" si="3"/>
        <v>-0.54149949056670055</v>
      </c>
      <c r="T24" s="230">
        <f t="shared" si="4"/>
        <v>0</v>
      </c>
      <c r="U24" s="230">
        <f t="shared" si="6"/>
        <v>-0.571926613069623</v>
      </c>
      <c r="V24" s="233">
        <f t="shared" si="5"/>
        <v>3669.873146154122</v>
      </c>
    </row>
    <row r="25" spans="1:22" x14ac:dyDescent="0.25">
      <c r="A25" s="224" t="s">
        <v>21</v>
      </c>
      <c r="B25" s="225" t="s">
        <v>60</v>
      </c>
      <c r="C25" s="226" t="s">
        <v>61</v>
      </c>
      <c r="D25" s="240">
        <v>3787</v>
      </c>
      <c r="E25" s="228">
        <v>0</v>
      </c>
      <c r="F25" s="228">
        <v>0</v>
      </c>
      <c r="G25" s="228">
        <v>0</v>
      </c>
      <c r="H25" s="228">
        <v>1</v>
      </c>
      <c r="I25" s="229">
        <f t="shared" si="0"/>
        <v>1</v>
      </c>
      <c r="J25" s="227">
        <v>0.10933287073164089</v>
      </c>
      <c r="K25" s="228">
        <v>0.2989358187517096</v>
      </c>
      <c r="L25" s="228">
        <v>0.32392045461273489</v>
      </c>
      <c r="M25" s="228">
        <v>0.23085048058079405</v>
      </c>
      <c r="N25" s="228">
        <v>3.6960375323120569E-2</v>
      </c>
      <c r="O25" s="228">
        <v>0</v>
      </c>
      <c r="P25" s="229">
        <v>1</v>
      </c>
      <c r="Q25" s="232">
        <f t="shared" si="1"/>
        <v>-6.6362243611310254E-2</v>
      </c>
      <c r="R25" s="233">
        <f t="shared" si="2"/>
        <v>3535.6861834439678</v>
      </c>
      <c r="S25" s="232">
        <f t="shared" si="3"/>
        <v>-0.45469692681696483</v>
      </c>
      <c r="T25" s="230">
        <f t="shared" si="4"/>
        <v>0</v>
      </c>
      <c r="U25" s="230">
        <f t="shared" si="6"/>
        <v>-0.49088446220153353</v>
      </c>
      <c r="V25" s="233">
        <f t="shared" si="5"/>
        <v>1928.0205416427923</v>
      </c>
    </row>
    <row r="26" spans="1:22" x14ac:dyDescent="0.25">
      <c r="A26" s="224" t="s">
        <v>21</v>
      </c>
      <c r="B26" s="225" t="s">
        <v>62</v>
      </c>
      <c r="C26" s="226" t="s">
        <v>63</v>
      </c>
      <c r="D26" s="240">
        <v>233</v>
      </c>
      <c r="E26" s="228">
        <v>0</v>
      </c>
      <c r="F26" s="228">
        <v>0</v>
      </c>
      <c r="G26" s="228">
        <v>0</v>
      </c>
      <c r="H26" s="228">
        <v>1</v>
      </c>
      <c r="I26" s="229">
        <f t="shared" si="0"/>
        <v>1</v>
      </c>
      <c r="J26" s="227">
        <v>0.382573525256521</v>
      </c>
      <c r="K26" s="228">
        <v>0.46930224672839854</v>
      </c>
      <c r="L26" s="228">
        <v>7.5813964753085925E-2</v>
      </c>
      <c r="M26" s="228">
        <v>7.2310263261994523E-2</v>
      </c>
      <c r="N26" s="228">
        <v>0</v>
      </c>
      <c r="O26" s="228">
        <v>0</v>
      </c>
      <c r="P26" s="229">
        <v>1</v>
      </c>
      <c r="Q26" s="232">
        <f t="shared" si="1"/>
        <v>-6.6362243611310254E-2</v>
      </c>
      <c r="R26" s="233">
        <f t="shared" si="2"/>
        <v>217.5375972385647</v>
      </c>
      <c r="S26" s="232">
        <f t="shared" si="3"/>
        <v>-0.71003398751907254</v>
      </c>
      <c r="T26" s="230">
        <f t="shared" si="4"/>
        <v>0</v>
      </c>
      <c r="U26" s="230">
        <f t="shared" si="6"/>
        <v>-0.72927678267833207</v>
      </c>
      <c r="V26" s="233">
        <f t="shared" si="5"/>
        <v>63.078509635948627</v>
      </c>
    </row>
    <row r="27" spans="1:22" x14ac:dyDescent="0.25">
      <c r="A27" s="224" t="s">
        <v>64</v>
      </c>
      <c r="B27" s="225" t="s">
        <v>65</v>
      </c>
      <c r="C27" s="226" t="s">
        <v>66</v>
      </c>
      <c r="D27" s="240">
        <v>538</v>
      </c>
      <c r="E27" s="228">
        <v>0</v>
      </c>
      <c r="F27" s="228">
        <v>0</v>
      </c>
      <c r="G27" s="228">
        <v>0</v>
      </c>
      <c r="H27" s="228">
        <v>1</v>
      </c>
      <c r="I27" s="229">
        <f t="shared" si="0"/>
        <v>1</v>
      </c>
      <c r="J27" s="227">
        <v>6.1103358817633298E-2</v>
      </c>
      <c r="K27" s="228">
        <v>0</v>
      </c>
      <c r="L27" s="228">
        <v>0.25939348676323187</v>
      </c>
      <c r="M27" s="228">
        <v>0</v>
      </c>
      <c r="N27" s="228">
        <v>0</v>
      </c>
      <c r="O27" s="228">
        <v>0.67950315441913489</v>
      </c>
      <c r="P27" s="229">
        <v>1</v>
      </c>
      <c r="Q27" s="232">
        <f t="shared" si="1"/>
        <v>-9.3678270418959472E-2</v>
      </c>
      <c r="R27" s="233">
        <f t="shared" si="2"/>
        <v>487.60109051459978</v>
      </c>
      <c r="S27" s="232">
        <f t="shared" si="3"/>
        <v>-0.13281106896483952</v>
      </c>
      <c r="T27" s="230">
        <f t="shared" si="4"/>
        <v>-0.20487020105736919</v>
      </c>
      <c r="U27" s="230">
        <f t="shared" si="6"/>
        <v>-0.38163422692932852</v>
      </c>
      <c r="V27" s="233">
        <f t="shared" si="5"/>
        <v>332.68078591202129</v>
      </c>
    </row>
    <row r="28" spans="1:22" x14ac:dyDescent="0.25">
      <c r="A28" s="224" t="s">
        <v>21</v>
      </c>
      <c r="B28" s="225" t="s">
        <v>67</v>
      </c>
      <c r="C28" s="226" t="s">
        <v>68</v>
      </c>
      <c r="D28" s="240">
        <v>375</v>
      </c>
      <c r="E28" s="228">
        <v>0</v>
      </c>
      <c r="F28" s="228">
        <v>0</v>
      </c>
      <c r="G28" s="228">
        <v>0</v>
      </c>
      <c r="H28" s="228">
        <v>1</v>
      </c>
      <c r="I28" s="229">
        <f t="shared" si="0"/>
        <v>1</v>
      </c>
      <c r="J28" s="227">
        <v>0</v>
      </c>
      <c r="K28" s="228">
        <v>0.79513522032770423</v>
      </c>
      <c r="L28" s="228">
        <v>0.20486477967229574</v>
      </c>
      <c r="M28" s="228">
        <v>0</v>
      </c>
      <c r="N28" s="228">
        <v>0</v>
      </c>
      <c r="O28" s="228">
        <v>0</v>
      </c>
      <c r="P28" s="229">
        <v>1</v>
      </c>
      <c r="Q28" s="232">
        <f t="shared" si="1"/>
        <v>-6.6362243611310254E-2</v>
      </c>
      <c r="R28" s="233">
        <f t="shared" si="2"/>
        <v>350.11415864575866</v>
      </c>
      <c r="S28" s="232">
        <f t="shared" si="3"/>
        <v>-0.61805408813108165</v>
      </c>
      <c r="T28" s="230">
        <f t="shared" si="4"/>
        <v>0</v>
      </c>
      <c r="U28" s="230">
        <f t="shared" si="6"/>
        <v>-0.6434008757808708</v>
      </c>
      <c r="V28" s="233">
        <f t="shared" si="5"/>
        <v>133.72467158217344</v>
      </c>
    </row>
    <row r="29" spans="1:22" x14ac:dyDescent="0.25">
      <c r="A29" s="224" t="s">
        <v>21</v>
      </c>
      <c r="B29" s="225" t="s">
        <v>52</v>
      </c>
      <c r="C29" s="226" t="s">
        <v>45</v>
      </c>
      <c r="D29" s="240">
        <v>72229</v>
      </c>
      <c r="E29" s="228">
        <v>6.6648548863583318E-2</v>
      </c>
      <c r="F29" s="228">
        <v>1.8022958334868593E-2</v>
      </c>
      <c r="G29" s="228">
        <v>0</v>
      </c>
      <c r="H29" s="228">
        <v>0.91532849280154804</v>
      </c>
      <c r="I29" s="229">
        <f t="shared" si="0"/>
        <v>1</v>
      </c>
      <c r="J29" s="227">
        <v>0.26528824387668987</v>
      </c>
      <c r="K29" s="228">
        <v>0.14979128162596755</v>
      </c>
      <c r="L29" s="228">
        <v>8.5142160178375045E-2</v>
      </c>
      <c r="M29" s="228">
        <v>3.7357814409147115E-2</v>
      </c>
      <c r="N29" s="228">
        <v>8.772687302043046E-2</v>
      </c>
      <c r="O29" s="228">
        <v>0.37469362688938995</v>
      </c>
      <c r="P29" s="229">
        <v>1</v>
      </c>
      <c r="Q29" s="232">
        <f t="shared" si="1"/>
        <v>-0.14365052903982162</v>
      </c>
      <c r="R29" s="233">
        <f t="shared" si="2"/>
        <v>61853.265937982731</v>
      </c>
      <c r="S29" s="232">
        <f t="shared" si="3"/>
        <v>-0.3854002148645832</v>
      </c>
      <c r="T29" s="230">
        <f t="shared" si="4"/>
        <v>-0.11297012850715109</v>
      </c>
      <c r="U29" s="230">
        <f t="shared" si="6"/>
        <v>-0.53165961284755714</v>
      </c>
      <c r="V29" s="233">
        <f t="shared" si="5"/>
        <v>33827.757823633794</v>
      </c>
    </row>
    <row r="30" spans="1:22" x14ac:dyDescent="0.25">
      <c r="A30" s="224" t="s">
        <v>21</v>
      </c>
      <c r="B30" s="225" t="s">
        <v>24</v>
      </c>
      <c r="C30" s="226" t="s">
        <v>25</v>
      </c>
      <c r="D30" s="240">
        <v>430</v>
      </c>
      <c r="E30" s="228">
        <v>0.7402744219374483</v>
      </c>
      <c r="F30" s="228">
        <v>0</v>
      </c>
      <c r="G30" s="228">
        <v>0</v>
      </c>
      <c r="H30" s="228">
        <v>0.25972557806255164</v>
      </c>
      <c r="I30" s="229">
        <f t="shared" si="0"/>
        <v>1</v>
      </c>
      <c r="J30" s="227">
        <v>0.84151282971562924</v>
      </c>
      <c r="K30" s="228">
        <v>9.372220401666588E-2</v>
      </c>
      <c r="L30" s="228">
        <v>6.4764966267704907E-2</v>
      </c>
      <c r="M30" s="228">
        <v>0</v>
      </c>
      <c r="N30" s="228">
        <v>0</v>
      </c>
      <c r="O30" s="228">
        <v>0</v>
      </c>
      <c r="P30" s="229">
        <v>1</v>
      </c>
      <c r="Q30" s="232">
        <f t="shared" si="1"/>
        <v>-0.75751039402092368</v>
      </c>
      <c r="R30" s="233">
        <f t="shared" si="2"/>
        <v>104.27053057100282</v>
      </c>
      <c r="S30" s="232">
        <f t="shared" si="3"/>
        <v>-0.84239657943604385</v>
      </c>
      <c r="T30" s="230">
        <f t="shared" si="4"/>
        <v>0</v>
      </c>
      <c r="U30" s="230">
        <f t="shared" si="6"/>
        <v>-0.85285549602548494</v>
      </c>
      <c r="V30" s="233">
        <f t="shared" si="5"/>
        <v>63.272136709041476</v>
      </c>
    </row>
    <row r="31" spans="1:22" x14ac:dyDescent="0.25">
      <c r="A31" s="224" t="s">
        <v>21</v>
      </c>
      <c r="B31" s="225" t="s">
        <v>69</v>
      </c>
      <c r="C31" s="226" t="s">
        <v>70</v>
      </c>
      <c r="D31" s="240">
        <v>274</v>
      </c>
      <c r="E31" s="228">
        <v>0</v>
      </c>
      <c r="F31" s="228">
        <v>0.4065555545829358</v>
      </c>
      <c r="G31" s="228">
        <v>0</v>
      </c>
      <c r="H31" s="228">
        <v>0.5934444454170642</v>
      </c>
      <c r="I31" s="229">
        <f t="shared" si="0"/>
        <v>1</v>
      </c>
      <c r="J31" s="227">
        <v>0.74812785775965795</v>
      </c>
      <c r="K31" s="228">
        <v>0.25187214224034199</v>
      </c>
      <c r="L31" s="228">
        <v>0</v>
      </c>
      <c r="M31" s="228">
        <v>0</v>
      </c>
      <c r="N31" s="228">
        <v>0</v>
      </c>
      <c r="O31" s="228">
        <v>0</v>
      </c>
      <c r="P31" s="229">
        <v>1</v>
      </c>
      <c r="Q31" s="232">
        <f t="shared" si="1"/>
        <v>-6.6362243611310254E-2</v>
      </c>
      <c r="R31" s="233">
        <f t="shared" si="2"/>
        <v>255.81674525050099</v>
      </c>
      <c r="S31" s="232">
        <f t="shared" si="3"/>
        <v>-0.84962557155193164</v>
      </c>
      <c r="T31" s="230">
        <f t="shared" si="4"/>
        <v>0</v>
      </c>
      <c r="U31" s="230">
        <f t="shared" si="6"/>
        <v>-0.85960475600551389</v>
      </c>
      <c r="V31" s="233">
        <f t="shared" si="5"/>
        <v>38.468296854489196</v>
      </c>
    </row>
    <row r="32" spans="1:22" x14ac:dyDescent="0.25">
      <c r="A32" s="224" t="s">
        <v>55</v>
      </c>
      <c r="B32" s="225" t="s">
        <v>71</v>
      </c>
      <c r="C32" s="226" t="s">
        <v>72</v>
      </c>
      <c r="D32" s="240">
        <v>335</v>
      </c>
      <c r="E32" s="228">
        <v>0</v>
      </c>
      <c r="F32" s="228">
        <v>0</v>
      </c>
      <c r="G32" s="228">
        <v>0</v>
      </c>
      <c r="H32" s="228">
        <v>1</v>
      </c>
      <c r="I32" s="229">
        <f t="shared" si="0"/>
        <v>1</v>
      </c>
      <c r="J32" s="227">
        <v>0.37311218407759661</v>
      </c>
      <c r="K32" s="228">
        <v>0.62688781592240339</v>
      </c>
      <c r="L32" s="228">
        <v>0</v>
      </c>
      <c r="M32" s="228">
        <v>0</v>
      </c>
      <c r="N32" s="228">
        <v>0</v>
      </c>
      <c r="O32" s="228">
        <v>0</v>
      </c>
      <c r="P32" s="229">
        <v>1</v>
      </c>
      <c r="Q32" s="232">
        <f t="shared" si="1"/>
        <v>-6.6362243611310254E-2</v>
      </c>
      <c r="R32" s="233">
        <f t="shared" si="2"/>
        <v>312.76864839021107</v>
      </c>
      <c r="S32" s="232">
        <f t="shared" si="3"/>
        <v>-0.77462243681551923</v>
      </c>
      <c r="T32" s="230">
        <f t="shared" si="4"/>
        <v>0</v>
      </c>
      <c r="U32" s="230">
        <f t="shared" si="6"/>
        <v>-0.78957899756809125</v>
      </c>
      <c r="V32" s="233">
        <f t="shared" si="5"/>
        <v>70.49103581468944</v>
      </c>
    </row>
    <row r="33" spans="1:22" x14ac:dyDescent="0.25">
      <c r="A33" s="224" t="s">
        <v>21</v>
      </c>
      <c r="B33" s="225" t="s">
        <v>73</v>
      </c>
      <c r="C33" s="226" t="s">
        <v>74</v>
      </c>
      <c r="D33" s="240">
        <v>204</v>
      </c>
      <c r="E33" s="228">
        <v>0</v>
      </c>
      <c r="F33" s="228">
        <v>0</v>
      </c>
      <c r="G33" s="228">
        <v>0</v>
      </c>
      <c r="H33" s="228">
        <v>1</v>
      </c>
      <c r="I33" s="229">
        <f t="shared" si="0"/>
        <v>1</v>
      </c>
      <c r="J33" s="227">
        <v>0.50098143802005546</v>
      </c>
      <c r="K33" s="228">
        <v>0.49901856197994454</v>
      </c>
      <c r="L33" s="228">
        <v>0</v>
      </c>
      <c r="M33" s="228">
        <v>0</v>
      </c>
      <c r="N33" s="228">
        <v>0</v>
      </c>
      <c r="O33" s="228">
        <v>0</v>
      </c>
      <c r="P33" s="229">
        <v>1</v>
      </c>
      <c r="Q33" s="232">
        <f t="shared" si="1"/>
        <v>-6.6362243611310254E-2</v>
      </c>
      <c r="R33" s="233">
        <f t="shared" si="2"/>
        <v>190.46210230329271</v>
      </c>
      <c r="S33" s="232">
        <f t="shared" si="3"/>
        <v>-0.80019628760401107</v>
      </c>
      <c r="T33" s="230">
        <f t="shared" si="4"/>
        <v>0</v>
      </c>
      <c r="U33" s="230">
        <f t="shared" si="6"/>
        <v>-0.8134557102404778</v>
      </c>
      <c r="V33" s="233">
        <f t="shared" si="5"/>
        <v>38.055035110942526</v>
      </c>
    </row>
    <row r="34" spans="1:22" x14ac:dyDescent="0.25">
      <c r="A34" s="224" t="s">
        <v>21</v>
      </c>
      <c r="B34" s="225" t="s">
        <v>75</v>
      </c>
      <c r="C34" s="226" t="s">
        <v>76</v>
      </c>
      <c r="D34" s="240">
        <v>147</v>
      </c>
      <c r="E34" s="228">
        <v>0</v>
      </c>
      <c r="F34" s="228">
        <v>0</v>
      </c>
      <c r="G34" s="228">
        <v>0</v>
      </c>
      <c r="H34" s="228">
        <v>1</v>
      </c>
      <c r="I34" s="229">
        <f t="shared" si="0"/>
        <v>1</v>
      </c>
      <c r="J34" s="227">
        <v>0</v>
      </c>
      <c r="K34" s="228">
        <v>0.23015677583518018</v>
      </c>
      <c r="L34" s="228">
        <v>0</v>
      </c>
      <c r="M34" s="228">
        <v>0</v>
      </c>
      <c r="N34" s="228">
        <v>0.76984322416481987</v>
      </c>
      <c r="O34" s="228">
        <v>0</v>
      </c>
      <c r="P34" s="229">
        <v>1</v>
      </c>
      <c r="Q34" s="232">
        <f t="shared" si="1"/>
        <v>-6.6362243611310254E-2</v>
      </c>
      <c r="R34" s="233">
        <f t="shared" si="2"/>
        <v>137.24475018913739</v>
      </c>
      <c r="S34" s="232">
        <f t="shared" si="3"/>
        <v>-0.23809406550110812</v>
      </c>
      <c r="T34" s="230">
        <f t="shared" si="4"/>
        <v>0</v>
      </c>
      <c r="U34" s="230">
        <f t="shared" si="6"/>
        <v>-0.28865585273522659</v>
      </c>
      <c r="V34" s="233">
        <f t="shared" si="5"/>
        <v>104.56758964792169</v>
      </c>
    </row>
    <row r="35" spans="1:22" x14ac:dyDescent="0.25">
      <c r="A35" s="224" t="s">
        <v>64</v>
      </c>
      <c r="B35" s="225" t="s">
        <v>77</v>
      </c>
      <c r="C35" s="226" t="s">
        <v>78</v>
      </c>
      <c r="D35" s="240">
        <v>386</v>
      </c>
      <c r="E35" s="228">
        <v>0</v>
      </c>
      <c r="F35" s="228">
        <v>0</v>
      </c>
      <c r="G35" s="228">
        <v>0</v>
      </c>
      <c r="H35" s="228">
        <v>1</v>
      </c>
      <c r="I35" s="229">
        <f t="shared" si="0"/>
        <v>1</v>
      </c>
      <c r="J35" s="227">
        <v>0.21368601556671529</v>
      </c>
      <c r="K35" s="228">
        <v>0</v>
      </c>
      <c r="L35" s="228">
        <v>0.51913547941697191</v>
      </c>
      <c r="M35" s="228">
        <v>0</v>
      </c>
      <c r="N35" s="228">
        <v>0</v>
      </c>
      <c r="O35" s="228">
        <v>0.26717850501631274</v>
      </c>
      <c r="P35" s="229">
        <v>1</v>
      </c>
      <c r="Q35" s="232">
        <f t="shared" si="1"/>
        <v>-7.710281951296602E-2</v>
      </c>
      <c r="R35" s="233">
        <f t="shared" si="2"/>
        <v>356.23831166799511</v>
      </c>
      <c r="S35" s="232">
        <f t="shared" si="3"/>
        <v>-0.34805805783513533</v>
      </c>
      <c r="T35" s="230">
        <f t="shared" si="4"/>
        <v>-8.0554319262418309E-2</v>
      </c>
      <c r="U35" s="230">
        <f t="shared" si="6"/>
        <v>-0.46653094172509324</v>
      </c>
      <c r="V35" s="233">
        <f t="shared" si="5"/>
        <v>205.91905649411402</v>
      </c>
    </row>
    <row r="36" spans="1:22" x14ac:dyDescent="0.25">
      <c r="A36" s="224" t="s">
        <v>21</v>
      </c>
      <c r="B36" s="225" t="s">
        <v>79</v>
      </c>
      <c r="C36" s="226" t="s">
        <v>80</v>
      </c>
      <c r="D36" s="240">
        <v>286</v>
      </c>
      <c r="E36" s="228">
        <v>0</v>
      </c>
      <c r="F36" s="228">
        <v>0</v>
      </c>
      <c r="G36" s="228">
        <v>0</v>
      </c>
      <c r="H36" s="228">
        <v>1</v>
      </c>
      <c r="I36" s="229">
        <f t="shared" si="0"/>
        <v>1</v>
      </c>
      <c r="J36" s="227">
        <v>0.58361702474223442</v>
      </c>
      <c r="K36" s="228">
        <v>0.41638297525776552</v>
      </c>
      <c r="L36" s="228">
        <v>0</v>
      </c>
      <c r="M36" s="228">
        <v>0</v>
      </c>
      <c r="N36" s="228">
        <v>0</v>
      </c>
      <c r="O36" s="228">
        <v>0</v>
      </c>
      <c r="P36" s="229">
        <v>1</v>
      </c>
      <c r="Q36" s="232">
        <f t="shared" si="1"/>
        <v>-6.6362243611310254E-2</v>
      </c>
      <c r="R36" s="233">
        <f t="shared" si="2"/>
        <v>267.02039832716525</v>
      </c>
      <c r="S36" s="232">
        <f t="shared" si="3"/>
        <v>-0.81672340494844686</v>
      </c>
      <c r="T36" s="230">
        <f t="shared" si="4"/>
        <v>0</v>
      </c>
      <c r="U36" s="230">
        <f t="shared" si="6"/>
        <v>-0.82888605099750945</v>
      </c>
      <c r="V36" s="233">
        <f t="shared" si="5"/>
        <v>48.938589414712297</v>
      </c>
    </row>
    <row r="37" spans="1:22" x14ac:dyDescent="0.25">
      <c r="A37" s="224" t="s">
        <v>21</v>
      </c>
      <c r="B37" s="225" t="s">
        <v>81</v>
      </c>
      <c r="C37" s="226" t="s">
        <v>82</v>
      </c>
      <c r="D37" s="240">
        <v>278</v>
      </c>
      <c r="E37" s="228">
        <v>0</v>
      </c>
      <c r="F37" s="228">
        <v>0</v>
      </c>
      <c r="G37" s="228">
        <v>0</v>
      </c>
      <c r="H37" s="228">
        <v>1</v>
      </c>
      <c r="I37" s="229">
        <f t="shared" si="0"/>
        <v>1</v>
      </c>
      <c r="J37" s="227">
        <v>0.55682114805059202</v>
      </c>
      <c r="K37" s="228">
        <v>0</v>
      </c>
      <c r="L37" s="228">
        <v>0.30036069386108538</v>
      </c>
      <c r="M37" s="228">
        <v>0</v>
      </c>
      <c r="N37" s="228">
        <v>0.14281815808832254</v>
      </c>
      <c r="O37" s="228">
        <v>0</v>
      </c>
      <c r="P37" s="229">
        <v>1</v>
      </c>
      <c r="Q37" s="232">
        <f t="shared" si="1"/>
        <v>-6.6362243611310254E-2</v>
      </c>
      <c r="R37" s="233">
        <f t="shared" si="2"/>
        <v>259.55129627605572</v>
      </c>
      <c r="S37" s="232">
        <f t="shared" si="3"/>
        <v>-0.60552905721269079</v>
      </c>
      <c r="T37" s="230">
        <f t="shared" si="4"/>
        <v>0</v>
      </c>
      <c r="U37" s="230">
        <f t="shared" si="6"/>
        <v>-0.63170703401552541</v>
      </c>
      <c r="V37" s="233">
        <f t="shared" si="5"/>
        <v>102.38544454368393</v>
      </c>
    </row>
    <row r="38" spans="1:22" x14ac:dyDescent="0.25">
      <c r="A38" s="224" t="s">
        <v>64</v>
      </c>
      <c r="B38" s="225" t="s">
        <v>83</v>
      </c>
      <c r="C38" s="226" t="s">
        <v>84</v>
      </c>
      <c r="D38" s="240">
        <v>1978</v>
      </c>
      <c r="E38" s="228">
        <v>0</v>
      </c>
      <c r="F38" s="228">
        <v>0</v>
      </c>
      <c r="G38" s="228">
        <v>0</v>
      </c>
      <c r="H38" s="228">
        <v>1</v>
      </c>
      <c r="I38" s="229">
        <f t="shared" si="0"/>
        <v>1</v>
      </c>
      <c r="J38" s="227">
        <v>0.25705904481468073</v>
      </c>
      <c r="K38" s="228">
        <v>0</v>
      </c>
      <c r="L38" s="228">
        <v>6.6320089797681447E-2</v>
      </c>
      <c r="M38" s="228">
        <v>0</v>
      </c>
      <c r="N38" s="228">
        <v>3.9674838296237032E-2</v>
      </c>
      <c r="O38" s="228">
        <v>0.6369460270914008</v>
      </c>
      <c r="P38" s="229">
        <v>1</v>
      </c>
      <c r="Q38" s="232">
        <f t="shared" si="1"/>
        <v>-9.1967473900384566E-2</v>
      </c>
      <c r="R38" s="233">
        <f t="shared" si="2"/>
        <v>1796.0883366250391</v>
      </c>
      <c r="S38" s="232">
        <f t="shared" si="3"/>
        <v>-0.25521665110214081</v>
      </c>
      <c r="T38" s="230">
        <f t="shared" si="4"/>
        <v>-0.19203922716805738</v>
      </c>
      <c r="U38" s="230">
        <f t="shared" si="6"/>
        <v>-0.48393721833115105</v>
      </c>
      <c r="V38" s="233">
        <f t="shared" si="5"/>
        <v>1020.7721821409833</v>
      </c>
    </row>
    <row r="39" spans="1:22" x14ac:dyDescent="0.25">
      <c r="A39" s="224" t="s">
        <v>21</v>
      </c>
      <c r="B39" s="225" t="s">
        <v>85</v>
      </c>
      <c r="C39" s="226" t="s">
        <v>86</v>
      </c>
      <c r="D39" s="240">
        <v>236</v>
      </c>
      <c r="E39" s="228">
        <v>0</v>
      </c>
      <c r="F39" s="228">
        <v>0</v>
      </c>
      <c r="G39" s="228">
        <v>0</v>
      </c>
      <c r="H39" s="228">
        <v>1</v>
      </c>
      <c r="I39" s="229">
        <f t="shared" si="0"/>
        <v>1</v>
      </c>
      <c r="J39" s="227">
        <v>0.40795090242476839</v>
      </c>
      <c r="K39" s="228">
        <v>0.28218707380577057</v>
      </c>
      <c r="L39" s="228">
        <v>0.15490887192475955</v>
      </c>
      <c r="M39" s="228">
        <v>0.15495315184470146</v>
      </c>
      <c r="N39" s="228">
        <v>0</v>
      </c>
      <c r="O39" s="228">
        <v>0</v>
      </c>
      <c r="P39" s="229">
        <v>1</v>
      </c>
      <c r="Q39" s="232">
        <f t="shared" si="1"/>
        <v>-6.6362243611310254E-2</v>
      </c>
      <c r="R39" s="233">
        <f t="shared" si="2"/>
        <v>220.33851050773077</v>
      </c>
      <c r="S39" s="232">
        <f t="shared" si="3"/>
        <v>-0.64215005579269913</v>
      </c>
      <c r="T39" s="230">
        <f t="shared" si="4"/>
        <v>0</v>
      </c>
      <c r="U39" s="230">
        <f t="shared" si="6"/>
        <v>-0.66589778096647778</v>
      </c>
      <c r="V39" s="233">
        <f t="shared" si="5"/>
        <v>78.84812369191124</v>
      </c>
    </row>
    <row r="40" spans="1:22" x14ac:dyDescent="0.25">
      <c r="A40" s="224" t="s">
        <v>55</v>
      </c>
      <c r="B40" s="225" t="s">
        <v>87</v>
      </c>
      <c r="C40" s="226" t="s">
        <v>88</v>
      </c>
      <c r="D40" s="240">
        <v>756</v>
      </c>
      <c r="E40" s="228">
        <v>0</v>
      </c>
      <c r="F40" s="228">
        <v>0</v>
      </c>
      <c r="G40" s="228">
        <v>0</v>
      </c>
      <c r="H40" s="228">
        <v>1</v>
      </c>
      <c r="I40" s="229">
        <f t="shared" si="0"/>
        <v>1</v>
      </c>
      <c r="J40" s="227">
        <v>0.37091481349399796</v>
      </c>
      <c r="K40" s="228">
        <v>0.62908518650600198</v>
      </c>
      <c r="L40" s="228">
        <v>0</v>
      </c>
      <c r="M40" s="228">
        <v>0</v>
      </c>
      <c r="N40" s="228">
        <v>0</v>
      </c>
      <c r="O40" s="228">
        <v>0</v>
      </c>
      <c r="P40" s="229">
        <v>1</v>
      </c>
      <c r="Q40" s="232">
        <f t="shared" si="1"/>
        <v>-6.6362243611310254E-2</v>
      </c>
      <c r="R40" s="233">
        <f t="shared" si="2"/>
        <v>705.83014382984948</v>
      </c>
      <c r="S40" s="232">
        <f t="shared" si="3"/>
        <v>-0.77418296269879949</v>
      </c>
      <c r="T40" s="230">
        <f t="shared" si="4"/>
        <v>0</v>
      </c>
      <c r="U40" s="230">
        <f t="shared" si="6"/>
        <v>-0.78916868793976613</v>
      </c>
      <c r="V40" s="233">
        <f t="shared" si="5"/>
        <v>159.3884719175368</v>
      </c>
    </row>
    <row r="41" spans="1:22" x14ac:dyDescent="0.25">
      <c r="A41" s="224" t="s">
        <v>21</v>
      </c>
      <c r="B41" s="225" t="s">
        <v>89</v>
      </c>
      <c r="C41" s="226" t="s">
        <v>90</v>
      </c>
      <c r="D41" s="240">
        <v>356</v>
      </c>
      <c r="E41" s="228">
        <v>0</v>
      </c>
      <c r="F41" s="228">
        <v>0</v>
      </c>
      <c r="G41" s="228">
        <v>0</v>
      </c>
      <c r="H41" s="228">
        <v>1</v>
      </c>
      <c r="I41" s="229">
        <f t="shared" si="0"/>
        <v>1</v>
      </c>
      <c r="J41" s="227">
        <v>0.54048622684050585</v>
      </c>
      <c r="K41" s="228">
        <v>0.37091461621409666</v>
      </c>
      <c r="L41" s="228">
        <v>0</v>
      </c>
      <c r="M41" s="228">
        <v>0</v>
      </c>
      <c r="N41" s="228">
        <v>8.8599156945397509E-2</v>
      </c>
      <c r="O41" s="228">
        <v>0</v>
      </c>
      <c r="P41" s="229">
        <v>1</v>
      </c>
      <c r="Q41" s="232">
        <f t="shared" si="1"/>
        <v>-6.6362243611310254E-2</v>
      </c>
      <c r="R41" s="233">
        <f t="shared" si="2"/>
        <v>332.37504127437353</v>
      </c>
      <c r="S41" s="232">
        <f t="shared" si="3"/>
        <v>-0.75493775120086259</v>
      </c>
      <c r="T41" s="230">
        <f t="shared" si="4"/>
        <v>0</v>
      </c>
      <c r="U41" s="230">
        <f t="shared" si="6"/>
        <v>-0.7712006318556065</v>
      </c>
      <c r="V41" s="233">
        <f t="shared" si="5"/>
        <v>81.452575059404083</v>
      </c>
    </row>
    <row r="42" spans="1:22" x14ac:dyDescent="0.25">
      <c r="A42" s="224" t="s">
        <v>21</v>
      </c>
      <c r="B42" s="225" t="s">
        <v>91</v>
      </c>
      <c r="C42" s="226" t="s">
        <v>92</v>
      </c>
      <c r="D42" s="240">
        <v>462</v>
      </c>
      <c r="E42" s="228">
        <v>0</v>
      </c>
      <c r="F42" s="228">
        <v>0.43817012771775021</v>
      </c>
      <c r="G42" s="228">
        <v>0</v>
      </c>
      <c r="H42" s="228">
        <v>0.56182987228224979</v>
      </c>
      <c r="I42" s="229">
        <f t="shared" si="0"/>
        <v>1</v>
      </c>
      <c r="J42" s="227">
        <v>0.42106450016599539</v>
      </c>
      <c r="K42" s="228">
        <v>0.40801663712157754</v>
      </c>
      <c r="L42" s="228">
        <v>0.10836679340779114</v>
      </c>
      <c r="M42" s="228">
        <v>6.2552069304635971E-2</v>
      </c>
      <c r="N42" s="228">
        <v>0</v>
      </c>
      <c r="O42" s="228">
        <v>0</v>
      </c>
      <c r="P42" s="229">
        <v>1</v>
      </c>
      <c r="Q42" s="232">
        <f t="shared" si="1"/>
        <v>-6.6362243611310254E-2</v>
      </c>
      <c r="R42" s="233">
        <f t="shared" si="2"/>
        <v>431.34064345157464</v>
      </c>
      <c r="S42" s="232">
        <f t="shared" si="3"/>
        <v>-0.70959014801776465</v>
      </c>
      <c r="T42" s="230">
        <f t="shared" si="4"/>
        <v>0</v>
      </c>
      <c r="U42" s="230">
        <f t="shared" si="6"/>
        <v>-0.72886239736213432</v>
      </c>
      <c r="V42" s="233">
        <f t="shared" si="5"/>
        <v>125.26557241869395</v>
      </c>
    </row>
    <row r="43" spans="1:22" x14ac:dyDescent="0.25">
      <c r="A43" s="224" t="s">
        <v>21</v>
      </c>
      <c r="B43" s="225" t="s">
        <v>93</v>
      </c>
      <c r="C43" s="226" t="s">
        <v>94</v>
      </c>
      <c r="D43" s="240">
        <v>301</v>
      </c>
      <c r="E43" s="228">
        <v>0</v>
      </c>
      <c r="F43" s="228">
        <v>0</v>
      </c>
      <c r="G43" s="228">
        <v>0</v>
      </c>
      <c r="H43" s="228">
        <v>1</v>
      </c>
      <c r="I43" s="229">
        <f t="shared" si="0"/>
        <v>1</v>
      </c>
      <c r="J43" s="227">
        <v>0.74513084513084515</v>
      </c>
      <c r="K43" s="228">
        <v>0.25486915486915485</v>
      </c>
      <c r="L43" s="228">
        <v>0</v>
      </c>
      <c r="M43" s="228">
        <v>0</v>
      </c>
      <c r="N43" s="228">
        <v>0</v>
      </c>
      <c r="O43" s="228">
        <v>0</v>
      </c>
      <c r="P43" s="229">
        <v>1</v>
      </c>
      <c r="Q43" s="232">
        <f t="shared" si="1"/>
        <v>-6.6362243611310254E-2</v>
      </c>
      <c r="R43" s="233">
        <f t="shared" si="2"/>
        <v>281.02496467299562</v>
      </c>
      <c r="S43" s="232">
        <f t="shared" si="3"/>
        <v>-0.84902616902616912</v>
      </c>
      <c r="T43" s="230">
        <f t="shared" si="4"/>
        <v>0</v>
      </c>
      <c r="U43" s="230">
        <f t="shared" si="6"/>
        <v>-0.8590451311761873</v>
      </c>
      <c r="V43" s="233">
        <f t="shared" si="5"/>
        <v>42.427415515967624</v>
      </c>
    </row>
    <row r="44" spans="1:22" x14ac:dyDescent="0.25">
      <c r="A44" s="224" t="s">
        <v>21</v>
      </c>
      <c r="B44" s="225" t="s">
        <v>46</v>
      </c>
      <c r="C44" s="226" t="s">
        <v>47</v>
      </c>
      <c r="D44" s="240">
        <v>2078</v>
      </c>
      <c r="E44" s="228">
        <v>0.18425062296203606</v>
      </c>
      <c r="F44" s="228">
        <v>0.2437846199578686</v>
      </c>
      <c r="G44" s="228">
        <v>0.16300755525700245</v>
      </c>
      <c r="H44" s="228">
        <v>0.40895720182309292</v>
      </c>
      <c r="I44" s="229">
        <f t="shared" si="0"/>
        <v>1</v>
      </c>
      <c r="J44" s="227">
        <v>0.40776297911670878</v>
      </c>
      <c r="K44" s="228">
        <v>0.34169289678466314</v>
      </c>
      <c r="L44" s="228">
        <v>9.1261643829781802E-2</v>
      </c>
      <c r="M44" s="228">
        <v>9.1107244623713168E-2</v>
      </c>
      <c r="N44" s="228">
        <v>6.8175235645133128E-2</v>
      </c>
      <c r="O44" s="228">
        <v>0</v>
      </c>
      <c r="P44" s="229">
        <v>1</v>
      </c>
      <c r="Q44" s="232">
        <f t="shared" si="1"/>
        <v>-0.238385581846804</v>
      </c>
      <c r="R44" s="233">
        <f t="shared" si="2"/>
        <v>1582.6347609223412</v>
      </c>
      <c r="S44" s="232">
        <f t="shared" si="3"/>
        <v>-0.65858917459249255</v>
      </c>
      <c r="T44" s="230">
        <f t="shared" si="4"/>
        <v>0</v>
      </c>
      <c r="U44" s="230">
        <f t="shared" si="6"/>
        <v>-0.68124596295972406</v>
      </c>
      <c r="V44" s="233">
        <f t="shared" si="5"/>
        <v>662.3708889696934</v>
      </c>
    </row>
    <row r="45" spans="1:22" x14ac:dyDescent="0.25">
      <c r="A45" s="224" t="s">
        <v>21</v>
      </c>
      <c r="B45" s="225" t="s">
        <v>95</v>
      </c>
      <c r="C45" s="226" t="s">
        <v>96</v>
      </c>
      <c r="D45" s="240">
        <v>240</v>
      </c>
      <c r="E45" s="228">
        <v>0</v>
      </c>
      <c r="F45" s="228">
        <v>0</v>
      </c>
      <c r="G45" s="228">
        <v>0</v>
      </c>
      <c r="H45" s="228">
        <v>1</v>
      </c>
      <c r="I45" s="229">
        <f t="shared" si="0"/>
        <v>1</v>
      </c>
      <c r="J45" s="227">
        <v>0.70695548381846296</v>
      </c>
      <c r="K45" s="228">
        <v>0.29304451618153704</v>
      </c>
      <c r="L45" s="228">
        <v>0</v>
      </c>
      <c r="M45" s="228">
        <v>0</v>
      </c>
      <c r="N45" s="228">
        <v>0</v>
      </c>
      <c r="O45" s="228">
        <v>0</v>
      </c>
      <c r="P45" s="229">
        <v>1</v>
      </c>
      <c r="Q45" s="232">
        <f t="shared" si="1"/>
        <v>-6.6362243611310254E-2</v>
      </c>
      <c r="R45" s="233">
        <f t="shared" si="2"/>
        <v>224.07306153328554</v>
      </c>
      <c r="S45" s="232">
        <f t="shared" si="3"/>
        <v>-0.84139109676369261</v>
      </c>
      <c r="T45" s="230">
        <f t="shared" si="4"/>
        <v>0</v>
      </c>
      <c r="U45" s="230">
        <f t="shared" si="6"/>
        <v>-0.85191673943918322</v>
      </c>
      <c r="V45" s="233">
        <f t="shared" si="5"/>
        <v>35.539982534596028</v>
      </c>
    </row>
    <row r="46" spans="1:22" x14ac:dyDescent="0.25">
      <c r="A46" s="224" t="s">
        <v>21</v>
      </c>
      <c r="B46" s="225" t="s">
        <v>40</v>
      </c>
      <c r="C46" s="226" t="s">
        <v>41</v>
      </c>
      <c r="D46" s="240">
        <v>11037</v>
      </c>
      <c r="E46" s="228">
        <v>0.23310711914116097</v>
      </c>
      <c r="F46" s="228">
        <v>7.3092967225359295E-2</v>
      </c>
      <c r="G46" s="228">
        <v>3.1020540899312044E-2</v>
      </c>
      <c r="H46" s="228">
        <v>0.66277937273416765</v>
      </c>
      <c r="I46" s="229">
        <f t="shared" si="0"/>
        <v>1</v>
      </c>
      <c r="J46" s="227">
        <v>0.63334463071062042</v>
      </c>
      <c r="K46" s="228">
        <v>0.11811502040323064</v>
      </c>
      <c r="L46" s="228">
        <v>9.6879435797409097E-2</v>
      </c>
      <c r="M46" s="228">
        <v>5.9182854637461868E-2</v>
      </c>
      <c r="N46" s="228">
        <v>5.8025796909397194E-2</v>
      </c>
      <c r="O46" s="228">
        <v>3.445226154188083E-2</v>
      </c>
      <c r="P46" s="229">
        <v>1</v>
      </c>
      <c r="Q46" s="232">
        <f t="shared" si="1"/>
        <v>-0.28538483223847838</v>
      </c>
      <c r="R46" s="233">
        <f t="shared" si="2"/>
        <v>7887.2076065839137</v>
      </c>
      <c r="S46" s="232">
        <f t="shared" si="3"/>
        <v>-0.6993936632794745</v>
      </c>
      <c r="T46" s="230">
        <f t="shared" si="4"/>
        <v>-1.0387356854877072E-2</v>
      </c>
      <c r="U46" s="230">
        <f t="shared" si="6"/>
        <v>-0.72904060277682159</v>
      </c>
      <c r="V46" s="233">
        <f t="shared" si="5"/>
        <v>2990.57886715222</v>
      </c>
    </row>
    <row r="47" spans="1:22" x14ac:dyDescent="0.25">
      <c r="A47" s="224" t="s">
        <v>21</v>
      </c>
      <c r="B47" s="225" t="s">
        <v>28</v>
      </c>
      <c r="C47" s="226" t="s">
        <v>29</v>
      </c>
      <c r="D47" s="240">
        <v>1879</v>
      </c>
      <c r="E47" s="228">
        <v>0.55030954388427922</v>
      </c>
      <c r="F47" s="228">
        <v>8.9472378188836812E-2</v>
      </c>
      <c r="G47" s="228">
        <v>0</v>
      </c>
      <c r="H47" s="228">
        <v>0.36021807792688398</v>
      </c>
      <c r="I47" s="229">
        <f t="shared" si="0"/>
        <v>1</v>
      </c>
      <c r="J47" s="227">
        <v>0.71383246412942525</v>
      </c>
      <c r="K47" s="228">
        <v>0.16629046060242417</v>
      </c>
      <c r="L47" s="228">
        <v>9.8788133069564729E-2</v>
      </c>
      <c r="M47" s="228">
        <v>2.108894219858588E-2</v>
      </c>
      <c r="N47" s="228">
        <v>0</v>
      </c>
      <c r="O47" s="228">
        <v>0</v>
      </c>
      <c r="P47" s="229">
        <v>1</v>
      </c>
      <c r="Q47" s="232">
        <f t="shared" si="1"/>
        <v>-0.58015201148271189</v>
      </c>
      <c r="R47" s="233">
        <f t="shared" si="2"/>
        <v>788.89437042398436</v>
      </c>
      <c r="S47" s="232">
        <f t="shared" si="3"/>
        <v>-0.79270676849876631</v>
      </c>
      <c r="T47" s="230">
        <f t="shared" si="4"/>
        <v>0</v>
      </c>
      <c r="U47" s="230">
        <f t="shared" si="6"/>
        <v>-0.80646321242662689</v>
      </c>
      <c r="V47" s="233">
        <f t="shared" si="5"/>
        <v>363.6556238503681</v>
      </c>
    </row>
    <row r="48" spans="1:22" x14ac:dyDescent="0.25">
      <c r="A48" s="224" t="s">
        <v>21</v>
      </c>
      <c r="B48" s="225" t="s">
        <v>42</v>
      </c>
      <c r="C48" s="226" t="s">
        <v>43</v>
      </c>
      <c r="D48" s="240">
        <v>9390</v>
      </c>
      <c r="E48" s="228">
        <v>0.20246740482347089</v>
      </c>
      <c r="F48" s="228">
        <v>0.14369013314165677</v>
      </c>
      <c r="G48" s="228">
        <v>1.5194940935824424E-2</v>
      </c>
      <c r="H48" s="228">
        <v>0.63864752109904788</v>
      </c>
      <c r="I48" s="229">
        <f t="shared" si="0"/>
        <v>1</v>
      </c>
      <c r="J48" s="227">
        <v>0.60836787214704779</v>
      </c>
      <c r="K48" s="228">
        <v>0.2681583734980304</v>
      </c>
      <c r="L48" s="228">
        <v>5.4728542135811395E-2</v>
      </c>
      <c r="M48" s="228">
        <v>4.6555084077414211E-2</v>
      </c>
      <c r="N48" s="228">
        <v>0</v>
      </c>
      <c r="O48" s="228">
        <v>2.2190128141696221E-2</v>
      </c>
      <c r="P48" s="229">
        <v>1</v>
      </c>
      <c r="Q48" s="232">
        <f t="shared" si="1"/>
        <v>-0.25628550034383235</v>
      </c>
      <c r="R48" s="233">
        <f t="shared" si="2"/>
        <v>6983.4791517714139</v>
      </c>
      <c r="S48" s="232">
        <f t="shared" si="3"/>
        <v>-0.76097152583719052</v>
      </c>
      <c r="T48" s="230">
        <f t="shared" si="4"/>
        <v>-6.6903236347214115E-3</v>
      </c>
      <c r="U48" s="230">
        <f t="shared" si="6"/>
        <v>-0.78308033041745817</v>
      </c>
      <c r="V48" s="233">
        <f t="shared" si="5"/>
        <v>2036.8756973800678</v>
      </c>
    </row>
    <row r="49" spans="1:24" x14ac:dyDescent="0.25">
      <c r="A49" s="224" t="s">
        <v>21</v>
      </c>
      <c r="B49" s="225" t="s">
        <v>53</v>
      </c>
      <c r="C49" s="226" t="s">
        <v>54</v>
      </c>
      <c r="D49" s="240">
        <v>13850</v>
      </c>
      <c r="E49" s="228">
        <v>1.7947614250480821E-2</v>
      </c>
      <c r="F49" s="228">
        <v>0.25408402645980099</v>
      </c>
      <c r="G49" s="228">
        <v>9.7751834005282714E-2</v>
      </c>
      <c r="H49" s="228">
        <v>0.6302165252844355</v>
      </c>
      <c r="I49" s="229">
        <f t="shared" si="0"/>
        <v>1</v>
      </c>
      <c r="J49" s="227">
        <v>0.55397466875392432</v>
      </c>
      <c r="K49" s="228">
        <v>0.27971861964956868</v>
      </c>
      <c r="L49" s="228">
        <v>7.4696048916002386E-2</v>
      </c>
      <c r="M49" s="228">
        <v>4.0806418431085179E-2</v>
      </c>
      <c r="N49" s="228">
        <v>2.2959131067757016E-2</v>
      </c>
      <c r="O49" s="228">
        <v>2.7845113181662377E-2</v>
      </c>
      <c r="P49" s="229">
        <v>1</v>
      </c>
      <c r="Q49" s="232">
        <f t="shared" si="1"/>
        <v>-8.4238187462561676E-2</v>
      </c>
      <c r="R49" s="233">
        <f t="shared" si="2"/>
        <v>12683.30110364352</v>
      </c>
      <c r="S49" s="232">
        <f t="shared" si="3"/>
        <v>-0.72724624710102337</v>
      </c>
      <c r="T49" s="230">
        <f t="shared" si="4"/>
        <v>-8.3953016242712085E-3</v>
      </c>
      <c r="U49" s="230">
        <f t="shared" si="6"/>
        <v>-0.75318496866949525</v>
      </c>
      <c r="V49" s="233">
        <f t="shared" si="5"/>
        <v>3418.3881839274909</v>
      </c>
    </row>
    <row r="50" spans="1:24" x14ac:dyDescent="0.25">
      <c r="A50" s="224" t="s">
        <v>21</v>
      </c>
      <c r="B50" s="225" t="s">
        <v>38</v>
      </c>
      <c r="C50" s="226" t="s">
        <v>39</v>
      </c>
      <c r="D50" s="240">
        <v>6199</v>
      </c>
      <c r="E50" s="228">
        <v>0.23831199470901254</v>
      </c>
      <c r="F50" s="228">
        <v>0.12471417233767322</v>
      </c>
      <c r="G50" s="228">
        <v>0.11548061606807965</v>
      </c>
      <c r="H50" s="228">
        <v>0.52149321688523453</v>
      </c>
      <c r="I50" s="229">
        <f t="shared" si="0"/>
        <v>1</v>
      </c>
      <c r="J50" s="227">
        <v>0.70628533396574278</v>
      </c>
      <c r="K50" s="228">
        <v>0.18977370961695877</v>
      </c>
      <c r="L50" s="228">
        <v>1.8256997942119234E-2</v>
      </c>
      <c r="M50" s="228">
        <v>6.6767903180152549E-2</v>
      </c>
      <c r="N50" s="228">
        <v>1.891605529502666E-2</v>
      </c>
      <c r="O50" s="228">
        <v>0</v>
      </c>
      <c r="P50" s="229">
        <v>1</v>
      </c>
      <c r="Q50" s="232">
        <f t="shared" si="1"/>
        <v>-0.288859319671946</v>
      </c>
      <c r="R50" s="233">
        <f t="shared" si="2"/>
        <v>4408.3610773536066</v>
      </c>
      <c r="S50" s="232">
        <f t="shared" si="3"/>
        <v>-0.78922068284920854</v>
      </c>
      <c r="T50" s="230">
        <f t="shared" si="4"/>
        <v>0</v>
      </c>
      <c r="U50" s="230">
        <f t="shared" si="6"/>
        <v>-0.80320847124219497</v>
      </c>
      <c r="V50" s="233">
        <f t="shared" si="5"/>
        <v>1219.9106867696335</v>
      </c>
    </row>
    <row r="51" spans="1:24" x14ac:dyDescent="0.25">
      <c r="A51" s="224" t="s">
        <v>21</v>
      </c>
      <c r="B51" s="225" t="s">
        <v>44</v>
      </c>
      <c r="C51" s="226" t="s">
        <v>45</v>
      </c>
      <c r="D51" s="240">
        <v>33120</v>
      </c>
      <c r="E51" s="228">
        <v>0.1971112184429388</v>
      </c>
      <c r="F51" s="228">
        <v>9.2316017261765124E-2</v>
      </c>
      <c r="G51" s="228">
        <v>0</v>
      </c>
      <c r="H51" s="228">
        <v>0.71057276429529614</v>
      </c>
      <c r="I51" s="229">
        <f t="shared" si="0"/>
        <v>1</v>
      </c>
      <c r="J51" s="227">
        <v>0.31889119518862286</v>
      </c>
      <c r="K51" s="228">
        <v>0.2120318341297853</v>
      </c>
      <c r="L51" s="228">
        <v>0.19012648442959496</v>
      </c>
      <c r="M51" s="228">
        <v>4.9817749747720776E-2</v>
      </c>
      <c r="N51" s="228">
        <v>6.6707405759961799E-2</v>
      </c>
      <c r="O51" s="228">
        <v>0.16242533074431437</v>
      </c>
      <c r="P51" s="229">
        <v>1</v>
      </c>
      <c r="Q51" s="232">
        <f t="shared" si="1"/>
        <v>-0.256922217653338</v>
      </c>
      <c r="R51" s="233">
        <f t="shared" si="2"/>
        <v>24610.736151321446</v>
      </c>
      <c r="S51" s="232">
        <f t="shared" si="3"/>
        <v>-0.50909659541502916</v>
      </c>
      <c r="T51" s="230">
        <f t="shared" si="4"/>
        <v>-4.8971237219410789E-2</v>
      </c>
      <c r="U51" s="230">
        <f t="shared" si="6"/>
        <v>-0.58739544278482758</v>
      </c>
      <c r="V51" s="233">
        <f t="shared" si="5"/>
        <v>13665.46293496651</v>
      </c>
    </row>
    <row r="52" spans="1:24" x14ac:dyDescent="0.25">
      <c r="A52" s="224" t="s">
        <v>21</v>
      </c>
      <c r="B52" s="225" t="s">
        <v>97</v>
      </c>
      <c r="C52" s="226" t="s">
        <v>98</v>
      </c>
      <c r="D52" s="240">
        <v>463</v>
      </c>
      <c r="E52" s="228">
        <v>0</v>
      </c>
      <c r="F52" s="228">
        <v>0.5515615046041582</v>
      </c>
      <c r="G52" s="228">
        <v>0</v>
      </c>
      <c r="H52" s="228">
        <v>0.4484384953958418</v>
      </c>
      <c r="I52" s="229">
        <f t="shared" si="0"/>
        <v>1</v>
      </c>
      <c r="J52" s="227">
        <v>0.59334602433522776</v>
      </c>
      <c r="K52" s="228">
        <v>0.25078160823710866</v>
      </c>
      <c r="L52" s="228">
        <v>0.15587236742766361</v>
      </c>
      <c r="M52" s="228">
        <v>0</v>
      </c>
      <c r="N52" s="228">
        <v>0</v>
      </c>
      <c r="O52" s="228">
        <v>0</v>
      </c>
      <c r="P52" s="229">
        <v>1</v>
      </c>
      <c r="Q52" s="232">
        <f t="shared" si="1"/>
        <v>-6.6362243611310254E-2</v>
      </c>
      <c r="R52" s="233">
        <f t="shared" si="2"/>
        <v>432.27428120796333</v>
      </c>
      <c r="S52" s="232">
        <f t="shared" si="3"/>
        <v>-0.75632025789598023</v>
      </c>
      <c r="T52" s="230">
        <f t="shared" si="4"/>
        <v>0</v>
      </c>
      <c r="U52" s="230">
        <f t="shared" si="6"/>
        <v>-0.77249139230462849</v>
      </c>
      <c r="V52" s="233">
        <f t="shared" si="5"/>
        <v>105.33648536295701</v>
      </c>
    </row>
    <row r="53" spans="1:24" x14ac:dyDescent="0.25">
      <c r="A53" s="224" t="s">
        <v>64</v>
      </c>
      <c r="B53" s="225" t="s">
        <v>99</v>
      </c>
      <c r="C53" s="226" t="s">
        <v>100</v>
      </c>
      <c r="D53" s="240">
        <v>2446</v>
      </c>
      <c r="E53" s="228">
        <v>0</v>
      </c>
      <c r="F53" s="228">
        <v>0</v>
      </c>
      <c r="G53" s="228">
        <v>0</v>
      </c>
      <c r="H53" s="228">
        <v>1</v>
      </c>
      <c r="I53" s="229">
        <f t="shared" si="0"/>
        <v>1</v>
      </c>
      <c r="J53" s="227">
        <v>0.29872747774805236</v>
      </c>
      <c r="K53" s="228">
        <v>3.3719892657085124E-2</v>
      </c>
      <c r="L53" s="228">
        <v>0</v>
      </c>
      <c r="M53" s="228">
        <v>0</v>
      </c>
      <c r="N53" s="228">
        <v>3.5006582583040381E-2</v>
      </c>
      <c r="O53" s="228">
        <v>0.63254604701182215</v>
      </c>
      <c r="P53" s="229">
        <v>1</v>
      </c>
      <c r="Q53" s="232">
        <f t="shared" si="1"/>
        <v>-9.1790594701185502E-2</v>
      </c>
      <c r="R53" s="233">
        <f t="shared" si="2"/>
        <v>2221.4802053609005</v>
      </c>
      <c r="S53" s="232">
        <f t="shared" si="3"/>
        <v>-0.29595931309151075</v>
      </c>
      <c r="T53" s="230">
        <f t="shared" si="4"/>
        <v>-0.19071263317406442</v>
      </c>
      <c r="U53" s="230">
        <f t="shared" si="6"/>
        <v>-0.52073754762001889</v>
      </c>
      <c r="V53" s="233">
        <f t="shared" si="5"/>
        <v>1172.2759585214337</v>
      </c>
    </row>
    <row r="54" spans="1:24" x14ac:dyDescent="0.25">
      <c r="A54" s="224" t="s">
        <v>21</v>
      </c>
      <c r="B54" s="225" t="s">
        <v>101</v>
      </c>
      <c r="C54" s="226" t="s">
        <v>102</v>
      </c>
      <c r="D54" s="240">
        <v>612</v>
      </c>
      <c r="E54" s="228">
        <v>0</v>
      </c>
      <c r="F54" s="228">
        <v>0.85270228559464534</v>
      </c>
      <c r="G54" s="228">
        <v>0</v>
      </c>
      <c r="H54" s="228">
        <v>0.14729771440535472</v>
      </c>
      <c r="I54" s="229">
        <f t="shared" si="0"/>
        <v>1</v>
      </c>
      <c r="J54" s="227">
        <v>1</v>
      </c>
      <c r="K54" s="228">
        <v>0</v>
      </c>
      <c r="L54" s="228">
        <v>0</v>
      </c>
      <c r="M54" s="228">
        <v>0</v>
      </c>
      <c r="N54" s="228">
        <v>0</v>
      </c>
      <c r="O54" s="228">
        <v>0</v>
      </c>
      <c r="P54" s="229">
        <v>1</v>
      </c>
      <c r="Q54" s="232">
        <f t="shared" si="1"/>
        <v>-6.6362243611310254E-2</v>
      </c>
      <c r="R54" s="233">
        <f t="shared" si="2"/>
        <v>571.38630690987816</v>
      </c>
      <c r="S54" s="232">
        <f t="shared" si="3"/>
        <v>-0.9</v>
      </c>
      <c r="T54" s="230">
        <f t="shared" si="4"/>
        <v>0</v>
      </c>
      <c r="U54" s="230">
        <f t="shared" si="6"/>
        <v>-0.906636224361131</v>
      </c>
      <c r="V54" s="233">
        <f t="shared" si="5"/>
        <v>57.138630690987824</v>
      </c>
    </row>
    <row r="55" spans="1:24" x14ac:dyDescent="0.25">
      <c r="A55" s="224" t="s">
        <v>21</v>
      </c>
      <c r="B55" s="225" t="s">
        <v>34</v>
      </c>
      <c r="C55" s="226" t="s">
        <v>35</v>
      </c>
      <c r="D55" s="240">
        <v>856</v>
      </c>
      <c r="E55" s="228">
        <v>0.43141952741612244</v>
      </c>
      <c r="F55" s="228">
        <v>0</v>
      </c>
      <c r="G55" s="228">
        <v>0.10460008431951054</v>
      </c>
      <c r="H55" s="228">
        <v>0.46398038826436705</v>
      </c>
      <c r="I55" s="229">
        <f t="shared" si="0"/>
        <v>1</v>
      </c>
      <c r="J55" s="227">
        <v>0.78732805738400247</v>
      </c>
      <c r="K55" s="228">
        <v>0.21267194261599751</v>
      </c>
      <c r="L55" s="228">
        <v>0</v>
      </c>
      <c r="M55" s="228">
        <v>0</v>
      </c>
      <c r="N55" s="228">
        <v>0</v>
      </c>
      <c r="O55" s="228">
        <v>0</v>
      </c>
      <c r="P55" s="229">
        <v>1</v>
      </c>
      <c r="Q55" s="232">
        <f t="shared" si="1"/>
        <v>-0.46915180325036765</v>
      </c>
      <c r="R55" s="233">
        <f t="shared" si="2"/>
        <v>454.40605641768531</v>
      </c>
      <c r="S55" s="232">
        <f t="shared" si="3"/>
        <v>-0.85746561147680045</v>
      </c>
      <c r="T55" s="230">
        <f t="shared" si="4"/>
        <v>0</v>
      </c>
      <c r="U55" s="230">
        <f t="shared" si="6"/>
        <v>-0.8669245132909662</v>
      </c>
      <c r="V55" s="233">
        <f t="shared" si="5"/>
        <v>113.91261662293293</v>
      </c>
    </row>
    <row r="56" spans="1:24" x14ac:dyDescent="0.25">
      <c r="A56" s="224" t="s">
        <v>64</v>
      </c>
      <c r="B56" s="225" t="s">
        <v>103</v>
      </c>
      <c r="C56" s="226" t="s">
        <v>104</v>
      </c>
      <c r="D56" s="240">
        <v>2473</v>
      </c>
      <c r="E56" s="228">
        <v>0</v>
      </c>
      <c r="F56" s="228">
        <v>0</v>
      </c>
      <c r="G56" s="228">
        <v>0</v>
      </c>
      <c r="H56" s="228">
        <v>1</v>
      </c>
      <c r="I56" s="229">
        <f t="shared" si="0"/>
        <v>1</v>
      </c>
      <c r="J56" s="227">
        <v>0.23426735651074382</v>
      </c>
      <c r="K56" s="228">
        <v>5.462581622200912E-2</v>
      </c>
      <c r="L56" s="228">
        <v>6.9632702137982977E-2</v>
      </c>
      <c r="M56" s="228">
        <v>0</v>
      </c>
      <c r="N56" s="228">
        <v>1.2063013891089805E-2</v>
      </c>
      <c r="O56" s="228">
        <v>0.62941111123817428</v>
      </c>
      <c r="P56" s="229">
        <v>1</v>
      </c>
      <c r="Q56" s="232">
        <f t="shared" si="1"/>
        <v>-9.1664570283084862E-2</v>
      </c>
      <c r="R56" s="233">
        <f t="shared" si="2"/>
        <v>2246.3135176899314</v>
      </c>
      <c r="S56" s="232">
        <f t="shared" si="3"/>
        <v>-0.27117480424557971</v>
      </c>
      <c r="T56" s="230">
        <f t="shared" si="4"/>
        <v>-0.18976745003830958</v>
      </c>
      <c r="U56" s="230">
        <f t="shared" si="6"/>
        <v>-0.49671533572566556</v>
      </c>
      <c r="V56" s="233">
        <f t="shared" si="5"/>
        <v>1244.6229747504292</v>
      </c>
    </row>
    <row r="57" spans="1:24" x14ac:dyDescent="0.25">
      <c r="A57" s="224" t="s">
        <v>21</v>
      </c>
      <c r="B57" s="225" t="s">
        <v>105</v>
      </c>
      <c r="C57" s="226" t="s">
        <v>106</v>
      </c>
      <c r="D57" s="240">
        <v>192</v>
      </c>
      <c r="E57" s="228">
        <v>0</v>
      </c>
      <c r="F57" s="228">
        <v>0</v>
      </c>
      <c r="G57" s="228">
        <v>0</v>
      </c>
      <c r="H57" s="228">
        <v>1</v>
      </c>
      <c r="I57" s="229">
        <f t="shared" si="0"/>
        <v>1</v>
      </c>
      <c r="J57" s="227">
        <v>1</v>
      </c>
      <c r="K57" s="228">
        <v>0</v>
      </c>
      <c r="L57" s="228">
        <v>0</v>
      </c>
      <c r="M57" s="228">
        <v>0</v>
      </c>
      <c r="N57" s="228">
        <v>0</v>
      </c>
      <c r="O57" s="228">
        <v>0</v>
      </c>
      <c r="P57" s="229">
        <v>1</v>
      </c>
      <c r="Q57" s="232">
        <f t="shared" si="1"/>
        <v>-6.6362243611310254E-2</v>
      </c>
      <c r="R57" s="233">
        <f t="shared" si="2"/>
        <v>179.25844922662844</v>
      </c>
      <c r="S57" s="232">
        <f t="shared" si="3"/>
        <v>-0.9</v>
      </c>
      <c r="T57" s="230">
        <f t="shared" si="4"/>
        <v>0</v>
      </c>
      <c r="U57" s="230">
        <f t="shared" si="6"/>
        <v>-0.906636224361131</v>
      </c>
      <c r="V57" s="233">
        <f t="shared" si="5"/>
        <v>17.925844922662847</v>
      </c>
    </row>
    <row r="58" spans="1:24" x14ac:dyDescent="0.25">
      <c r="A58" s="224" t="s">
        <v>21</v>
      </c>
      <c r="B58" s="225" t="s">
        <v>50</v>
      </c>
      <c r="C58" s="226" t="s">
        <v>51</v>
      </c>
      <c r="D58" s="240">
        <v>1297</v>
      </c>
      <c r="E58" s="228">
        <v>0.11028489256737031</v>
      </c>
      <c r="F58" s="228">
        <v>0.34986505342092661</v>
      </c>
      <c r="G58" s="228">
        <v>0.24817964175193341</v>
      </c>
      <c r="H58" s="228">
        <v>0.2916704122597697</v>
      </c>
      <c r="I58" s="229">
        <f t="shared" si="0"/>
        <v>1</v>
      </c>
      <c r="J58" s="227">
        <v>0.88799970554276997</v>
      </c>
      <c r="K58" s="228">
        <v>0</v>
      </c>
      <c r="L58" s="228">
        <v>6.3453595865200579E-2</v>
      </c>
      <c r="M58" s="228">
        <v>4.8546698592029508E-2</v>
      </c>
      <c r="N58" s="228">
        <v>0</v>
      </c>
      <c r="O58" s="228">
        <v>0</v>
      </c>
      <c r="P58" s="229">
        <v>1</v>
      </c>
      <c r="Q58" s="232">
        <f t="shared" si="1"/>
        <v>-0.16932838327147756</v>
      </c>
      <c r="R58" s="233">
        <f t="shared" si="2"/>
        <v>1077.3810868968935</v>
      </c>
      <c r="S58" s="232">
        <f t="shared" si="3"/>
        <v>-0.82794515346645903</v>
      </c>
      <c r="T58" s="230">
        <f t="shared" si="4"/>
        <v>0</v>
      </c>
      <c r="U58" s="230">
        <f t="shared" si="6"/>
        <v>-0.83936309910662443</v>
      </c>
      <c r="V58" s="233">
        <f t="shared" si="5"/>
        <v>208.34606045870811</v>
      </c>
    </row>
    <row r="59" spans="1:24" x14ac:dyDescent="0.25">
      <c r="A59" s="224" t="s">
        <v>21</v>
      </c>
      <c r="B59" s="225" t="s">
        <v>22</v>
      </c>
      <c r="C59" s="226" t="s">
        <v>23</v>
      </c>
      <c r="D59" s="240">
        <v>570</v>
      </c>
      <c r="E59" s="228">
        <v>0.82933325987129713</v>
      </c>
      <c r="F59" s="228">
        <v>0</v>
      </c>
      <c r="G59" s="228">
        <v>0</v>
      </c>
      <c r="H59" s="228">
        <v>0.17066674012870287</v>
      </c>
      <c r="I59" s="229">
        <f t="shared" si="0"/>
        <v>1</v>
      </c>
      <c r="J59" s="227">
        <v>0.82860196520754659</v>
      </c>
      <c r="K59" s="228">
        <v>0.17139803479245347</v>
      </c>
      <c r="L59" s="228">
        <v>0</v>
      </c>
      <c r="M59" s="228">
        <v>0</v>
      </c>
      <c r="N59" s="228">
        <v>0</v>
      </c>
      <c r="O59" s="228">
        <v>0</v>
      </c>
      <c r="P59" s="229">
        <v>1</v>
      </c>
      <c r="Q59" s="232">
        <f t="shared" si="1"/>
        <v>-0.84065908765606634</v>
      </c>
      <c r="R59" s="233">
        <f t="shared" si="2"/>
        <v>90.824320036042181</v>
      </c>
      <c r="S59" s="232">
        <f t="shared" si="3"/>
        <v>-0.86572039304150938</v>
      </c>
      <c r="T59" s="230">
        <f t="shared" si="4"/>
        <v>0</v>
      </c>
      <c r="U59" s="230">
        <f t="shared" si="6"/>
        <v>-0.87463148903051968</v>
      </c>
      <c r="V59" s="233">
        <f t="shared" si="5"/>
        <v>71.460051252603776</v>
      </c>
    </row>
    <row r="60" spans="1:24" x14ac:dyDescent="0.25">
      <c r="A60" s="224" t="s">
        <v>21</v>
      </c>
      <c r="B60" s="225" t="s">
        <v>32</v>
      </c>
      <c r="C60" s="226" t="s">
        <v>33</v>
      </c>
      <c r="D60" s="240">
        <v>9630</v>
      </c>
      <c r="E60" s="228">
        <v>0.44862625020689001</v>
      </c>
      <c r="F60" s="228">
        <v>2.8222755538741637E-2</v>
      </c>
      <c r="G60" s="228">
        <v>7.6373285880567368E-2</v>
      </c>
      <c r="H60" s="228">
        <v>0.44677770837380099</v>
      </c>
      <c r="I60" s="229">
        <f t="shared" si="0"/>
        <v>1</v>
      </c>
      <c r="J60" s="227">
        <v>0.65553231828171488</v>
      </c>
      <c r="K60" s="228">
        <v>0.31396220421951948</v>
      </c>
      <c r="L60" s="228">
        <v>3.050547749876557E-2</v>
      </c>
      <c r="M60" s="228">
        <v>0</v>
      </c>
      <c r="N60" s="228">
        <v>0</v>
      </c>
      <c r="O60" s="228">
        <v>0</v>
      </c>
      <c r="P60" s="229">
        <v>1</v>
      </c>
      <c r="Q60" s="232">
        <f t="shared" si="1"/>
        <v>-0.48521664931154201</v>
      </c>
      <c r="R60" s="233">
        <f t="shared" si="2"/>
        <v>4957.3636671298509</v>
      </c>
      <c r="S60" s="232">
        <f t="shared" si="3"/>
        <v>-0.81890427265683663</v>
      </c>
      <c r="T60" s="230">
        <f t="shared" si="4"/>
        <v>0</v>
      </c>
      <c r="U60" s="230">
        <f t="shared" si="6"/>
        <v>-0.83092219143175106</v>
      </c>
      <c r="V60" s="233">
        <f t="shared" si="5"/>
        <v>1628.2192965122374</v>
      </c>
    </row>
    <row r="61" spans="1:24" x14ac:dyDescent="0.25">
      <c r="A61" s="224" t="s">
        <v>21</v>
      </c>
      <c r="B61" s="225" t="s">
        <v>107</v>
      </c>
      <c r="C61" s="226" t="s">
        <v>108</v>
      </c>
      <c r="D61" s="240">
        <v>181</v>
      </c>
      <c r="E61" s="228">
        <v>0</v>
      </c>
      <c r="F61" s="228">
        <v>0</v>
      </c>
      <c r="G61" s="228">
        <v>0</v>
      </c>
      <c r="H61" s="228">
        <v>1</v>
      </c>
      <c r="I61" s="229">
        <f t="shared" si="0"/>
        <v>1</v>
      </c>
      <c r="J61" s="227">
        <v>0.4316637001110965</v>
      </c>
      <c r="K61" s="228">
        <v>0.37592431102244628</v>
      </c>
      <c r="L61" s="228">
        <v>0</v>
      </c>
      <c r="M61" s="228">
        <v>0.19241198886645722</v>
      </c>
      <c r="N61" s="228">
        <v>0</v>
      </c>
      <c r="O61" s="228">
        <v>0</v>
      </c>
      <c r="P61" s="229">
        <v>1</v>
      </c>
      <c r="Q61" s="232">
        <f t="shared" si="1"/>
        <v>-6.6362243611310254E-2</v>
      </c>
      <c r="R61" s="233">
        <f t="shared" si="2"/>
        <v>168.98843390635284</v>
      </c>
      <c r="S61" s="232">
        <f t="shared" si="3"/>
        <v>-0.69012674558899068</v>
      </c>
      <c r="T61" s="230">
        <f t="shared" si="4"/>
        <v>0</v>
      </c>
      <c r="U61" s="230">
        <f t="shared" si="6"/>
        <v>-0.71069062998684362</v>
      </c>
      <c r="V61" s="233">
        <f t="shared" si="5"/>
        <v>52.364995972381301</v>
      </c>
    </row>
    <row r="62" spans="1:24" x14ac:dyDescent="0.25">
      <c r="A62" s="224" t="s">
        <v>21</v>
      </c>
      <c r="B62" s="225" t="s">
        <v>109</v>
      </c>
      <c r="C62" s="226" t="s">
        <v>110</v>
      </c>
      <c r="D62" s="240">
        <v>61</v>
      </c>
      <c r="E62" s="228">
        <v>0</v>
      </c>
      <c r="F62" s="228">
        <v>0</v>
      </c>
      <c r="G62" s="228">
        <v>0</v>
      </c>
      <c r="H62" s="228">
        <v>1</v>
      </c>
      <c r="I62" s="229">
        <f t="shared" si="0"/>
        <v>1</v>
      </c>
      <c r="J62" s="227">
        <v>0</v>
      </c>
      <c r="K62" s="228">
        <v>0.24540872487109669</v>
      </c>
      <c r="L62" s="228">
        <v>0.50324430797752162</v>
      </c>
      <c r="M62" s="228">
        <v>0</v>
      </c>
      <c r="N62" s="228">
        <v>0.25134696715138172</v>
      </c>
      <c r="O62" s="228">
        <v>0</v>
      </c>
      <c r="P62" s="229">
        <v>1</v>
      </c>
      <c r="Q62" s="232">
        <f t="shared" si="1"/>
        <v>-6.6362243611310254E-2</v>
      </c>
      <c r="R62" s="233">
        <f t="shared" si="2"/>
        <v>56.951903139710076</v>
      </c>
      <c r="S62" s="232">
        <f t="shared" si="3"/>
        <v>-0.34789409651816233</v>
      </c>
      <c r="T62" s="230">
        <f t="shared" si="4"/>
        <v>0</v>
      </c>
      <c r="U62" s="230">
        <f t="shared" si="6"/>
        <v>-0.39116930734539762</v>
      </c>
      <c r="V62" s="233">
        <f t="shared" si="5"/>
        <v>37.138672251930743</v>
      </c>
    </row>
    <row r="63" spans="1:24" s="199" customFormat="1" ht="14" x14ac:dyDescent="0.3">
      <c r="A63" s="201" t="s">
        <v>5</v>
      </c>
      <c r="B63" s="202"/>
      <c r="C63" s="206"/>
      <c r="D63" s="245">
        <f>SUM(D19:D62)</f>
        <v>201022</v>
      </c>
      <c r="E63" s="202"/>
      <c r="F63" s="202"/>
      <c r="G63" s="202"/>
      <c r="H63" s="202"/>
      <c r="I63" s="206"/>
      <c r="J63" s="246"/>
      <c r="K63" s="203"/>
      <c r="L63" s="203"/>
      <c r="M63" s="203"/>
      <c r="N63" s="203"/>
      <c r="O63" s="203"/>
      <c r="P63" s="200"/>
      <c r="Q63" s="247">
        <f>(R63-$D63)/$D63</f>
        <v>-0.20871876596528247</v>
      </c>
      <c r="R63" s="205">
        <f>SUM(R19:R62)</f>
        <v>159064.93622812699</v>
      </c>
      <c r="S63" s="248"/>
      <c r="T63" s="202"/>
      <c r="U63" s="204">
        <f>(V63-$D63)/$D63</f>
        <v>-0.63610116312589637</v>
      </c>
      <c r="V63" s="205">
        <f>SUM(V19:V62)</f>
        <v>73151.671986106056</v>
      </c>
    </row>
    <row r="64" spans="1:24" ht="13" x14ac:dyDescent="0.3">
      <c r="W64" s="231"/>
      <c r="X64" s="231"/>
    </row>
    <row r="65" spans="23:24" ht="13" x14ac:dyDescent="0.3">
      <c r="W65" s="231"/>
      <c r="X65" s="231"/>
    </row>
  </sheetData>
  <autoFilter ref="A18:W62" xr:uid="{00000000-0009-0000-0000-000004000000}">
    <sortState xmlns:xlrd2="http://schemas.microsoft.com/office/spreadsheetml/2017/richdata2" ref="A19:V62">
      <sortCondition ref="B18:B62"/>
    </sortState>
  </autoFilter>
  <mergeCells count="8">
    <mergeCell ref="Q17:R17"/>
    <mergeCell ref="S17:V17"/>
    <mergeCell ref="A2:I2"/>
    <mergeCell ref="A3:I3"/>
    <mergeCell ref="E17:I17"/>
    <mergeCell ref="J17:P17"/>
    <mergeCell ref="A17:C17"/>
    <mergeCell ref="A4:I4"/>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2B9BE-EE4A-4059-A3FD-C5BAB5790287}">
  <sheetPr>
    <tabColor theme="6"/>
  </sheetPr>
  <dimension ref="A1:AE83"/>
  <sheetViews>
    <sheetView zoomScale="56" zoomScaleNormal="80" workbookViewId="0">
      <selection activeCell="A2" sqref="A2"/>
    </sheetView>
  </sheetViews>
  <sheetFormatPr baseColWidth="10" defaultRowHeight="14.5" x14ac:dyDescent="0.35"/>
  <cols>
    <col min="2" max="2" width="31.1796875" bestFit="1" customWidth="1"/>
    <col min="3" max="11" width="11.81640625" bestFit="1" customWidth="1"/>
    <col min="12" max="12" width="13" bestFit="1" customWidth="1"/>
    <col min="13" max="31" width="11.81640625" bestFit="1" customWidth="1"/>
  </cols>
  <sheetData>
    <row r="1" spans="1:12" s="3" customFormat="1" ht="18" customHeight="1" x14ac:dyDescent="0.3">
      <c r="A1" s="42" t="s">
        <v>323</v>
      </c>
      <c r="B1" s="11"/>
      <c r="C1" s="11"/>
      <c r="D1" s="11"/>
      <c r="E1" s="11"/>
      <c r="F1" s="11"/>
      <c r="G1" s="11"/>
      <c r="H1" s="11"/>
      <c r="I1" s="11"/>
      <c r="J1" s="11"/>
      <c r="K1" s="11"/>
      <c r="L1" s="11"/>
    </row>
    <row r="2" spans="1:12" x14ac:dyDescent="0.35">
      <c r="F2" s="337"/>
    </row>
    <row r="3" spans="1:12" s="3" customFormat="1" ht="13" x14ac:dyDescent="0.25">
      <c r="A3" s="63" t="s">
        <v>324</v>
      </c>
      <c r="B3" s="63"/>
      <c r="C3" s="63"/>
      <c r="D3" s="63"/>
      <c r="E3" s="63"/>
      <c r="F3" s="63"/>
      <c r="G3" s="63"/>
      <c r="H3" s="63"/>
      <c r="I3" s="63"/>
      <c r="J3" s="63"/>
      <c r="K3" s="63"/>
      <c r="L3" s="63"/>
    </row>
    <row r="4" spans="1:12" x14ac:dyDescent="0.35">
      <c r="F4" s="337"/>
    </row>
    <row r="5" spans="1:12" ht="29" x14ac:dyDescent="0.35">
      <c r="B5" s="296" t="s">
        <v>297</v>
      </c>
      <c r="C5" s="297">
        <v>2019</v>
      </c>
      <c r="D5" s="297">
        <v>2027</v>
      </c>
      <c r="E5" s="297">
        <v>2037</v>
      </c>
      <c r="F5" s="298">
        <v>2050</v>
      </c>
    </row>
    <row r="6" spans="1:12" x14ac:dyDescent="0.35">
      <c r="B6" s="294" t="s">
        <v>298</v>
      </c>
      <c r="C6" s="322">
        <v>292</v>
      </c>
      <c r="D6" s="322">
        <v>316</v>
      </c>
      <c r="E6" s="322">
        <v>334</v>
      </c>
      <c r="F6" s="323">
        <v>362</v>
      </c>
    </row>
    <row r="7" spans="1:12" x14ac:dyDescent="0.35">
      <c r="B7" s="294" t="s">
        <v>299</v>
      </c>
      <c r="C7" s="322">
        <v>88</v>
      </c>
      <c r="D7" s="322">
        <v>152</v>
      </c>
      <c r="E7" s="322">
        <v>263</v>
      </c>
      <c r="F7" s="323">
        <v>331</v>
      </c>
    </row>
    <row r="8" spans="1:12" x14ac:dyDescent="0.35">
      <c r="B8" s="291" t="s">
        <v>300</v>
      </c>
      <c r="C8" s="299">
        <f>SUM(C6:C7)</f>
        <v>380</v>
      </c>
      <c r="D8" s="299">
        <f t="shared" ref="D8:F8" si="0">SUM(D6:D7)</f>
        <v>468</v>
      </c>
      <c r="E8" s="299">
        <f t="shared" si="0"/>
        <v>597</v>
      </c>
      <c r="F8" s="300">
        <f t="shared" si="0"/>
        <v>693</v>
      </c>
    </row>
    <row r="9" spans="1:12" ht="11.5" customHeight="1" x14ac:dyDescent="0.35">
      <c r="B9" s="301" t="s">
        <v>301</v>
      </c>
      <c r="C9" s="302">
        <f>C8/C14</f>
        <v>0.40992448759439049</v>
      </c>
      <c r="D9" s="302">
        <f t="shared" ref="D9:F9" si="1">D8/D14</f>
        <v>0.42010771992818674</v>
      </c>
      <c r="E9" s="302">
        <f t="shared" si="1"/>
        <v>0.43449781659388648</v>
      </c>
      <c r="F9" s="303">
        <f t="shared" si="1"/>
        <v>0.44537275064267351</v>
      </c>
    </row>
    <row r="10" spans="1:12" x14ac:dyDescent="0.35">
      <c r="B10" s="294" t="s">
        <v>302</v>
      </c>
      <c r="C10" s="322">
        <v>543</v>
      </c>
      <c r="D10" s="322">
        <v>614</v>
      </c>
      <c r="E10" s="322">
        <v>702</v>
      </c>
      <c r="F10" s="323">
        <v>765</v>
      </c>
      <c r="G10" s="304"/>
      <c r="H10" s="304"/>
    </row>
    <row r="11" spans="1:12" x14ac:dyDescent="0.35">
      <c r="B11" s="294" t="s">
        <v>303</v>
      </c>
      <c r="C11" s="322">
        <v>4</v>
      </c>
      <c r="D11" s="322">
        <v>32</v>
      </c>
      <c r="E11" s="322">
        <v>75</v>
      </c>
      <c r="F11" s="323">
        <v>98</v>
      </c>
      <c r="G11" s="304"/>
      <c r="H11" s="304"/>
    </row>
    <row r="12" spans="1:12" x14ac:dyDescent="0.35">
      <c r="B12" s="291" t="s">
        <v>304</v>
      </c>
      <c r="C12" s="299">
        <f>SUM(C10:C11)</f>
        <v>547</v>
      </c>
      <c r="D12" s="299">
        <f t="shared" ref="D12:F12" si="2">SUM(D10:D11)</f>
        <v>646</v>
      </c>
      <c r="E12" s="299">
        <f t="shared" si="2"/>
        <v>777</v>
      </c>
      <c r="F12" s="300">
        <f t="shared" si="2"/>
        <v>863</v>
      </c>
      <c r="J12" s="305"/>
      <c r="L12" s="306"/>
    </row>
    <row r="13" spans="1:12" ht="11" customHeight="1" x14ac:dyDescent="0.35">
      <c r="B13" s="301" t="s">
        <v>301</v>
      </c>
      <c r="C13" s="302">
        <f>C12/C14</f>
        <v>0.59007551240560951</v>
      </c>
      <c r="D13" s="302">
        <f t="shared" ref="D13:F13" si="3">D12/D14</f>
        <v>0.57989228007181326</v>
      </c>
      <c r="E13" s="302">
        <f t="shared" si="3"/>
        <v>0.56550218340611358</v>
      </c>
      <c r="F13" s="303">
        <f t="shared" si="3"/>
        <v>0.55462724935732644</v>
      </c>
      <c r="J13" s="305"/>
      <c r="L13" s="306"/>
    </row>
    <row r="14" spans="1:12" x14ac:dyDescent="0.35">
      <c r="B14" s="307" t="s">
        <v>5</v>
      </c>
      <c r="C14" s="308">
        <f>SUM(C8,C12)</f>
        <v>927</v>
      </c>
      <c r="D14" s="308">
        <f t="shared" ref="D14:F14" si="4">SUM(D8,D12)</f>
        <v>1114</v>
      </c>
      <c r="E14" s="308">
        <f t="shared" si="4"/>
        <v>1374</v>
      </c>
      <c r="F14" s="309">
        <f t="shared" si="4"/>
        <v>1556</v>
      </c>
      <c r="J14" s="305"/>
      <c r="L14" s="306"/>
    </row>
    <row r="15" spans="1:12" x14ac:dyDescent="0.35">
      <c r="B15" s="310" t="s">
        <v>305</v>
      </c>
      <c r="C15" s="293"/>
      <c r="D15" s="311">
        <f>(D14-$C$14)/$C$14</f>
        <v>0.2017259978425027</v>
      </c>
      <c r="E15" s="311">
        <f t="shared" ref="E15:F15" si="5">(E14-$C$14)/$C$14</f>
        <v>0.48220064724919093</v>
      </c>
      <c r="F15" s="312">
        <f t="shared" si="5"/>
        <v>0.67853290183387271</v>
      </c>
    </row>
    <row r="16" spans="1:12" x14ac:dyDescent="0.35">
      <c r="F16" s="337"/>
      <c r="G16" s="337"/>
    </row>
    <row r="17" spans="1:31" s="3" customFormat="1" ht="13" x14ac:dyDescent="0.25">
      <c r="A17" s="63" t="s">
        <v>325</v>
      </c>
      <c r="B17" s="63"/>
      <c r="C17" s="63"/>
      <c r="D17" s="63"/>
      <c r="E17" s="63"/>
      <c r="F17" s="63"/>
      <c r="G17" s="63"/>
      <c r="H17" s="63"/>
      <c r="I17" s="63"/>
      <c r="J17" s="63"/>
      <c r="K17" s="63"/>
      <c r="L17" s="63"/>
    </row>
    <row r="18" spans="1:31" x14ac:dyDescent="0.35">
      <c r="F18" s="337"/>
      <c r="G18" s="337"/>
    </row>
    <row r="19" spans="1:31" ht="29" x14ac:dyDescent="0.35">
      <c r="B19" s="327" t="s">
        <v>320</v>
      </c>
      <c r="C19" s="328">
        <v>30</v>
      </c>
      <c r="F19" s="295"/>
      <c r="G19" s="295"/>
    </row>
    <row r="20" spans="1:31" x14ac:dyDescent="0.35">
      <c r="F20" s="295"/>
      <c r="G20" s="295"/>
    </row>
    <row r="21" spans="1:31" ht="29" x14ac:dyDescent="0.35">
      <c r="B21" s="335" t="s">
        <v>306</v>
      </c>
      <c r="C21" s="348">
        <v>2022</v>
      </c>
      <c r="D21" s="333">
        <v>2023</v>
      </c>
      <c r="E21" s="333">
        <v>2024</v>
      </c>
      <c r="F21" s="333">
        <v>2025</v>
      </c>
      <c r="G21" s="333">
        <v>2026</v>
      </c>
      <c r="H21" s="351">
        <v>2027</v>
      </c>
      <c r="I21" s="333">
        <v>2028</v>
      </c>
      <c r="J21" s="333">
        <v>2029</v>
      </c>
      <c r="K21" s="333">
        <v>2030</v>
      </c>
      <c r="L21" s="333">
        <v>2031</v>
      </c>
      <c r="M21" s="333">
        <v>2032</v>
      </c>
      <c r="N21" s="333">
        <v>2033</v>
      </c>
      <c r="O21" s="333">
        <v>2034</v>
      </c>
      <c r="P21" s="333">
        <v>2035</v>
      </c>
      <c r="Q21" s="333">
        <v>2036</v>
      </c>
      <c r="R21" s="333">
        <v>2037</v>
      </c>
      <c r="S21" s="333">
        <v>2038</v>
      </c>
      <c r="T21" s="333">
        <v>2039</v>
      </c>
      <c r="U21" s="333">
        <v>2040</v>
      </c>
      <c r="V21" s="333">
        <v>2041</v>
      </c>
      <c r="W21" s="333">
        <v>2042</v>
      </c>
      <c r="X21" s="333">
        <v>2043</v>
      </c>
      <c r="Y21" s="333">
        <v>2044</v>
      </c>
      <c r="Z21" s="333">
        <v>2045</v>
      </c>
      <c r="AA21" s="333">
        <v>2046</v>
      </c>
      <c r="AB21" s="333">
        <v>2047</v>
      </c>
      <c r="AC21" s="333">
        <v>2048</v>
      </c>
      <c r="AD21" s="333">
        <v>2049</v>
      </c>
      <c r="AE21" s="352">
        <v>2050</v>
      </c>
    </row>
    <row r="22" spans="1:31" x14ac:dyDescent="0.35">
      <c r="B22" s="329" t="s">
        <v>296</v>
      </c>
      <c r="C22" s="349">
        <f>$C$8</f>
        <v>380</v>
      </c>
      <c r="D22" s="295">
        <f t="shared" ref="D22:G23" si="6">C22+($H22-$C22)/COUNT($D$21:$H$21)</f>
        <v>397.6</v>
      </c>
      <c r="E22" s="295">
        <f t="shared" si="6"/>
        <v>415.20000000000005</v>
      </c>
      <c r="F22" s="295">
        <f t="shared" si="6"/>
        <v>432.80000000000007</v>
      </c>
      <c r="G22" s="295">
        <f t="shared" si="6"/>
        <v>450.40000000000009</v>
      </c>
      <c r="H22" s="349">
        <f>$D$8</f>
        <v>468</v>
      </c>
      <c r="I22" s="295">
        <f t="shared" ref="I22:Q23" si="7">H22+($R22-$H22)/COUNT($I$21:$R$21)</f>
        <v>480.9</v>
      </c>
      <c r="J22" s="295">
        <f t="shared" si="7"/>
        <v>493.79999999999995</v>
      </c>
      <c r="K22" s="295">
        <f t="shared" si="7"/>
        <v>506.69999999999993</v>
      </c>
      <c r="L22" s="295">
        <f t="shared" si="7"/>
        <v>519.59999999999991</v>
      </c>
      <c r="M22" s="295">
        <f t="shared" si="7"/>
        <v>532.49999999999989</v>
      </c>
      <c r="N22" s="295">
        <f t="shared" si="7"/>
        <v>545.39999999999986</v>
      </c>
      <c r="O22" s="295">
        <f t="shared" si="7"/>
        <v>558.29999999999984</v>
      </c>
      <c r="P22" s="295">
        <f t="shared" si="7"/>
        <v>571.19999999999982</v>
      </c>
      <c r="Q22" s="295">
        <f t="shared" si="7"/>
        <v>584.0999999999998</v>
      </c>
      <c r="R22">
        <f>HLOOKUP(R$21,$B$5:$F$12,4)</f>
        <v>597</v>
      </c>
      <c r="S22" s="295">
        <f>R22+($AE22-$R22)/COUNT($S$21:$AE$21)</f>
        <v>604.38461538461536</v>
      </c>
      <c r="T22" s="295">
        <f t="shared" ref="T22:AD23" si="8">S22+($AE22-$R22)/COUNT($S$21:$AE$21)</f>
        <v>611.76923076923072</v>
      </c>
      <c r="U22" s="295">
        <f t="shared" si="8"/>
        <v>619.15384615384608</v>
      </c>
      <c r="V22" s="295">
        <f t="shared" si="8"/>
        <v>626.53846153846143</v>
      </c>
      <c r="W22" s="295">
        <f t="shared" si="8"/>
        <v>633.92307692307679</v>
      </c>
      <c r="X22" s="295">
        <f t="shared" si="8"/>
        <v>641.30769230769215</v>
      </c>
      <c r="Y22" s="295">
        <f t="shared" si="8"/>
        <v>648.69230769230751</v>
      </c>
      <c r="Z22" s="295">
        <f t="shared" si="8"/>
        <v>656.07692307692287</v>
      </c>
      <c r="AA22" s="295">
        <f t="shared" si="8"/>
        <v>663.46153846153823</v>
      </c>
      <c r="AB22" s="295">
        <f t="shared" si="8"/>
        <v>670.84615384615358</v>
      </c>
      <c r="AC22" s="295">
        <f t="shared" si="8"/>
        <v>678.23076923076894</v>
      </c>
      <c r="AD22" s="295">
        <f t="shared" si="8"/>
        <v>685.6153846153843</v>
      </c>
      <c r="AE22" s="354">
        <f>$F$8</f>
        <v>693</v>
      </c>
    </row>
    <row r="23" spans="1:31" x14ac:dyDescent="0.35">
      <c r="B23" s="329" t="s">
        <v>307</v>
      </c>
      <c r="C23" s="349">
        <f>$C$12</f>
        <v>547</v>
      </c>
      <c r="D23" s="295">
        <f t="shared" si="6"/>
        <v>566.79999999999995</v>
      </c>
      <c r="E23" s="295">
        <f t="shared" si="6"/>
        <v>586.59999999999991</v>
      </c>
      <c r="F23" s="295">
        <f t="shared" si="6"/>
        <v>606.39999999999986</v>
      </c>
      <c r="G23" s="295">
        <f t="shared" si="6"/>
        <v>626.19999999999982</v>
      </c>
      <c r="H23" s="349">
        <f>$D$12</f>
        <v>646</v>
      </c>
      <c r="I23" s="295">
        <f t="shared" si="7"/>
        <v>659.1</v>
      </c>
      <c r="J23" s="295">
        <f t="shared" si="7"/>
        <v>672.2</v>
      </c>
      <c r="K23" s="295">
        <f t="shared" si="7"/>
        <v>685.30000000000007</v>
      </c>
      <c r="L23" s="295">
        <f t="shared" si="7"/>
        <v>698.40000000000009</v>
      </c>
      <c r="M23" s="295">
        <f t="shared" si="7"/>
        <v>711.50000000000011</v>
      </c>
      <c r="N23" s="295">
        <f t="shared" si="7"/>
        <v>724.60000000000014</v>
      </c>
      <c r="O23" s="295">
        <f t="shared" si="7"/>
        <v>737.70000000000016</v>
      </c>
      <c r="P23" s="295">
        <f t="shared" si="7"/>
        <v>750.80000000000018</v>
      </c>
      <c r="Q23" s="295">
        <f t="shared" si="7"/>
        <v>763.9000000000002</v>
      </c>
      <c r="R23">
        <f>HLOOKUP(R$21,$B$5:$F$12,8)</f>
        <v>777</v>
      </c>
      <c r="S23" s="295">
        <f>R23+($AE23-$R23)/COUNT($S$21:$AE$21)</f>
        <v>783.61538461538464</v>
      </c>
      <c r="T23" s="295">
        <f t="shared" si="8"/>
        <v>790.23076923076928</v>
      </c>
      <c r="U23" s="295">
        <f t="shared" si="8"/>
        <v>796.84615384615392</v>
      </c>
      <c r="V23" s="295">
        <f t="shared" si="8"/>
        <v>803.46153846153857</v>
      </c>
      <c r="W23" s="295">
        <f t="shared" si="8"/>
        <v>810.07692307692321</v>
      </c>
      <c r="X23" s="295">
        <f t="shared" si="8"/>
        <v>816.69230769230785</v>
      </c>
      <c r="Y23" s="295">
        <f t="shared" si="8"/>
        <v>823.30769230769249</v>
      </c>
      <c r="Z23" s="295">
        <f t="shared" si="8"/>
        <v>829.92307692307713</v>
      </c>
      <c r="AA23" s="295">
        <f t="shared" si="8"/>
        <v>836.53846153846177</v>
      </c>
      <c r="AB23" s="295">
        <f t="shared" si="8"/>
        <v>843.15384615384642</v>
      </c>
      <c r="AC23" s="295">
        <f t="shared" si="8"/>
        <v>849.76923076923106</v>
      </c>
      <c r="AD23" s="295">
        <f t="shared" si="8"/>
        <v>856.3846153846157</v>
      </c>
      <c r="AE23" s="354">
        <f>$F$12</f>
        <v>863</v>
      </c>
    </row>
    <row r="24" spans="1:31" x14ac:dyDescent="0.35">
      <c r="B24" s="330" t="s">
        <v>5</v>
      </c>
      <c r="C24" s="350">
        <f>SUM(C22:C23)</f>
        <v>927</v>
      </c>
      <c r="D24" s="313">
        <f t="shared" ref="D24:AE24" si="9">SUM(D22:D23)</f>
        <v>964.4</v>
      </c>
      <c r="E24" s="313">
        <f t="shared" si="9"/>
        <v>1001.8</v>
      </c>
      <c r="F24" s="313">
        <f t="shared" si="9"/>
        <v>1039.1999999999998</v>
      </c>
      <c r="G24" s="313">
        <f t="shared" si="9"/>
        <v>1076.5999999999999</v>
      </c>
      <c r="H24" s="350">
        <f t="shared" si="9"/>
        <v>1114</v>
      </c>
      <c r="I24" s="313">
        <f t="shared" si="9"/>
        <v>1140</v>
      </c>
      <c r="J24" s="313">
        <f t="shared" si="9"/>
        <v>1166</v>
      </c>
      <c r="K24" s="313">
        <f t="shared" si="9"/>
        <v>1192</v>
      </c>
      <c r="L24" s="313">
        <f t="shared" si="9"/>
        <v>1218</v>
      </c>
      <c r="M24" s="313">
        <f t="shared" si="9"/>
        <v>1244</v>
      </c>
      <c r="N24" s="313">
        <f t="shared" si="9"/>
        <v>1270</v>
      </c>
      <c r="O24" s="313">
        <f t="shared" si="9"/>
        <v>1296</v>
      </c>
      <c r="P24" s="313">
        <f t="shared" si="9"/>
        <v>1322</v>
      </c>
      <c r="Q24" s="313">
        <f t="shared" si="9"/>
        <v>1348</v>
      </c>
      <c r="R24" s="313">
        <f t="shared" si="9"/>
        <v>1374</v>
      </c>
      <c r="S24" s="313">
        <f t="shared" si="9"/>
        <v>1388</v>
      </c>
      <c r="T24" s="313">
        <f t="shared" si="9"/>
        <v>1402</v>
      </c>
      <c r="U24" s="313">
        <f t="shared" si="9"/>
        <v>1416</v>
      </c>
      <c r="V24" s="313">
        <f t="shared" si="9"/>
        <v>1430</v>
      </c>
      <c r="W24" s="313">
        <f t="shared" si="9"/>
        <v>1444</v>
      </c>
      <c r="X24" s="313">
        <f t="shared" si="9"/>
        <v>1458</v>
      </c>
      <c r="Y24" s="313">
        <f t="shared" si="9"/>
        <v>1472</v>
      </c>
      <c r="Z24" s="313">
        <f t="shared" si="9"/>
        <v>1486</v>
      </c>
      <c r="AA24" s="313">
        <f t="shared" si="9"/>
        <v>1500</v>
      </c>
      <c r="AB24" s="313">
        <f t="shared" si="9"/>
        <v>1514</v>
      </c>
      <c r="AC24" s="313">
        <f t="shared" si="9"/>
        <v>1528</v>
      </c>
      <c r="AD24" s="313">
        <f t="shared" si="9"/>
        <v>1542</v>
      </c>
      <c r="AE24" s="353">
        <f t="shared" si="9"/>
        <v>1556</v>
      </c>
    </row>
    <row r="26" spans="1:31" x14ac:dyDescent="0.35">
      <c r="B26" s="336" t="s">
        <v>308</v>
      </c>
      <c r="C26" s="333">
        <v>2022</v>
      </c>
      <c r="D26" s="333">
        <v>2023</v>
      </c>
      <c r="E26" s="333">
        <v>2024</v>
      </c>
      <c r="F26" s="333">
        <v>2025</v>
      </c>
      <c r="G26" s="333">
        <v>2026</v>
      </c>
      <c r="H26" s="333">
        <v>2027</v>
      </c>
      <c r="I26" s="333">
        <v>2028</v>
      </c>
      <c r="J26" s="333">
        <v>2029</v>
      </c>
      <c r="K26" s="333">
        <v>2030</v>
      </c>
      <c r="L26" s="333">
        <v>2031</v>
      </c>
      <c r="M26" s="333">
        <v>2032</v>
      </c>
      <c r="N26" s="333">
        <v>2033</v>
      </c>
      <c r="O26" s="333">
        <v>2034</v>
      </c>
      <c r="P26" s="333">
        <v>2035</v>
      </c>
      <c r="Q26" s="333">
        <v>2036</v>
      </c>
      <c r="R26" s="333">
        <v>2037</v>
      </c>
      <c r="S26" s="333">
        <v>2038</v>
      </c>
      <c r="T26" s="333">
        <v>2039</v>
      </c>
      <c r="U26" s="333">
        <v>2040</v>
      </c>
      <c r="V26" s="333">
        <v>2041</v>
      </c>
      <c r="W26" s="333">
        <v>2042</v>
      </c>
      <c r="X26" s="333">
        <v>2043</v>
      </c>
      <c r="Y26" s="333">
        <v>2044</v>
      </c>
      <c r="Z26" s="333">
        <v>2045</v>
      </c>
      <c r="AA26" s="333">
        <v>2046</v>
      </c>
      <c r="AB26" s="333">
        <v>2047</v>
      </c>
      <c r="AC26" s="333">
        <v>2048</v>
      </c>
      <c r="AD26" s="333">
        <v>2049</v>
      </c>
      <c r="AE26" s="334">
        <v>2050</v>
      </c>
    </row>
    <row r="27" spans="1:31" x14ac:dyDescent="0.35">
      <c r="B27" s="329" t="s">
        <v>309</v>
      </c>
      <c r="C27" s="295">
        <f>C22/$C$19-$C$22/$C$19</f>
        <v>0</v>
      </c>
      <c r="D27" s="295">
        <f t="shared" ref="D27:AE27" si="10">D22/$C$19-$C$22/$C$19</f>
        <v>0.58666666666666778</v>
      </c>
      <c r="E27" s="295">
        <f t="shared" si="10"/>
        <v>1.1733333333333356</v>
      </c>
      <c r="F27" s="295">
        <f t="shared" si="10"/>
        <v>1.7600000000000033</v>
      </c>
      <c r="G27" s="295">
        <f t="shared" si="10"/>
        <v>2.3466666666666711</v>
      </c>
      <c r="H27" s="295">
        <f t="shared" si="10"/>
        <v>2.9333333333333336</v>
      </c>
      <c r="I27" s="295">
        <f t="shared" si="10"/>
        <v>3.3633333333333315</v>
      </c>
      <c r="J27" s="295">
        <f t="shared" si="10"/>
        <v>3.7933333333333312</v>
      </c>
      <c r="K27" s="295">
        <f t="shared" si="10"/>
        <v>4.2233333333333309</v>
      </c>
      <c r="L27" s="295">
        <f t="shared" si="10"/>
        <v>4.6533333333333307</v>
      </c>
      <c r="M27" s="295">
        <f t="shared" si="10"/>
        <v>5.0833333333333304</v>
      </c>
      <c r="N27" s="295">
        <f t="shared" si="10"/>
        <v>5.5133333333333301</v>
      </c>
      <c r="O27" s="295">
        <f t="shared" si="10"/>
        <v>5.9433333333333298</v>
      </c>
      <c r="P27" s="295">
        <f t="shared" si="10"/>
        <v>6.3733333333333295</v>
      </c>
      <c r="Q27" s="295">
        <f t="shared" si="10"/>
        <v>6.8033333333333257</v>
      </c>
      <c r="R27" s="295">
        <f t="shared" si="10"/>
        <v>7.2333333333333325</v>
      </c>
      <c r="S27" s="295">
        <f t="shared" si="10"/>
        <v>7.4794871794871778</v>
      </c>
      <c r="T27" s="295">
        <f t="shared" si="10"/>
        <v>7.7256410256410231</v>
      </c>
      <c r="U27" s="295">
        <f t="shared" si="10"/>
        <v>7.9717948717948683</v>
      </c>
      <c r="V27" s="295">
        <f t="shared" si="10"/>
        <v>8.2179487179487136</v>
      </c>
      <c r="W27" s="295">
        <f t="shared" si="10"/>
        <v>8.4641025641025589</v>
      </c>
      <c r="X27" s="295">
        <f t="shared" si="10"/>
        <v>8.7102564102564042</v>
      </c>
      <c r="Y27" s="295">
        <f t="shared" si="10"/>
        <v>8.9564102564102495</v>
      </c>
      <c r="Z27" s="295">
        <f t="shared" si="10"/>
        <v>9.2025641025640947</v>
      </c>
      <c r="AA27" s="295">
        <f t="shared" si="10"/>
        <v>9.44871794871794</v>
      </c>
      <c r="AB27" s="295">
        <f t="shared" si="10"/>
        <v>9.6948717948717853</v>
      </c>
      <c r="AC27" s="295">
        <f t="shared" si="10"/>
        <v>9.9410256410256306</v>
      </c>
      <c r="AD27" s="295">
        <f t="shared" si="10"/>
        <v>10.187179487179476</v>
      </c>
      <c r="AE27" s="295">
        <f t="shared" si="10"/>
        <v>10.433333333333335</v>
      </c>
    </row>
    <row r="28" spans="1:31" x14ac:dyDescent="0.35">
      <c r="B28" s="329" t="s">
        <v>310</v>
      </c>
      <c r="C28" s="295">
        <f>C23/$C$19-$C$23/$C$19</f>
        <v>0</v>
      </c>
      <c r="D28" s="295">
        <f t="shared" ref="D28:AE28" si="11">D23/$C$19-$C$23/$C$19</f>
        <v>0.65999999999999659</v>
      </c>
      <c r="E28" s="295">
        <f t="shared" si="11"/>
        <v>1.3199999999999967</v>
      </c>
      <c r="F28" s="295">
        <f t="shared" si="11"/>
        <v>1.9799999999999933</v>
      </c>
      <c r="G28" s="295">
        <f t="shared" si="11"/>
        <v>2.6399999999999935</v>
      </c>
      <c r="H28" s="295">
        <f t="shared" si="11"/>
        <v>3.3000000000000007</v>
      </c>
      <c r="I28" s="295">
        <f t="shared" si="11"/>
        <v>3.7366666666666681</v>
      </c>
      <c r="J28" s="295">
        <f t="shared" si="11"/>
        <v>4.1733333333333356</v>
      </c>
      <c r="K28" s="295">
        <f t="shared" si="11"/>
        <v>4.610000000000003</v>
      </c>
      <c r="L28" s="295">
        <f t="shared" si="11"/>
        <v>5.0466666666666704</v>
      </c>
      <c r="M28" s="295">
        <f t="shared" si="11"/>
        <v>5.4833333333333378</v>
      </c>
      <c r="N28" s="295">
        <f t="shared" si="11"/>
        <v>5.9200000000000053</v>
      </c>
      <c r="O28" s="295">
        <f t="shared" si="11"/>
        <v>6.3566666666666727</v>
      </c>
      <c r="P28" s="295">
        <f t="shared" si="11"/>
        <v>6.7933333333333401</v>
      </c>
      <c r="Q28" s="295">
        <f t="shared" si="11"/>
        <v>7.2300000000000075</v>
      </c>
      <c r="R28" s="295">
        <f t="shared" si="11"/>
        <v>7.6666666666666643</v>
      </c>
      <c r="S28" s="295">
        <f t="shared" si="11"/>
        <v>7.8871794871794876</v>
      </c>
      <c r="T28" s="295">
        <f t="shared" si="11"/>
        <v>8.1076923076923073</v>
      </c>
      <c r="U28" s="295">
        <f t="shared" si="11"/>
        <v>8.3282051282051306</v>
      </c>
      <c r="V28" s="295">
        <f t="shared" si="11"/>
        <v>8.5487179487179503</v>
      </c>
      <c r="W28" s="295">
        <f t="shared" si="11"/>
        <v>8.7692307692307736</v>
      </c>
      <c r="X28" s="295">
        <f t="shared" si="11"/>
        <v>8.9897435897435933</v>
      </c>
      <c r="Y28" s="295">
        <f t="shared" si="11"/>
        <v>9.2102564102564166</v>
      </c>
      <c r="Z28" s="295">
        <f t="shared" si="11"/>
        <v>9.4307692307692363</v>
      </c>
      <c r="AA28" s="295">
        <f t="shared" si="11"/>
        <v>9.6512820512820596</v>
      </c>
      <c r="AB28" s="295">
        <f t="shared" si="11"/>
        <v>9.8717948717948794</v>
      </c>
      <c r="AC28" s="295">
        <f t="shared" si="11"/>
        <v>10.092307692307703</v>
      </c>
      <c r="AD28" s="295">
        <f t="shared" si="11"/>
        <v>10.312820512820522</v>
      </c>
      <c r="AE28" s="295">
        <f t="shared" si="11"/>
        <v>10.533333333333331</v>
      </c>
    </row>
    <row r="29" spans="1:31" x14ac:dyDescent="0.35">
      <c r="B29" s="329" t="s">
        <v>311</v>
      </c>
      <c r="C29">
        <v>0</v>
      </c>
      <c r="D29" s="295">
        <f>D22-C22</f>
        <v>17.600000000000023</v>
      </c>
      <c r="E29" s="295">
        <f t="shared" ref="E29:AE30" si="12">E22-D22</f>
        <v>17.600000000000023</v>
      </c>
      <c r="F29" s="295">
        <f t="shared" si="12"/>
        <v>17.600000000000023</v>
      </c>
      <c r="G29" s="295">
        <f t="shared" si="12"/>
        <v>17.600000000000023</v>
      </c>
      <c r="H29" s="295">
        <f t="shared" si="12"/>
        <v>17.599999999999909</v>
      </c>
      <c r="I29" s="295">
        <f t="shared" si="12"/>
        <v>12.899999999999977</v>
      </c>
      <c r="J29" s="295">
        <f t="shared" si="12"/>
        <v>12.899999999999977</v>
      </c>
      <c r="K29" s="295">
        <f t="shared" si="12"/>
        <v>12.899999999999977</v>
      </c>
      <c r="L29" s="295">
        <f t="shared" si="12"/>
        <v>12.899999999999977</v>
      </c>
      <c r="M29" s="295">
        <f t="shared" si="12"/>
        <v>12.899999999999977</v>
      </c>
      <c r="N29" s="295">
        <f t="shared" si="12"/>
        <v>12.899999999999977</v>
      </c>
      <c r="O29" s="295">
        <f t="shared" si="12"/>
        <v>12.899999999999977</v>
      </c>
      <c r="P29" s="295">
        <f t="shared" si="12"/>
        <v>12.899999999999977</v>
      </c>
      <c r="Q29" s="295">
        <f t="shared" si="12"/>
        <v>12.899999999999977</v>
      </c>
      <c r="R29" s="295">
        <f t="shared" si="12"/>
        <v>12.900000000000205</v>
      </c>
      <c r="S29" s="314">
        <f t="shared" si="12"/>
        <v>7.3846153846153584</v>
      </c>
      <c r="T29" s="314">
        <f t="shared" si="12"/>
        <v>7.3846153846153584</v>
      </c>
      <c r="U29" s="314">
        <f t="shared" si="12"/>
        <v>7.3846153846153584</v>
      </c>
      <c r="V29" s="314">
        <f t="shared" si="12"/>
        <v>7.3846153846153584</v>
      </c>
      <c r="W29" s="314">
        <f t="shared" si="12"/>
        <v>7.3846153846153584</v>
      </c>
      <c r="X29" s="314">
        <f t="shared" si="12"/>
        <v>7.3846153846153584</v>
      </c>
      <c r="Y29" s="314">
        <f t="shared" si="12"/>
        <v>7.3846153846153584</v>
      </c>
      <c r="Z29" s="314">
        <f t="shared" si="12"/>
        <v>7.3846153846153584</v>
      </c>
      <c r="AA29" s="314">
        <f t="shared" si="12"/>
        <v>7.3846153846153584</v>
      </c>
      <c r="AB29" s="314">
        <f t="shared" si="12"/>
        <v>7.3846153846153584</v>
      </c>
      <c r="AC29" s="314">
        <f t="shared" si="12"/>
        <v>7.3846153846153584</v>
      </c>
      <c r="AD29" s="314">
        <f t="shared" si="12"/>
        <v>7.3846153846153584</v>
      </c>
      <c r="AE29" s="315">
        <f t="shared" si="12"/>
        <v>7.3846153846156994</v>
      </c>
    </row>
    <row r="30" spans="1:31" x14ac:dyDescent="0.35">
      <c r="B30" s="330" t="s">
        <v>312</v>
      </c>
      <c r="C30" s="293">
        <v>0</v>
      </c>
      <c r="D30" s="313">
        <f>D23-C23</f>
        <v>19.799999999999955</v>
      </c>
      <c r="E30" s="313">
        <f t="shared" si="12"/>
        <v>19.799999999999955</v>
      </c>
      <c r="F30" s="313">
        <f t="shared" si="12"/>
        <v>19.799999999999955</v>
      </c>
      <c r="G30" s="313">
        <f t="shared" si="12"/>
        <v>19.799999999999955</v>
      </c>
      <c r="H30" s="313">
        <f t="shared" si="12"/>
        <v>19.800000000000182</v>
      </c>
      <c r="I30" s="313">
        <f t="shared" si="12"/>
        <v>13.100000000000023</v>
      </c>
      <c r="J30" s="313">
        <f t="shared" si="12"/>
        <v>13.100000000000023</v>
      </c>
      <c r="K30" s="313">
        <f t="shared" si="12"/>
        <v>13.100000000000023</v>
      </c>
      <c r="L30" s="313">
        <f t="shared" si="12"/>
        <v>13.100000000000023</v>
      </c>
      <c r="M30" s="313">
        <f t="shared" si="12"/>
        <v>13.100000000000023</v>
      </c>
      <c r="N30" s="313">
        <f t="shared" si="12"/>
        <v>13.100000000000023</v>
      </c>
      <c r="O30" s="313">
        <f t="shared" si="12"/>
        <v>13.100000000000023</v>
      </c>
      <c r="P30" s="313">
        <f t="shared" si="12"/>
        <v>13.100000000000023</v>
      </c>
      <c r="Q30" s="313">
        <f t="shared" si="12"/>
        <v>13.100000000000023</v>
      </c>
      <c r="R30" s="313">
        <f t="shared" si="12"/>
        <v>13.099999999999795</v>
      </c>
      <c r="S30" s="316">
        <f t="shared" si="12"/>
        <v>6.6153846153846416</v>
      </c>
      <c r="T30" s="316">
        <f t="shared" si="12"/>
        <v>6.6153846153846416</v>
      </c>
      <c r="U30" s="316">
        <f t="shared" si="12"/>
        <v>6.6153846153846416</v>
      </c>
      <c r="V30" s="316">
        <f t="shared" si="12"/>
        <v>6.6153846153846416</v>
      </c>
      <c r="W30" s="316">
        <f t="shared" si="12"/>
        <v>6.6153846153846416</v>
      </c>
      <c r="X30" s="316">
        <f t="shared" si="12"/>
        <v>6.6153846153846416</v>
      </c>
      <c r="Y30" s="316">
        <f t="shared" si="12"/>
        <v>6.6153846153846416</v>
      </c>
      <c r="Z30" s="316">
        <f t="shared" si="12"/>
        <v>6.6153846153846416</v>
      </c>
      <c r="AA30" s="316">
        <f t="shared" si="12"/>
        <v>6.6153846153846416</v>
      </c>
      <c r="AB30" s="316">
        <f t="shared" si="12"/>
        <v>6.6153846153846416</v>
      </c>
      <c r="AC30" s="316">
        <f t="shared" si="12"/>
        <v>6.6153846153846416</v>
      </c>
      <c r="AD30" s="316">
        <f t="shared" si="12"/>
        <v>6.6153846153846416</v>
      </c>
      <c r="AE30" s="317">
        <f t="shared" si="12"/>
        <v>6.6153846153843006</v>
      </c>
    </row>
    <row r="32" spans="1:31" s="3" customFormat="1" ht="18" customHeight="1" x14ac:dyDescent="0.3">
      <c r="A32" s="42" t="s">
        <v>330</v>
      </c>
      <c r="B32" s="11"/>
      <c r="C32" s="11"/>
      <c r="D32" s="11"/>
      <c r="E32" s="11"/>
      <c r="F32" s="11"/>
      <c r="G32" s="11"/>
      <c r="H32" s="11"/>
      <c r="I32" s="11"/>
      <c r="J32" s="11"/>
      <c r="K32" s="11"/>
      <c r="L32" s="11"/>
    </row>
    <row r="33" spans="1:31" x14ac:dyDescent="0.35">
      <c r="A33" s="356" t="s">
        <v>333</v>
      </c>
      <c r="B33" s="321"/>
      <c r="C33" s="357"/>
      <c r="D33" s="357"/>
      <c r="E33" s="357"/>
    </row>
    <row r="34" spans="1:31" x14ac:dyDescent="0.35">
      <c r="A34" s="356"/>
      <c r="B34" s="321"/>
      <c r="C34" s="357"/>
      <c r="D34" s="357"/>
      <c r="E34" s="357"/>
    </row>
    <row r="35" spans="1:31" x14ac:dyDescent="0.35">
      <c r="A35" s="356"/>
      <c r="B35" s="321"/>
      <c r="C35" s="357"/>
      <c r="D35" s="358" t="s">
        <v>335</v>
      </c>
      <c r="E35" s="358" t="s">
        <v>336</v>
      </c>
    </row>
    <row r="36" spans="1:31" x14ac:dyDescent="0.35">
      <c r="A36" s="356"/>
      <c r="B36" s="359" t="s">
        <v>334</v>
      </c>
      <c r="C36" s="367">
        <v>21000</v>
      </c>
      <c r="D36" s="358" t="s">
        <v>294</v>
      </c>
      <c r="E36" s="358" t="s">
        <v>295</v>
      </c>
    </row>
    <row r="37" spans="1:31" x14ac:dyDescent="0.35">
      <c r="A37" s="320"/>
      <c r="B37" s="290" t="s">
        <v>331</v>
      </c>
      <c r="C37" s="360">
        <v>270</v>
      </c>
      <c r="D37" s="357"/>
      <c r="E37" s="357"/>
      <c r="F37" s="362"/>
    </row>
    <row r="38" spans="1:31" x14ac:dyDescent="0.35">
      <c r="B38" s="355" t="s">
        <v>332</v>
      </c>
      <c r="C38" s="361">
        <v>140</v>
      </c>
    </row>
    <row r="40" spans="1:31" s="3" customFormat="1" ht="18" customHeight="1" x14ac:dyDescent="0.35">
      <c r="A40"/>
      <c r="B40"/>
      <c r="C40"/>
      <c r="D40"/>
      <c r="E40"/>
      <c r="F40"/>
      <c r="G40"/>
      <c r="H40"/>
      <c r="I40"/>
      <c r="J40"/>
      <c r="K40"/>
      <c r="L40"/>
      <c r="M40"/>
      <c r="N40"/>
      <c r="O40"/>
      <c r="P40"/>
      <c r="Q40"/>
      <c r="R40"/>
      <c r="S40"/>
      <c r="T40"/>
      <c r="U40"/>
      <c r="V40"/>
      <c r="W40"/>
      <c r="X40"/>
      <c r="Y40"/>
      <c r="Z40"/>
      <c r="AA40"/>
      <c r="AB40"/>
      <c r="AC40"/>
      <c r="AD40"/>
      <c r="AE40"/>
    </row>
    <row r="41" spans="1:31" x14ac:dyDescent="0.35">
      <c r="A41" s="42" t="s">
        <v>326</v>
      </c>
      <c r="B41" s="11"/>
      <c r="C41" s="11"/>
      <c r="D41" s="11"/>
      <c r="E41" s="11"/>
      <c r="F41" s="11"/>
      <c r="G41" s="11"/>
      <c r="H41" s="11"/>
      <c r="I41" s="11"/>
      <c r="J41" s="11"/>
      <c r="K41" s="11"/>
      <c r="L41" s="11"/>
      <c r="M41" s="3"/>
      <c r="N41" s="3"/>
      <c r="O41" s="3"/>
      <c r="P41" s="3"/>
      <c r="Q41" s="3"/>
      <c r="R41" s="3"/>
      <c r="S41" s="3"/>
      <c r="T41" s="3"/>
      <c r="U41" s="3"/>
      <c r="V41" s="3"/>
      <c r="W41" s="3"/>
      <c r="X41" s="3"/>
      <c r="Y41" s="3"/>
      <c r="Z41" s="3"/>
      <c r="AA41" s="3"/>
      <c r="AB41" s="3"/>
      <c r="AC41" s="3"/>
      <c r="AD41" s="3"/>
      <c r="AE41" s="3"/>
    </row>
    <row r="43" spans="1:31" x14ac:dyDescent="0.35">
      <c r="B43" s="336" t="s">
        <v>313</v>
      </c>
      <c r="C43" s="333">
        <v>2022</v>
      </c>
      <c r="D43" s="333">
        <v>2023</v>
      </c>
      <c r="E43" s="333">
        <v>2024</v>
      </c>
      <c r="F43" s="333">
        <v>2025</v>
      </c>
      <c r="G43" s="333">
        <v>2026</v>
      </c>
      <c r="H43" s="333">
        <v>2027</v>
      </c>
      <c r="I43" s="333">
        <v>2028</v>
      </c>
      <c r="J43" s="333">
        <v>2029</v>
      </c>
      <c r="K43" s="333">
        <v>2030</v>
      </c>
      <c r="L43" s="333">
        <v>2031</v>
      </c>
      <c r="M43" s="333">
        <v>2032</v>
      </c>
      <c r="N43" s="333">
        <v>2033</v>
      </c>
      <c r="O43" s="333">
        <v>2034</v>
      </c>
      <c r="P43" s="333">
        <v>2035</v>
      </c>
      <c r="Q43" s="333">
        <v>2036</v>
      </c>
      <c r="R43" s="333">
        <v>2037</v>
      </c>
      <c r="S43" s="333">
        <v>2038</v>
      </c>
      <c r="T43" s="333">
        <v>2039</v>
      </c>
      <c r="U43" s="333">
        <v>2040</v>
      </c>
      <c r="V43" s="333">
        <v>2041</v>
      </c>
      <c r="W43" s="333">
        <v>2042</v>
      </c>
      <c r="X43" s="333">
        <v>2043</v>
      </c>
      <c r="Y43" s="333">
        <v>2044</v>
      </c>
      <c r="Z43" s="333">
        <v>2045</v>
      </c>
      <c r="AA43" s="333">
        <v>2046</v>
      </c>
      <c r="AB43" s="333">
        <v>2047</v>
      </c>
      <c r="AC43" s="333">
        <v>2048</v>
      </c>
      <c r="AD43" s="333">
        <v>2049</v>
      </c>
      <c r="AE43" s="334">
        <v>2050</v>
      </c>
    </row>
    <row r="44" spans="1:31" x14ac:dyDescent="0.35">
      <c r="B44" s="329" t="s">
        <v>293</v>
      </c>
      <c r="C44" s="368">
        <f>$C$36</f>
        <v>21000</v>
      </c>
      <c r="D44" s="369">
        <f t="shared" ref="D44:AE44" si="13">$C$36</f>
        <v>21000</v>
      </c>
      <c r="E44" s="369">
        <f t="shared" si="13"/>
        <v>21000</v>
      </c>
      <c r="F44" s="369">
        <f t="shared" si="13"/>
        <v>21000</v>
      </c>
      <c r="G44" s="369">
        <f t="shared" si="13"/>
        <v>21000</v>
      </c>
      <c r="H44" s="369">
        <f t="shared" si="13"/>
        <v>21000</v>
      </c>
      <c r="I44" s="369">
        <f t="shared" si="13"/>
        <v>21000</v>
      </c>
      <c r="J44" s="369">
        <f t="shared" si="13"/>
        <v>21000</v>
      </c>
      <c r="K44" s="369">
        <f t="shared" si="13"/>
        <v>21000</v>
      </c>
      <c r="L44" s="369">
        <f t="shared" si="13"/>
        <v>21000</v>
      </c>
      <c r="M44" s="369">
        <f t="shared" si="13"/>
        <v>21000</v>
      </c>
      <c r="N44" s="369">
        <f t="shared" si="13"/>
        <v>21000</v>
      </c>
      <c r="O44" s="369">
        <f t="shared" si="13"/>
        <v>21000</v>
      </c>
      <c r="P44" s="369">
        <f t="shared" si="13"/>
        <v>21000</v>
      </c>
      <c r="Q44" s="369">
        <f t="shared" si="13"/>
        <v>21000</v>
      </c>
      <c r="R44" s="369">
        <f t="shared" si="13"/>
        <v>21000</v>
      </c>
      <c r="S44" s="369">
        <f t="shared" si="13"/>
        <v>21000</v>
      </c>
      <c r="T44" s="369">
        <f t="shared" si="13"/>
        <v>21000</v>
      </c>
      <c r="U44" s="369">
        <f t="shared" si="13"/>
        <v>21000</v>
      </c>
      <c r="V44" s="369">
        <f t="shared" si="13"/>
        <v>21000</v>
      </c>
      <c r="W44" s="369">
        <f t="shared" si="13"/>
        <v>21000</v>
      </c>
      <c r="X44" s="369">
        <f t="shared" si="13"/>
        <v>21000</v>
      </c>
      <c r="Y44" s="369">
        <f t="shared" si="13"/>
        <v>21000</v>
      </c>
      <c r="Z44" s="369">
        <f t="shared" si="13"/>
        <v>21000</v>
      </c>
      <c r="AA44" s="369">
        <f t="shared" si="13"/>
        <v>21000</v>
      </c>
      <c r="AB44" s="369">
        <f t="shared" si="13"/>
        <v>21000</v>
      </c>
      <c r="AC44" s="369">
        <f t="shared" si="13"/>
        <v>21000</v>
      </c>
      <c r="AD44" s="369">
        <f t="shared" si="13"/>
        <v>21000</v>
      </c>
      <c r="AE44" s="370">
        <f t="shared" si="13"/>
        <v>21000</v>
      </c>
    </row>
    <row r="45" spans="1:31" x14ac:dyDescent="0.35">
      <c r="B45" s="329" t="s">
        <v>314</v>
      </c>
      <c r="C45" s="292">
        <f t="shared" ref="C45:AE45" si="14">(C29+C27)*$C$37</f>
        <v>0</v>
      </c>
      <c r="D45" s="292">
        <f t="shared" si="14"/>
        <v>4910.400000000006</v>
      </c>
      <c r="E45" s="292">
        <f t="shared" si="14"/>
        <v>5068.8000000000065</v>
      </c>
      <c r="F45" s="292">
        <f t="shared" si="14"/>
        <v>5227.2000000000071</v>
      </c>
      <c r="G45" s="292">
        <f t="shared" si="14"/>
        <v>5385.6000000000076</v>
      </c>
      <c r="H45" s="292">
        <f t="shared" si="14"/>
        <v>5543.9999999999754</v>
      </c>
      <c r="I45" s="292">
        <f t="shared" si="14"/>
        <v>4391.0999999999931</v>
      </c>
      <c r="J45" s="292">
        <f t="shared" si="14"/>
        <v>4507.1999999999925</v>
      </c>
      <c r="K45" s="292">
        <f t="shared" si="14"/>
        <v>4623.2999999999929</v>
      </c>
      <c r="L45" s="292">
        <f t="shared" si="14"/>
        <v>4739.3999999999924</v>
      </c>
      <c r="M45" s="292">
        <f t="shared" si="14"/>
        <v>4855.4999999999927</v>
      </c>
      <c r="N45" s="292">
        <f t="shared" si="14"/>
        <v>4971.5999999999922</v>
      </c>
      <c r="O45" s="292">
        <f t="shared" si="14"/>
        <v>5087.6999999999925</v>
      </c>
      <c r="P45" s="292">
        <f t="shared" si="14"/>
        <v>5203.799999999992</v>
      </c>
      <c r="Q45" s="292">
        <f t="shared" si="14"/>
        <v>5319.8999999999924</v>
      </c>
      <c r="R45" s="292">
        <f t="shared" si="14"/>
        <v>5436.0000000000555</v>
      </c>
      <c r="S45" s="292">
        <f t="shared" si="14"/>
        <v>4013.3076923076846</v>
      </c>
      <c r="T45" s="292">
        <f t="shared" si="14"/>
        <v>4079.7692307692232</v>
      </c>
      <c r="U45" s="292">
        <f t="shared" si="14"/>
        <v>4146.2307692307613</v>
      </c>
      <c r="V45" s="292">
        <f t="shared" si="14"/>
        <v>4212.6923076922994</v>
      </c>
      <c r="W45" s="292">
        <f t="shared" si="14"/>
        <v>4279.1538461538375</v>
      </c>
      <c r="X45" s="292">
        <f t="shared" si="14"/>
        <v>4345.6153846153766</v>
      </c>
      <c r="Y45" s="292">
        <f t="shared" si="14"/>
        <v>4412.0769230769147</v>
      </c>
      <c r="Z45" s="292">
        <f t="shared" si="14"/>
        <v>4478.5384615384528</v>
      </c>
      <c r="AA45" s="292">
        <f t="shared" si="14"/>
        <v>4544.9999999999909</v>
      </c>
      <c r="AB45" s="292">
        <f t="shared" si="14"/>
        <v>4611.461538461529</v>
      </c>
      <c r="AC45" s="292">
        <f t="shared" si="14"/>
        <v>4677.9230769230671</v>
      </c>
      <c r="AD45" s="292">
        <f t="shared" si="14"/>
        <v>4744.3846153846061</v>
      </c>
      <c r="AE45" s="363">
        <f t="shared" si="14"/>
        <v>4810.8461538462398</v>
      </c>
    </row>
    <row r="46" spans="1:31" x14ac:dyDescent="0.35">
      <c r="B46" s="329" t="s">
        <v>315</v>
      </c>
      <c r="C46" s="292">
        <f>(C30+C28)*$C$38</f>
        <v>0</v>
      </c>
      <c r="D46" s="292">
        <f>(D30+D28)*$C$38</f>
        <v>2864.3999999999933</v>
      </c>
      <c r="E46" s="292">
        <f t="shared" ref="E46:AE46" si="15">(E30+E28)*$C$38</f>
        <v>2956.7999999999934</v>
      </c>
      <c r="F46" s="292">
        <f t="shared" si="15"/>
        <v>3049.1999999999925</v>
      </c>
      <c r="G46" s="292">
        <f t="shared" si="15"/>
        <v>3141.5999999999926</v>
      </c>
      <c r="H46" s="292">
        <f t="shared" si="15"/>
        <v>3234.0000000000255</v>
      </c>
      <c r="I46" s="292">
        <f t="shared" si="15"/>
        <v>2357.1333333333369</v>
      </c>
      <c r="J46" s="292">
        <f t="shared" si="15"/>
        <v>2418.2666666666701</v>
      </c>
      <c r="K46" s="292">
        <f t="shared" si="15"/>
        <v>2479.4000000000037</v>
      </c>
      <c r="L46" s="292">
        <f t="shared" si="15"/>
        <v>2540.5333333333369</v>
      </c>
      <c r="M46" s="292">
        <f t="shared" si="15"/>
        <v>2601.6666666666706</v>
      </c>
      <c r="N46" s="292">
        <f t="shared" si="15"/>
        <v>2662.8000000000038</v>
      </c>
      <c r="O46" s="292">
        <f t="shared" si="15"/>
        <v>2723.9333333333375</v>
      </c>
      <c r="P46" s="292">
        <f t="shared" si="15"/>
        <v>2785.0666666666707</v>
      </c>
      <c r="Q46" s="292">
        <f t="shared" si="15"/>
        <v>2846.2000000000044</v>
      </c>
      <c r="R46" s="292">
        <f t="shared" si="15"/>
        <v>2907.3333333333044</v>
      </c>
      <c r="S46" s="292">
        <f t="shared" si="15"/>
        <v>2030.358974358978</v>
      </c>
      <c r="T46" s="292">
        <f t="shared" si="15"/>
        <v>2061.2307692307727</v>
      </c>
      <c r="U46" s="292">
        <f t="shared" si="15"/>
        <v>2092.1025641025681</v>
      </c>
      <c r="V46" s="292">
        <f t="shared" si="15"/>
        <v>2122.974358974363</v>
      </c>
      <c r="W46" s="292">
        <f t="shared" si="15"/>
        <v>2153.8461538461579</v>
      </c>
      <c r="X46" s="292">
        <f t="shared" si="15"/>
        <v>2184.7179487179528</v>
      </c>
      <c r="Y46" s="292">
        <f t="shared" si="15"/>
        <v>2215.5897435897482</v>
      </c>
      <c r="Z46" s="292">
        <f t="shared" si="15"/>
        <v>2246.4615384615431</v>
      </c>
      <c r="AA46" s="292">
        <f t="shared" si="15"/>
        <v>2277.333333333338</v>
      </c>
      <c r="AB46" s="292">
        <f t="shared" si="15"/>
        <v>2308.205128205133</v>
      </c>
      <c r="AC46" s="292">
        <f t="shared" si="15"/>
        <v>2339.0769230769283</v>
      </c>
      <c r="AD46" s="292">
        <f t="shared" si="15"/>
        <v>2369.9487179487228</v>
      </c>
      <c r="AE46" s="363">
        <f t="shared" si="15"/>
        <v>2400.8205128204686</v>
      </c>
    </row>
    <row r="47" spans="1:31" x14ac:dyDescent="0.35">
      <c r="B47" s="331" t="s">
        <v>305</v>
      </c>
      <c r="C47" s="364">
        <f>SUM(C45:C46)</f>
        <v>0</v>
      </c>
      <c r="D47" s="365">
        <f t="shared" ref="D47:AE47" si="16">SUM(D45:D46)</f>
        <v>7774.7999999999993</v>
      </c>
      <c r="E47" s="365">
        <f t="shared" si="16"/>
        <v>8025.6</v>
      </c>
      <c r="F47" s="365">
        <f t="shared" si="16"/>
        <v>8276.4</v>
      </c>
      <c r="G47" s="365">
        <f t="shared" si="16"/>
        <v>8527.2000000000007</v>
      </c>
      <c r="H47" s="365">
        <f t="shared" si="16"/>
        <v>8778</v>
      </c>
      <c r="I47" s="365">
        <f t="shared" si="16"/>
        <v>6748.2333333333299</v>
      </c>
      <c r="J47" s="365">
        <f t="shared" si="16"/>
        <v>6925.4666666666626</v>
      </c>
      <c r="K47" s="365">
        <f t="shared" si="16"/>
        <v>7102.6999999999971</v>
      </c>
      <c r="L47" s="365">
        <f t="shared" si="16"/>
        <v>7279.9333333333288</v>
      </c>
      <c r="M47" s="365">
        <f t="shared" si="16"/>
        <v>7457.1666666666633</v>
      </c>
      <c r="N47" s="365">
        <f t="shared" si="16"/>
        <v>7634.399999999996</v>
      </c>
      <c r="O47" s="365">
        <f t="shared" si="16"/>
        <v>7811.6333333333296</v>
      </c>
      <c r="P47" s="365">
        <f t="shared" si="16"/>
        <v>7988.8666666666631</v>
      </c>
      <c r="Q47" s="365">
        <f t="shared" si="16"/>
        <v>8166.0999999999967</v>
      </c>
      <c r="R47" s="365">
        <f t="shared" si="16"/>
        <v>8343.3333333333594</v>
      </c>
      <c r="S47" s="365">
        <f t="shared" si="16"/>
        <v>6043.6666666666624</v>
      </c>
      <c r="T47" s="365">
        <f t="shared" si="16"/>
        <v>6140.9999999999964</v>
      </c>
      <c r="U47" s="365">
        <f t="shared" si="16"/>
        <v>6238.3333333333294</v>
      </c>
      <c r="V47" s="365">
        <f t="shared" si="16"/>
        <v>6335.6666666666624</v>
      </c>
      <c r="W47" s="365">
        <f t="shared" si="16"/>
        <v>6432.9999999999955</v>
      </c>
      <c r="X47" s="365">
        <f t="shared" si="16"/>
        <v>6530.3333333333294</v>
      </c>
      <c r="Y47" s="365">
        <f t="shared" si="16"/>
        <v>6627.6666666666624</v>
      </c>
      <c r="Z47" s="365">
        <f t="shared" si="16"/>
        <v>6724.9999999999964</v>
      </c>
      <c r="AA47" s="365">
        <f t="shared" si="16"/>
        <v>6822.3333333333285</v>
      </c>
      <c r="AB47" s="365">
        <f t="shared" si="16"/>
        <v>6919.6666666666624</v>
      </c>
      <c r="AC47" s="365">
        <f t="shared" si="16"/>
        <v>7016.9999999999955</v>
      </c>
      <c r="AD47" s="365">
        <f t="shared" si="16"/>
        <v>7114.3333333333285</v>
      </c>
      <c r="AE47" s="318">
        <f t="shared" si="16"/>
        <v>7211.6666666667079</v>
      </c>
    </row>
    <row r="48" spans="1:31" x14ac:dyDescent="0.35">
      <c r="B48" s="332" t="s">
        <v>316</v>
      </c>
      <c r="C48" s="366">
        <f>SUM(C44:C46)</f>
        <v>21000</v>
      </c>
      <c r="D48" s="324">
        <f t="shared" ref="D48:AE48" si="17">SUM(D44:D46)</f>
        <v>28774.799999999999</v>
      </c>
      <c r="E48" s="324">
        <f t="shared" si="17"/>
        <v>29025.599999999999</v>
      </c>
      <c r="F48" s="324">
        <f t="shared" si="17"/>
        <v>29276.400000000001</v>
      </c>
      <c r="G48" s="324">
        <f t="shared" si="17"/>
        <v>29527.199999999997</v>
      </c>
      <c r="H48" s="324">
        <f t="shared" si="17"/>
        <v>29778</v>
      </c>
      <c r="I48" s="324">
        <f t="shared" si="17"/>
        <v>27748.23333333333</v>
      </c>
      <c r="J48" s="324">
        <f t="shared" si="17"/>
        <v>27925.466666666664</v>
      </c>
      <c r="K48" s="324">
        <f t="shared" si="17"/>
        <v>28102.699999999997</v>
      </c>
      <c r="L48" s="324">
        <f t="shared" si="17"/>
        <v>28279.933333333331</v>
      </c>
      <c r="M48" s="324">
        <f t="shared" si="17"/>
        <v>28457.166666666664</v>
      </c>
      <c r="N48" s="324">
        <f t="shared" si="17"/>
        <v>28634.399999999994</v>
      </c>
      <c r="O48" s="324">
        <f t="shared" si="17"/>
        <v>28811.633333333331</v>
      </c>
      <c r="P48" s="324">
        <f t="shared" si="17"/>
        <v>28988.866666666661</v>
      </c>
      <c r="Q48" s="324">
        <f t="shared" si="17"/>
        <v>29166.1</v>
      </c>
      <c r="R48" s="324">
        <f t="shared" si="17"/>
        <v>29343.333333333358</v>
      </c>
      <c r="S48" s="324">
        <f t="shared" si="17"/>
        <v>27043.666666666661</v>
      </c>
      <c r="T48" s="324">
        <f t="shared" si="17"/>
        <v>27140.999999999996</v>
      </c>
      <c r="U48" s="324">
        <f t="shared" si="17"/>
        <v>27238.333333333328</v>
      </c>
      <c r="V48" s="324">
        <f t="shared" si="17"/>
        <v>27335.666666666661</v>
      </c>
      <c r="W48" s="324">
        <f t="shared" si="17"/>
        <v>27432.999999999993</v>
      </c>
      <c r="X48" s="324">
        <f t="shared" si="17"/>
        <v>27530.333333333328</v>
      </c>
      <c r="Y48" s="324">
        <f t="shared" si="17"/>
        <v>27627.666666666664</v>
      </c>
      <c r="Z48" s="324">
        <f t="shared" si="17"/>
        <v>27724.999999999996</v>
      </c>
      <c r="AA48" s="324">
        <f t="shared" si="17"/>
        <v>27822.333333333332</v>
      </c>
      <c r="AB48" s="324">
        <f t="shared" si="17"/>
        <v>27919.666666666661</v>
      </c>
      <c r="AC48" s="324">
        <f t="shared" si="17"/>
        <v>28016.999999999996</v>
      </c>
      <c r="AD48" s="324">
        <f t="shared" si="17"/>
        <v>28114.333333333328</v>
      </c>
      <c r="AE48" s="325">
        <f t="shared" si="17"/>
        <v>28211.666666666708</v>
      </c>
    </row>
    <row r="49" spans="1:31" ht="14.5" customHeight="1" x14ac:dyDescent="0.35">
      <c r="H49" s="319"/>
    </row>
    <row r="50" spans="1:31" ht="50.5" customHeight="1" x14ac:dyDescent="0.35">
      <c r="B50" s="407" t="s">
        <v>317</v>
      </c>
      <c r="C50" s="407"/>
      <c r="D50" s="407"/>
      <c r="E50" s="407"/>
      <c r="F50" s="407"/>
      <c r="G50" s="407"/>
      <c r="H50" s="407"/>
      <c r="I50" s="407"/>
      <c r="J50" s="407"/>
      <c r="K50" s="407"/>
      <c r="L50" s="407"/>
    </row>
    <row r="51" spans="1:31" s="3" customFormat="1" ht="18" customHeight="1" x14ac:dyDescent="0.35">
      <c r="A51"/>
      <c r="B51" s="342"/>
      <c r="C51" s="342"/>
      <c r="D51" s="342"/>
      <c r="E51" s="342"/>
      <c r="F51" s="342"/>
      <c r="G51" s="342"/>
      <c r="H51" s="342"/>
      <c r="I51" s="342"/>
      <c r="J51"/>
      <c r="K51"/>
      <c r="L51"/>
      <c r="M51"/>
      <c r="N51"/>
      <c r="O51"/>
      <c r="P51"/>
      <c r="Q51"/>
      <c r="R51"/>
      <c r="S51"/>
      <c r="T51"/>
      <c r="U51"/>
      <c r="V51"/>
      <c r="W51"/>
      <c r="X51"/>
      <c r="Y51"/>
      <c r="Z51"/>
      <c r="AA51"/>
      <c r="AB51"/>
      <c r="AC51"/>
      <c r="AD51"/>
      <c r="AE51"/>
    </row>
    <row r="52" spans="1:31" x14ac:dyDescent="0.35">
      <c r="A52" s="42" t="s">
        <v>222</v>
      </c>
      <c r="B52" s="11"/>
      <c r="C52" s="11"/>
      <c r="D52" s="11"/>
      <c r="E52" s="11"/>
      <c r="F52" s="11"/>
      <c r="G52" s="11"/>
      <c r="H52" s="11"/>
      <c r="I52" s="11"/>
      <c r="J52" s="11"/>
      <c r="K52" s="11"/>
      <c r="L52" s="11"/>
      <c r="M52" s="3"/>
      <c r="N52" s="3"/>
      <c r="O52" s="3"/>
      <c r="P52" s="3"/>
      <c r="Q52" s="3"/>
      <c r="R52" s="3"/>
      <c r="S52" s="3"/>
      <c r="T52" s="3"/>
      <c r="U52" s="3"/>
      <c r="V52" s="3"/>
      <c r="W52" s="3"/>
      <c r="X52" s="3"/>
      <c r="Y52" s="3"/>
      <c r="Z52" s="3"/>
      <c r="AA52" s="3"/>
      <c r="AB52" s="3"/>
      <c r="AC52" s="3"/>
      <c r="AD52" s="3"/>
      <c r="AE52" s="3"/>
    </row>
    <row r="54" spans="1:31" x14ac:dyDescent="0.35">
      <c r="B54" s="341"/>
      <c r="C54" s="338">
        <v>2022</v>
      </c>
      <c r="D54" s="338">
        <v>2027</v>
      </c>
      <c r="E54" s="338">
        <v>2032</v>
      </c>
      <c r="F54" s="338">
        <v>2037</v>
      </c>
      <c r="G54" s="338">
        <v>2042</v>
      </c>
      <c r="H54" s="326">
        <v>2050</v>
      </c>
    </row>
    <row r="55" spans="1:31" ht="29" x14ac:dyDescent="0.35">
      <c r="B55" s="339" t="s">
        <v>318</v>
      </c>
      <c r="C55" s="374">
        <f>HLOOKUP(C54,$B$43:$AE$48,6)</f>
        <v>21000</v>
      </c>
      <c r="D55" s="375">
        <f t="shared" ref="D55:H55" si="18">HLOOKUP(D54,$B$43:$AE$48,6)</f>
        <v>29778</v>
      </c>
      <c r="E55" s="375">
        <f t="shared" si="18"/>
        <v>28457.166666666664</v>
      </c>
      <c r="F55" s="375">
        <f t="shared" si="18"/>
        <v>29343.333333333358</v>
      </c>
      <c r="G55" s="375">
        <f t="shared" si="18"/>
        <v>27432.999999999993</v>
      </c>
      <c r="H55" s="376">
        <f t="shared" si="18"/>
        <v>28211.666666666708</v>
      </c>
    </row>
    <row r="56" spans="1:31" x14ac:dyDescent="0.35">
      <c r="B56" s="340" t="s">
        <v>319</v>
      </c>
      <c r="C56" s="377"/>
      <c r="D56" s="343">
        <f>(D55-$C55)/$C55</f>
        <v>0.41799999999999998</v>
      </c>
      <c r="E56" s="343">
        <f t="shared" ref="E56" si="19">(E55-$C55)/$C55</f>
        <v>0.35510317460317448</v>
      </c>
      <c r="F56" s="343">
        <f>(F55-$C55)/$C55</f>
        <v>0.39730158730158843</v>
      </c>
      <c r="G56" s="343">
        <f>(G55-$C55)/$C55</f>
        <v>0.30633333333333301</v>
      </c>
      <c r="H56" s="344">
        <f>(H55-$C55)/$C55</f>
        <v>0.34341269841270039</v>
      </c>
    </row>
    <row r="59" spans="1:31" x14ac:dyDescent="0.35">
      <c r="B59" t="s">
        <v>321</v>
      </c>
      <c r="G59" t="s">
        <v>322</v>
      </c>
    </row>
    <row r="77" spans="2:3" x14ac:dyDescent="0.35">
      <c r="B77" s="371"/>
      <c r="C77" s="371"/>
    </row>
    <row r="78" spans="2:3" x14ac:dyDescent="0.35">
      <c r="B78" s="371"/>
      <c r="C78" s="371"/>
    </row>
    <row r="79" spans="2:3" x14ac:dyDescent="0.35">
      <c r="B79" s="372"/>
      <c r="C79" s="371"/>
    </row>
    <row r="80" spans="2:3" x14ac:dyDescent="0.35">
      <c r="B80" s="373"/>
      <c r="C80" s="371"/>
    </row>
    <row r="81" spans="2:3" x14ac:dyDescent="0.35">
      <c r="B81" s="373"/>
      <c r="C81" s="371"/>
    </row>
    <row r="82" spans="2:3" x14ac:dyDescent="0.35">
      <c r="B82" s="372"/>
      <c r="C82" s="371"/>
    </row>
    <row r="83" spans="2:3" x14ac:dyDescent="0.35">
      <c r="B83" s="372"/>
      <c r="C83" s="371"/>
    </row>
  </sheetData>
  <mergeCells count="1">
    <mergeCell ref="B50:L50"/>
  </mergeCell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9F8D0E12706CA4F88F078CAAF1F0285" ma:contentTypeVersion="15" ma:contentTypeDescription="Crée un document." ma:contentTypeScope="" ma:versionID="d61ebabf05edb172a4796a2a26dcc231">
  <xsd:schema xmlns:xsd="http://www.w3.org/2001/XMLSchema" xmlns:xs="http://www.w3.org/2001/XMLSchema" xmlns:p="http://schemas.microsoft.com/office/2006/metadata/properties" xmlns:ns2="e249ac2a-b211-4fea-a23e-058f661af758" xmlns:ns3="8f1b8a44-2e81-425d-8025-2e5e0436f25e" targetNamespace="http://schemas.microsoft.com/office/2006/metadata/properties" ma:root="true" ma:fieldsID="0ecdbb82de15a51058ed3f6676f3dbd1" ns2:_="" ns3:_="">
    <xsd:import namespace="e249ac2a-b211-4fea-a23e-058f661af758"/>
    <xsd:import namespace="8f1b8a44-2e81-425d-8025-2e5e0436f25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ModernAudienceTargetUserField" minOccurs="0"/>
                <xsd:element ref="ns2:_ModernAudienceAadObjectI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49ac2a-b211-4fea-a23e-058f661af7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9c47289d-44d4-4518-8531-d864f6d3e1e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_ModernAudienceTargetUserField" ma:index="21" nillable="true" ma:displayName="Audienc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22" nillable="true" ma:displayName="AudienceIds" ma:list="{9b001c38-b593-437a-acce-521679d6ec8e}" ma:internalName="_ModernAudienceAadObjectIds" ma:readOnly="true" ma:showField="_AadObjectIdForUser" ma:web="8f1b8a44-2e81-425d-8025-2e5e0436f25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1b8a44-2e81-425d-8025-2e5e0436f25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f8f2c3c-97c3-401f-9e00-dc202c827de0}" ma:internalName="TaxCatchAll" ma:showField="CatchAllData" ma:web="8f1b8a44-2e81-425d-8025-2e5e0436f25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249ac2a-b211-4fea-a23e-058f661af758">
      <Terms xmlns="http://schemas.microsoft.com/office/infopath/2007/PartnerControls"/>
    </lcf76f155ced4ddcb4097134ff3c332f>
    <TaxCatchAll xmlns="8f1b8a44-2e81-425d-8025-2e5e0436f25e" xsi:nil="true"/>
    <_ModernAudienceTargetUserField xmlns="e249ac2a-b211-4fea-a23e-058f661af758">
      <UserInfo>
        <DisplayName/>
        <AccountId xsi:nil="true"/>
        <AccountType/>
      </UserInfo>
    </_ModernAudienceTargetUserField>
  </documentManagement>
</p:properties>
</file>

<file path=customXml/itemProps1.xml><?xml version="1.0" encoding="utf-8"?>
<ds:datastoreItem xmlns:ds="http://schemas.openxmlformats.org/officeDocument/2006/customXml" ds:itemID="{CC1E76D2-DB28-479D-A6E5-B80679E6C0C2}"/>
</file>

<file path=customXml/itemProps2.xml><?xml version="1.0" encoding="utf-8"?>
<ds:datastoreItem xmlns:ds="http://schemas.openxmlformats.org/officeDocument/2006/customXml" ds:itemID="{5C1266EB-B590-41A2-B75E-BB4179D9ED53}">
  <ds:schemaRefs>
    <ds:schemaRef ds:uri="http://schemas.microsoft.com/sharepoint/v3/contenttype/forms"/>
  </ds:schemaRefs>
</ds:datastoreItem>
</file>

<file path=customXml/itemProps3.xml><?xml version="1.0" encoding="utf-8"?>
<ds:datastoreItem xmlns:ds="http://schemas.openxmlformats.org/officeDocument/2006/customXml" ds:itemID="{D1C63713-C9BB-4F16-80ED-9F67E2F953A8}">
  <ds:schemaRefs>
    <ds:schemaRef ds:uri="http://schemas.microsoft.com/office/2006/metadata/properties"/>
    <ds:schemaRef ds:uri="http://schemas.microsoft.com/office/infopath/2007/PartnerControls"/>
    <ds:schemaRef ds:uri="e249ac2a-b211-4fea-a23e-058f661af758"/>
    <ds:schemaRef ds:uri="8f1b8a44-2e81-425d-8025-2e5e0436f25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7</vt:i4>
      </vt:variant>
      <vt:variant>
        <vt:lpstr>Plages nommées</vt:lpstr>
      </vt:variant>
      <vt:variant>
        <vt:i4>4</vt:i4>
      </vt:variant>
    </vt:vector>
  </HeadingPairs>
  <TitlesOfParts>
    <vt:vector size="11" baseType="lpstr">
      <vt:lpstr>Légende - Sources - Unités</vt:lpstr>
      <vt:lpstr>Synthèse - Visualisation</vt:lpstr>
      <vt:lpstr>Modèle Emploi Ferroviaire</vt:lpstr>
      <vt:lpstr>Métiers SNCF</vt:lpstr>
      <vt:lpstr>Modèle Emploi Aérien</vt:lpstr>
      <vt:lpstr>Trafic par aéroport</vt:lpstr>
      <vt:lpstr>Industrie ferroviaire</vt:lpstr>
      <vt:lpstr>part_dir_indus_fret</vt:lpstr>
      <vt:lpstr>part_dir_indus_gl</vt:lpstr>
      <vt:lpstr>part_dir_indus_ter</vt:lpstr>
      <vt:lpstr>part_dir_indus_trans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TSP_VIM</dc:creator>
  <cp:lastModifiedBy>Vinciane Martin</cp:lastModifiedBy>
  <dcterms:created xsi:type="dcterms:W3CDTF">2021-04-22T08:20:48Z</dcterms:created>
  <dcterms:modified xsi:type="dcterms:W3CDTF">2025-08-19T17:15:17Z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0x01010059F8D0E12706CA4F88F078CAAF1F0285</vt:lpwstr>
  </property>
  <property fmtid="{D5CDD505-2E9C-101B-9397-08002B2CF9AE}" pid="3" name="MediaServiceImageTags">
    <vt:lpwstr/>
  </property>
</Properties>
</file>