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theshiftpr0ject.sharepoint.com/sites/TSP/Projets/Programme EMFOR/11- Emploi &amp; Formation transverse/3 - Modèles PTEF Emploi/Pour publication/"/>
    </mc:Choice>
  </mc:AlternateContent>
  <xr:revisionPtr revIDLastSave="10" documentId="8_{385C86AC-085E-4600-BAC6-A7AA37C11715}" xr6:coauthVersionLast="47" xr6:coauthVersionMax="47" xr10:uidLastSave="{F517D896-0E8F-4594-B1E8-4409D86E1EEA}"/>
  <bookViews>
    <workbookView xWindow="-110" yWindow="-110" windowWidth="19420" windowHeight="10300" tabRatio="588" xr2:uid="{00000000-000D-0000-FFFF-FFFF00000000}"/>
  </bookViews>
  <sheets>
    <sheet name="Légende - Sources - Unités" sheetId="5" r:id="rId1"/>
    <sheet name="Modèle Emploi Fret" sheetId="3" r:id="rId2"/>
    <sheet name="Visualisation" sheetId="7" r:id="rId3"/>
  </sheets>
  <definedNames>
    <definedName name="tableau_emploi_final">'Modèle Emploi Fret'!$B$61:$G$74</definedName>
    <definedName name="Tk_après">'Modèle Emploi Fret'!$F$11</definedName>
    <definedName name="Tkm_avant">'Modèle Emploi Fret'!$C$11</definedName>
    <definedName name="Tkm_évol">'Modèle Emploi Fret'!$G$11</definedName>
    <definedName name="Tkm_ferro_après">'Modèle Emploi Fret'!$F$9</definedName>
    <definedName name="Tkm_ferro_avant">'Modèle Emploi Fret'!$C$9</definedName>
    <definedName name="Tkm_ferro_évol">'Modèle Emploi Fret'!$G$9</definedName>
    <definedName name="Tkm_fluvial_après">'Modèle Emploi Fret'!$F$10</definedName>
    <definedName name="Tkm_fluvial_avant">'Modèle Emploi Fret'!$C$10</definedName>
    <definedName name="Tkm_fluvial_évol">'Modèle Emploi Fret'!$G$10</definedName>
    <definedName name="Tkm_routier_après">'Modèle Emploi Fret'!$F$5</definedName>
    <definedName name="Tkm_routier_avant">'Modèle Emploi Fret'!$C$5</definedName>
    <definedName name="Tkm_routier_évol">'Modèle Emploi Fret'!$G$5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3" l="1"/>
  <c r="B59" i="7" l="1"/>
  <c r="B60" i="7"/>
  <c r="B61" i="7"/>
  <c r="B62" i="7"/>
  <c r="B63" i="7"/>
  <c r="B64" i="7"/>
  <c r="B65" i="7"/>
  <c r="B58" i="7"/>
  <c r="A61" i="3"/>
  <c r="B61" i="3"/>
  <c r="C61" i="3"/>
  <c r="B62" i="3"/>
  <c r="B63" i="3"/>
  <c r="C63" i="3"/>
  <c r="A64" i="3"/>
  <c r="B64" i="3"/>
  <c r="C64" i="3"/>
  <c r="A65" i="3"/>
  <c r="B65" i="3"/>
  <c r="C65" i="3"/>
  <c r="B66" i="3"/>
  <c r="C66" i="3"/>
  <c r="A67" i="3"/>
  <c r="B67" i="3"/>
  <c r="C67" i="3"/>
  <c r="A68" i="3"/>
  <c r="B68" i="3"/>
  <c r="C68" i="3"/>
  <c r="E68" i="3" s="1"/>
  <c r="A69" i="3"/>
  <c r="B69" i="3"/>
  <c r="C69" i="3"/>
  <c r="D69" i="3" s="1"/>
  <c r="A70" i="3"/>
  <c r="B70" i="3"/>
  <c r="C70" i="3"/>
  <c r="D70" i="3" s="1"/>
  <c r="A71" i="3"/>
  <c r="B71" i="3"/>
  <c r="A72" i="3"/>
  <c r="B72" i="3"/>
  <c r="C72" i="3"/>
  <c r="A73" i="3"/>
  <c r="B73" i="3"/>
  <c r="C73" i="3"/>
  <c r="B74" i="3"/>
  <c r="D53" i="3"/>
  <c r="D54" i="3" s="1"/>
  <c r="D57" i="3" s="1"/>
  <c r="E66" i="3" s="1"/>
  <c r="C53" i="3"/>
  <c r="C54" i="3" s="1"/>
  <c r="C57" i="3" s="1"/>
  <c r="D66" i="3" s="1"/>
  <c r="C43" i="3"/>
  <c r="C41" i="3"/>
  <c r="E69" i="3" l="1"/>
  <c r="G69" i="3" s="1"/>
  <c r="E70" i="3"/>
  <c r="G70" i="3" s="1"/>
  <c r="F68" i="3"/>
  <c r="G68" i="3"/>
  <c r="C11" i="7"/>
  <c r="C63" i="7" s="1"/>
  <c r="D11" i="7"/>
  <c r="D63" i="7" s="1"/>
  <c r="F69" i="3"/>
  <c r="C10" i="7"/>
  <c r="C62" i="7" s="1"/>
  <c r="D10" i="7"/>
  <c r="D62" i="7" s="1"/>
  <c r="C9" i="7"/>
  <c r="C61" i="7" s="1"/>
  <c r="C29" i="7"/>
  <c r="C8" i="7"/>
  <c r="C28" i="7"/>
  <c r="C7" i="7"/>
  <c r="C59" i="7" s="1"/>
  <c r="C27" i="7"/>
  <c r="D68" i="3"/>
  <c r="H28" i="7"/>
  <c r="C12" i="7"/>
  <c r="C64" i="7" s="1"/>
  <c r="D12" i="7"/>
  <c r="D64" i="7" s="1"/>
  <c r="C36" i="3"/>
  <c r="C74" i="3" s="1"/>
  <c r="C71" i="3"/>
  <c r="C30" i="7" s="1"/>
  <c r="C24" i="3"/>
  <c r="F70" i="3" l="1"/>
  <c r="D28" i="7"/>
  <c r="E28" i="7" s="1"/>
  <c r="F28" i="7" s="1"/>
  <c r="G28" i="7" s="1"/>
  <c r="C42" i="3"/>
  <c r="C62" i="3"/>
  <c r="C13" i="7"/>
  <c r="C65" i="7" s="1"/>
  <c r="E9" i="3"/>
  <c r="E14" i="3"/>
  <c r="E10" i="3"/>
  <c r="D11" i="3"/>
  <c r="C11" i="3"/>
  <c r="G15" i="3"/>
  <c r="D17" i="3"/>
  <c r="F17" i="3"/>
  <c r="F8" i="3"/>
  <c r="D8" i="3"/>
  <c r="C8" i="3"/>
  <c r="F11" i="3"/>
  <c r="E15" i="3"/>
  <c r="G14" i="3"/>
  <c r="E65" i="3" s="1"/>
  <c r="E5" i="3"/>
  <c r="E6" i="3"/>
  <c r="G6" i="3"/>
  <c r="G5" i="3"/>
  <c r="G10" i="3"/>
  <c r="G9" i="3"/>
  <c r="E63" i="3" s="1"/>
  <c r="D65" i="3" l="1"/>
  <c r="H27" i="7" s="1"/>
  <c r="D27" i="7" s="1"/>
  <c r="E27" i="7" s="1"/>
  <c r="F27" i="7" s="1"/>
  <c r="G27" i="7" s="1"/>
  <c r="F66" i="3"/>
  <c r="E67" i="3"/>
  <c r="F67" i="3" s="1"/>
  <c r="D67" i="3"/>
  <c r="H29" i="7" s="1"/>
  <c r="D29" i="7" s="1"/>
  <c r="E29" i="7" s="1"/>
  <c r="F29" i="7" s="1"/>
  <c r="G29" i="7" s="1"/>
  <c r="F65" i="3"/>
  <c r="D63" i="3"/>
  <c r="D64" i="3"/>
  <c r="E64" i="3"/>
  <c r="E62" i="3" s="1"/>
  <c r="AE29" i="7"/>
  <c r="D9" i="7"/>
  <c r="D61" i="7" s="1"/>
  <c r="C6" i="7"/>
  <c r="C26" i="7"/>
  <c r="D8" i="7"/>
  <c r="D60" i="7" s="1"/>
  <c r="AE28" i="7"/>
  <c r="I28" i="7" s="1"/>
  <c r="J28" i="7" s="1"/>
  <c r="K28" i="7" s="1"/>
  <c r="L28" i="7" s="1"/>
  <c r="M28" i="7" s="1"/>
  <c r="N28" i="7" s="1"/>
  <c r="O28" i="7" s="1"/>
  <c r="P28" i="7" s="1"/>
  <c r="Q28" i="7" s="1"/>
  <c r="R28" i="7" s="1"/>
  <c r="S28" i="7" s="1"/>
  <c r="T28" i="7" s="1"/>
  <c r="U28" i="7" s="1"/>
  <c r="V28" i="7" s="1"/>
  <c r="W28" i="7" s="1"/>
  <c r="X28" i="7" s="1"/>
  <c r="Y28" i="7" s="1"/>
  <c r="Z28" i="7" s="1"/>
  <c r="AA28" i="7" s="1"/>
  <c r="AB28" i="7" s="1"/>
  <c r="AC28" i="7" s="1"/>
  <c r="AD28" i="7" s="1"/>
  <c r="AE27" i="7"/>
  <c r="D7" i="7"/>
  <c r="D59" i="7" s="1"/>
  <c r="G11" i="3"/>
  <c r="E11" i="3"/>
  <c r="G8" i="3"/>
  <c r="E8" i="3"/>
  <c r="E17" i="3"/>
  <c r="G17" i="3"/>
  <c r="I27" i="7" l="1"/>
  <c r="J27" i="7" s="1"/>
  <c r="K27" i="7" s="1"/>
  <c r="L27" i="7" s="1"/>
  <c r="M27" i="7" s="1"/>
  <c r="N27" i="7" s="1"/>
  <c r="O27" i="7" s="1"/>
  <c r="P27" i="7" s="1"/>
  <c r="Q27" i="7" s="1"/>
  <c r="R27" i="7" s="1"/>
  <c r="S27" i="7" s="1"/>
  <c r="T27" i="7" s="1"/>
  <c r="U27" i="7" s="1"/>
  <c r="V27" i="7" s="1"/>
  <c r="W27" i="7" s="1"/>
  <c r="X27" i="7" s="1"/>
  <c r="Y27" i="7" s="1"/>
  <c r="Z27" i="7" s="1"/>
  <c r="AA27" i="7" s="1"/>
  <c r="AB27" i="7" s="1"/>
  <c r="AC27" i="7" s="1"/>
  <c r="AD27" i="7" s="1"/>
  <c r="G67" i="3"/>
  <c r="G65" i="3"/>
  <c r="I29" i="7"/>
  <c r="J29" i="7" s="1"/>
  <c r="K29" i="7" s="1"/>
  <c r="L29" i="7" s="1"/>
  <c r="M29" i="7" s="1"/>
  <c r="N29" i="7" s="1"/>
  <c r="O29" i="7" s="1"/>
  <c r="P29" i="7" s="1"/>
  <c r="Q29" i="7" s="1"/>
  <c r="R29" i="7" s="1"/>
  <c r="S29" i="7" s="1"/>
  <c r="T29" i="7" s="1"/>
  <c r="U29" i="7" s="1"/>
  <c r="V29" i="7" s="1"/>
  <c r="W29" i="7" s="1"/>
  <c r="X29" i="7" s="1"/>
  <c r="Y29" i="7" s="1"/>
  <c r="Z29" i="7" s="1"/>
  <c r="AA29" i="7" s="1"/>
  <c r="AB29" i="7" s="1"/>
  <c r="AC29" i="7" s="1"/>
  <c r="AD29" i="7" s="1"/>
  <c r="D73" i="3"/>
  <c r="D72" i="3"/>
  <c r="D74" i="3" s="1"/>
  <c r="E73" i="3"/>
  <c r="E72" i="3"/>
  <c r="E74" i="3" s="1"/>
  <c r="F64" i="3"/>
  <c r="G64" i="3"/>
  <c r="C58" i="7"/>
  <c r="C14" i="7"/>
  <c r="C66" i="7" s="1"/>
  <c r="F63" i="3"/>
  <c r="G63" i="3"/>
  <c r="D62" i="3"/>
  <c r="H26" i="7" s="1"/>
  <c r="D26" i="7" s="1"/>
  <c r="E26" i="7" s="1"/>
  <c r="F26" i="7" s="1"/>
  <c r="G26" i="7" s="1"/>
  <c r="D71" i="3" l="1"/>
  <c r="H30" i="7" s="1"/>
  <c r="D30" i="7" s="1"/>
  <c r="E30" i="7" s="1"/>
  <c r="F30" i="7" s="1"/>
  <c r="G30" i="7" s="1"/>
  <c r="G74" i="3"/>
  <c r="F74" i="3"/>
  <c r="F72" i="3"/>
  <c r="G72" i="3"/>
  <c r="E71" i="3"/>
  <c r="F73" i="3"/>
  <c r="G73" i="3"/>
  <c r="F62" i="3"/>
  <c r="G62" i="3"/>
  <c r="D6" i="7"/>
  <c r="AE26" i="7"/>
  <c r="I26" i="7" s="1"/>
  <c r="J26" i="7" s="1"/>
  <c r="K26" i="7" s="1"/>
  <c r="L26" i="7" s="1"/>
  <c r="M26" i="7" s="1"/>
  <c r="N26" i="7" s="1"/>
  <c r="O26" i="7" s="1"/>
  <c r="P26" i="7" s="1"/>
  <c r="Q26" i="7" s="1"/>
  <c r="R26" i="7" s="1"/>
  <c r="S26" i="7" s="1"/>
  <c r="T26" i="7" s="1"/>
  <c r="U26" i="7" s="1"/>
  <c r="V26" i="7" s="1"/>
  <c r="W26" i="7" s="1"/>
  <c r="X26" i="7" s="1"/>
  <c r="Y26" i="7" s="1"/>
  <c r="Z26" i="7" s="1"/>
  <c r="AA26" i="7" s="1"/>
  <c r="AB26" i="7" s="1"/>
  <c r="AC26" i="7" s="1"/>
  <c r="AD26" i="7" s="1"/>
  <c r="F71" i="3" l="1"/>
  <c r="G71" i="3"/>
  <c r="AE30" i="7"/>
  <c r="I30" i="7" s="1"/>
  <c r="J30" i="7" s="1"/>
  <c r="K30" i="7" s="1"/>
  <c r="L30" i="7" s="1"/>
  <c r="M30" i="7" s="1"/>
  <c r="N30" i="7" s="1"/>
  <c r="O30" i="7" s="1"/>
  <c r="P30" i="7" s="1"/>
  <c r="Q30" i="7" s="1"/>
  <c r="R30" i="7" s="1"/>
  <c r="S30" i="7" s="1"/>
  <c r="T30" i="7" s="1"/>
  <c r="U30" i="7" s="1"/>
  <c r="V30" i="7" s="1"/>
  <c r="W30" i="7" s="1"/>
  <c r="X30" i="7" s="1"/>
  <c r="Y30" i="7" s="1"/>
  <c r="Z30" i="7" s="1"/>
  <c r="AA30" i="7" s="1"/>
  <c r="AB30" i="7" s="1"/>
  <c r="AC30" i="7" s="1"/>
  <c r="AD30" i="7" s="1"/>
  <c r="D13" i="7"/>
  <c r="D65" i="7" s="1"/>
  <c r="D58" i="7"/>
  <c r="D14" i="7" l="1"/>
  <c r="D66" i="7" s="1"/>
</calcChain>
</file>

<file path=xl/sharedStrings.xml><?xml version="1.0" encoding="utf-8"?>
<sst xmlns="http://schemas.openxmlformats.org/spreadsheetml/2006/main" count="143" uniqueCount="101">
  <si>
    <t>Code couleur</t>
  </si>
  <si>
    <t>Référence</t>
  </si>
  <si>
    <t>Variable issue d'un autre secteur PTEF</t>
  </si>
  <si>
    <t>Données initiales Externes</t>
  </si>
  <si>
    <t>Hypothèse emploi externe</t>
  </si>
  <si>
    <t>Hypothèse emploi PTEF</t>
  </si>
  <si>
    <t>Résultat de calcul</t>
  </si>
  <si>
    <t>Sources principales</t>
  </si>
  <si>
    <t>Pour les hypothèses issues d'autres secteurs du PTEF, il s'agit essentiellement du rapport "Assurer le fret dans un monde fini", The Shift Project, mars 2022, https://ilnousfautunplan.fr/</t>
  </si>
  <si>
    <t>Pour les données externes, il s'agit essentiellement des données Esane de l'Insee de 2018.</t>
  </si>
  <si>
    <t>Unités principales</t>
  </si>
  <si>
    <r>
      <t>L'unité principale pertinente pour quantifier le transport de marchandises est la</t>
    </r>
    <r>
      <rPr>
        <b/>
        <sz val="10"/>
        <color theme="1"/>
        <rFont val="Arial"/>
        <family val="2"/>
      </rPr>
      <t xml:space="preserve"> t.km</t>
    </r>
    <r>
      <rPr>
        <sz val="10"/>
        <color theme="1"/>
        <rFont val="Arial"/>
        <family val="2"/>
      </rPr>
      <t xml:space="preserve"> ou "tonne-kilomètre" : 1 t.km correspond au déplacement d'une tonne de marchandises sur 1km, ou de manière équivalente 2 tonnes sur 500 m, etc.</t>
    </r>
  </si>
  <si>
    <r>
      <t>Le</t>
    </r>
    <r>
      <rPr>
        <b/>
        <sz val="10"/>
        <color theme="1"/>
        <rFont val="Arial"/>
        <family val="2"/>
      </rPr>
      <t xml:space="preserve"> Gt.km </t>
    </r>
    <r>
      <rPr>
        <sz val="10"/>
        <color theme="1"/>
        <rFont val="Arial"/>
        <family val="2"/>
      </rPr>
      <t>est une unité correspondant à 1 milliard de tonnes-kilomètres.</t>
    </r>
  </si>
  <si>
    <r>
      <t xml:space="preserve">L'impact énergétique et climat de cette mobilité est ensuite évaluée de manière la plus pertinente grâce aux </t>
    </r>
    <r>
      <rPr>
        <b/>
        <sz val="10"/>
        <color theme="1"/>
        <rFont val="Arial"/>
        <family val="2"/>
      </rPr>
      <t>v.km</t>
    </r>
    <r>
      <rPr>
        <sz val="10"/>
        <color theme="1"/>
        <rFont val="Arial"/>
        <family val="2"/>
      </rPr>
      <t xml:space="preserve"> ou "véhicules-kilomètres" : 1 vkm correspond au déplacement d'un véhicule sur 1 km, ou 2 véhicules sur 500 m, etc.</t>
    </r>
  </si>
  <si>
    <r>
      <t xml:space="preserve">L'emploi est quantifié en </t>
    </r>
    <r>
      <rPr>
        <b/>
        <sz val="10"/>
        <color theme="1"/>
        <rFont val="Arial"/>
        <family val="2"/>
      </rPr>
      <t>ETP</t>
    </r>
    <r>
      <rPr>
        <sz val="10"/>
        <color theme="1"/>
        <rFont val="Arial"/>
        <family val="2"/>
      </rPr>
      <t>, ou "équivalent temps plein", correspondant au travail d'une personne à temps plein, sur une année.</t>
    </r>
  </si>
  <si>
    <t>Précision : chiffres significatifs et influence du point de départ</t>
  </si>
  <si>
    <t>Comme dans le reste du PTEF, les calculs effectués ici sont destinés à donner les meilleurs ordres de grandeur possibles.</t>
  </si>
  <si>
    <t>On a considéré que conserver 2 chiffres significatifs donnait l'approximation la plus pertinente du niveau de précision obtenu.</t>
  </si>
  <si>
    <t>La situation "actuelle" est fondée sur les chiffres 2018, les plus récents disponibles de manière homogène à la date initiale de rédaction du rapport ; l'influence du point de départ est limitée car les ratios changent très peu au cours du temps.</t>
  </si>
  <si>
    <t>Avertissement : écarts mineurs à la publication "L'emploi : moteur de la transformation bas carbone" de 2021</t>
  </si>
  <si>
    <t>"L'emploi : moteur de la transformation bas carbone" (The Shift Project, 2021) a été publié avant la finalisation de l'ensemble des travaux du Plan de transformation de l'économie française. Le présent document tient compte des hypothèses prises dans la version finale du PTEF, et des corrections ont été apportées dans ce sens. Cela explique des écarts pouvant exister entre les résultats présentés dans ce tableur et la publication de décembre 2021. Ces écarts sont pour la plupart mineurs, et ne remettent pas en cause les conclusions du rapport.</t>
  </si>
  <si>
    <r>
      <rPr>
        <b/>
        <sz val="10"/>
        <color theme="1"/>
        <rFont val="Arial"/>
        <family val="2"/>
      </rPr>
      <t xml:space="preserve">Dans le transport routier, l'écart est toutefois significatif. </t>
    </r>
    <r>
      <rPr>
        <sz val="10"/>
        <color theme="1"/>
        <rFont val="Arial"/>
        <family val="2"/>
      </rPr>
      <t>La mise à jour des hypothèses conduit à une baisse de l'emploi de 140 000 ETP (-47%) au lieu de 110 000 ETP (-38%)</t>
    </r>
  </si>
  <si>
    <t>Parts modales espérées suite à la mise en place du PTEF</t>
  </si>
  <si>
    <t>Source : "Assurer le fret dans un monde fini", The Shift Project, mars 2022</t>
  </si>
  <si>
    <t>En Gt.km</t>
  </si>
  <si>
    <t>Avant transformation</t>
  </si>
  <si>
    <t>Évolution 2022-2027</t>
  </si>
  <si>
    <t>Après transformation (2050)</t>
  </si>
  <si>
    <t>Évolution 2022-2050</t>
  </si>
  <si>
    <t>Fret routier</t>
  </si>
  <si>
    <t xml:space="preserve">     dont VUL &lt; 50km</t>
  </si>
  <si>
    <t xml:space="preserve">     dont cyclologistique/2-roues</t>
  </si>
  <si>
    <t>N/A</t>
  </si>
  <si>
    <t xml:space="preserve">     dont PL et VUL &gt; 50km</t>
  </si>
  <si>
    <t>Fret ferroviaire</t>
  </si>
  <si>
    <t>Fret fluvial</t>
  </si>
  <si>
    <t>Total</t>
  </si>
  <si>
    <t>En v.km</t>
  </si>
  <si>
    <t>Emploi actuel du fret</t>
  </si>
  <si>
    <r>
      <rPr>
        <b/>
        <sz val="10"/>
        <color theme="1"/>
        <rFont val="Arial"/>
        <family val="2"/>
      </rPr>
      <t>Sources</t>
    </r>
    <r>
      <rPr>
        <sz val="10"/>
        <color theme="1"/>
        <rFont val="Arial"/>
        <family val="2"/>
      </rPr>
      <t xml:space="preserve"> : ESANE 2018, Rapport financier annuel groupe SNCF 2020</t>
    </r>
  </si>
  <si>
    <r>
      <rPr>
        <b/>
        <sz val="10"/>
        <color theme="1"/>
        <rFont val="Arial"/>
        <family val="2"/>
      </rPr>
      <t>Périmètre</t>
    </r>
    <r>
      <rPr>
        <sz val="10"/>
        <color theme="1"/>
        <rFont val="Arial"/>
        <family val="2"/>
      </rPr>
      <t xml:space="preserve"> :
- L'emploi actuel du fret prend ici en compte les activités de transport de marchandises terrestre (ferroviaire, routier, cyclologistique) et fluvial, ainsi que les activités d'entreposage et les services pour ces mêmes types de transport. Sont exclues du périmètre les activités de transport maritime et aérien, non prises en compte dans le périmètre du rapport "Assurer le fret dans un monde fini".
- Les données utilisées (ESANE, Groupe SNCF) tiennent compte des entreprises dont le fret est l'activité principale. Ainsi, les emplois du fret réalisé "en compte propre" (par exemple par une entreprise de l'industrie agroalimentaire qui achemine elle-même ses produits, sans passer par un prestataire spécialisé) ne sont pas pris en compte ici. Ils sont estimés à la moitié des emplois de la logistique (Afilog 2016, Panorama des emplois de la supply chain)</t>
    </r>
  </si>
  <si>
    <t>Code NAF</t>
  </si>
  <si>
    <t>Activité</t>
  </si>
  <si>
    <t>Emploi actuel (ETP)</t>
  </si>
  <si>
    <t>Source</t>
  </si>
  <si>
    <t>Transports ferroviaires de fret</t>
  </si>
  <si>
    <t xml:space="preserve">     dont SNCF (TFMM et Marchandises &amp; logistique)</t>
  </si>
  <si>
    <t>Rapport financier annuel groupe SNCF 2020</t>
  </si>
  <si>
    <t xml:space="preserve">     dont Transports ferroviaires de fret hors SNCF</t>
  </si>
  <si>
    <t>ESANE 2018</t>
  </si>
  <si>
    <t xml:space="preserve">Transports routiers de fret </t>
  </si>
  <si>
    <t>Cyclologistique</t>
  </si>
  <si>
    <t>Transports fluviaux de fret</t>
  </si>
  <si>
    <t xml:space="preserve">Entreposage et stockage </t>
  </si>
  <si>
    <t>Services auxiliaires des transports terrestres (exploitation des infrastructures et terminaux)</t>
  </si>
  <si>
    <t>5224B</t>
  </si>
  <si>
    <t>Manutention non portuaire (chargement et déchargement de marchandises lors des ruptures de charge)</t>
  </si>
  <si>
    <t>Autres services auxiliaires des transports (messagerie, fret express, affrètement et organisation des transports)</t>
  </si>
  <si>
    <t>5229A</t>
  </si>
  <si>
    <t xml:space="preserve">     dont Messagerie, fret express </t>
  </si>
  <si>
    <t>5229B</t>
  </si>
  <si>
    <t xml:space="preserve">     dont Affrètement et organisation des transports </t>
  </si>
  <si>
    <t>Emploi total</t>
  </si>
  <si>
    <t>Contenu en emploi par mode de transport</t>
  </si>
  <si>
    <t>Mode de transport</t>
  </si>
  <si>
    <r>
      <rPr>
        <b/>
        <sz val="9"/>
        <color theme="1"/>
        <rFont val="Arial"/>
        <family val="2"/>
      </rPr>
      <t>Emploi des activités de transport</t>
    </r>
    <r>
      <rPr>
        <sz val="9"/>
        <color theme="1"/>
        <rFont val="Arial"/>
        <family val="2"/>
      </rPr>
      <t xml:space="preserve"> (hors entreposage et services) </t>
    </r>
    <r>
      <rPr>
        <b/>
        <sz val="9"/>
        <color theme="1"/>
        <rFont val="Arial"/>
        <family val="2"/>
      </rPr>
      <t xml:space="preserve">par Gt.km </t>
    </r>
    <r>
      <rPr>
        <sz val="9"/>
        <color theme="1"/>
        <rFont val="Arial"/>
        <family val="2"/>
      </rPr>
      <t xml:space="preserve"> (ETP/Gt.km)</t>
    </r>
  </si>
  <si>
    <t>Besoin en emploi pour la décarbonation du secteur</t>
  </si>
  <si>
    <t>Besoin en emploi pour le développement de la cyclologistique</t>
  </si>
  <si>
    <r>
      <t xml:space="preserve">Sources </t>
    </r>
    <r>
      <rPr>
        <sz val="10"/>
        <rFont val="Arial"/>
        <family val="2"/>
      </rPr>
      <t>: 
- Une des hypothèses est basée sur les données produites par le groupe de recherche du Deep Decarbonization Pathways (IDDRI) dans le cadre de
ses analyses pour le rapport "Trajectoires de décarbonation profonde du transport de marchandises en France", 2019</t>
    </r>
    <r>
      <rPr>
        <sz val="10"/>
        <color rgb="FFFF0000"/>
        <rFont val="Arial"/>
        <family val="2"/>
      </rPr>
      <t xml:space="preserve">
</t>
    </r>
    <r>
      <rPr>
        <sz val="10"/>
        <rFont val="Arial"/>
        <family val="2"/>
      </rPr>
      <t>- Les autres hypothèses se fondent sur des auditions d'experts</t>
    </r>
  </si>
  <si>
    <r>
      <rPr>
        <b/>
        <sz val="10"/>
        <color theme="1"/>
        <rFont val="Arial"/>
        <family val="2"/>
      </rPr>
      <t>Méthode</t>
    </r>
    <r>
      <rPr>
        <sz val="10"/>
        <color theme="1"/>
        <rFont val="Arial"/>
        <family val="2"/>
      </rPr>
      <t xml:space="preserve"> : Le besoin en emploi pour la cycloglogistique est estimé sur la base d'hypothèses physiques : le nombre d'emploi nécessaire pour atteindre les objectifs de développement de la cyclologistique dépend du remplissage moyen d'un vélo cargo, et de la distance moyenne parcourue par jour par livreur.</t>
    </r>
  </si>
  <si>
    <t>Sources et hypothèses :</t>
  </si>
  <si>
    <t>Remplissage moyen (kg)</t>
  </si>
  <si>
    <t>Source 67kg : IDDRI</t>
  </si>
  <si>
    <t>Distance annuelle (millards de vélo.km par an)</t>
  </si>
  <si>
    <t>Distance annuelle (millards de livreur.km par an)</t>
  </si>
  <si>
    <t>Hypothèse : 1 livreur par vélo-cargo</t>
  </si>
  <si>
    <t>Distance journalière moyenne parcourue (km/jour de travail)</t>
  </si>
  <si>
    <t>Nombre de jours travaillés par an</t>
  </si>
  <si>
    <t>Besoin en emploi (ETP)</t>
  </si>
  <si>
    <t>Besoin en emploi par type d'activité</t>
  </si>
  <si>
    <t>Emploi en 2027 (ETP)</t>
  </si>
  <si>
    <t>Emploi après transformation (2050) (ETP)</t>
  </si>
  <si>
    <t>Évolution 2022-2050 (ETP)</t>
  </si>
  <si>
    <t>Évolution 2022-2050 (%)</t>
  </si>
  <si>
    <t>Hypothèses</t>
  </si>
  <si>
    <t>Proportionnel à l'évolution des t.km du ferroviaire</t>
  </si>
  <si>
    <t xml:space="preserve">Proportionnel à l'évolution des véhicules-km du routier </t>
  </si>
  <si>
    <t>Approche physique (cf. ci-dessus)</t>
  </si>
  <si>
    <t>Proportionnel à l'évolution des t.km du fluvial</t>
  </si>
  <si>
    <t>Hypothèse de stabilité : incertitude sur les effets du ralentissement des flux et du report modal, qui pourraient compenser la baisse de besoin en main-d'œuvre liée à la diminution des volumes transportés.</t>
  </si>
  <si>
    <t>Hypothèse de stabilité : manque de données (pas de répartition par mode, entre transport de voyageurs et de fret), et ces emplois sont surtout dédiés à la maintenance des infrastructures, sur lesquelles le PTEF ne fait pas d'hypothèse forte d'évolution.</t>
  </si>
  <si>
    <t>Hypothèse de stabilité. On estime qu'il y a une hausse de besoin de main-d'oeuvre dans les activités de rupture de charge pour l'intermodalité vers et depuis le rail, ainsi que dans les centres de mutualisation et de manutention qui seront créés pour la logistique urbaine. À l'opposé la manutention du routier devra diminuer. En l'absence de données plus précises (répartition des emplois par mode), on fait l'hypothèse d'une stabilité du volume d'emploi de la manutention.</t>
  </si>
  <si>
    <t>Proportionnel à l'évolution des t.km totaux du fret</t>
  </si>
  <si>
    <t>Visualisation des données</t>
  </si>
  <si>
    <t>Évolution du besoin en emploi dans la décarbonation du fret</t>
  </si>
  <si>
    <t>Emploi après transformation (ETP)</t>
  </si>
  <si>
    <t>Trajectoire d'évolution du besoin en emploi dans la décarbonation du fret</t>
  </si>
  <si>
    <t>Services du fret</t>
  </si>
  <si>
    <t>Services du fret : affrètement, messagerie et fret express, entreposage, exploitation des terminaux et des infrastructures</t>
  </si>
  <si>
    <t>Résultats arrondis</t>
  </si>
  <si>
    <t>À deux chiffres significatifs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</si>
</sst>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_-;\-* #,##0.00\ _€_-;_-* &quot;-&quot;??\ _€_-;_-@_-"/>
    <numFmt numFmtId="165" formatCode="_-* #,##0\ _€_-;\-* #,##0\ _€_-;_-* &quot;-&quot;??\ _€_-;_-@_-"/>
    <numFmt numFmtId="166" formatCode="0.000%"/>
    <numFmt numFmtId="167" formatCode="0.0"/>
  </numFmts>
  <fonts count="17" x14ac:knownFonts="1">
    <font>
      <sz val="11"/>
      <color theme="1"/>
      <name val="Calibri"/>
      <family val="2"/>
      <scheme val="minor"/>
    </font>
    <font>
      <sz val="11"/>
      <color theme="1"/>
      <name val="Calibri"/>
      <family val="2"/>
      <scheme val="minor"/>
    </font>
    <font>
      <sz val="10"/>
      <color theme="1"/>
      <name val="Arial"/>
      <family val="2"/>
    </font>
    <font>
      <sz val="11"/>
      <color theme="0"/>
      <name val="Arial"/>
      <family val="2"/>
    </font>
    <font>
      <sz val="10"/>
      <color theme="0"/>
      <name val="Arial"/>
      <family val="2"/>
    </font>
    <font>
      <sz val="10"/>
      <color rgb="FF000000"/>
      <name val="Arial"/>
      <family val="2"/>
    </font>
    <font>
      <sz val="10"/>
      <color rgb="FFFF0000"/>
      <name val="Arial"/>
      <family val="2"/>
    </font>
    <font>
      <b/>
      <sz val="10"/>
      <color theme="1"/>
      <name val="Arial"/>
      <family val="2"/>
    </font>
    <font>
      <b/>
      <sz val="11"/>
      <color theme="0"/>
      <name val="Arial"/>
      <family val="2"/>
    </font>
    <font>
      <i/>
      <sz val="10"/>
      <color theme="1"/>
      <name val="Arial"/>
      <family val="2"/>
    </font>
    <font>
      <sz val="9"/>
      <color theme="1"/>
      <name val="Arial"/>
      <family val="2"/>
    </font>
    <font>
      <sz val="9"/>
      <color theme="0"/>
      <name val="Arial"/>
      <family val="2"/>
    </font>
    <font>
      <b/>
      <sz val="9"/>
      <color theme="1"/>
      <name val="Arial"/>
      <family val="2"/>
    </font>
    <font>
      <b/>
      <sz val="10"/>
      <color theme="0"/>
      <name val="Arial"/>
      <family val="2"/>
    </font>
    <font>
      <b/>
      <i/>
      <sz val="10"/>
      <color theme="1"/>
      <name val="Arial"/>
      <family val="2"/>
    </font>
    <font>
      <b/>
      <sz val="10"/>
      <name val="Arial"/>
      <family val="2"/>
    </font>
    <font>
      <sz val="10"/>
      <name val="Arial"/>
      <family val="2"/>
    </font>
  </fonts>
  <fills count="14">
    <fill>
      <patternFill patternType="none"/>
    </fill>
    <fill>
      <patternFill patternType="gray125"/>
    </fill>
    <fill>
      <patternFill patternType="solid">
        <fgColor theme="3"/>
        <bgColor indexed="64"/>
      </patternFill>
    </fill>
    <fill>
      <patternFill patternType="solid">
        <fgColor theme="4"/>
        <bgColor indexed="64"/>
      </patternFill>
    </fill>
    <fill>
      <patternFill patternType="solid">
        <fgColor theme="6"/>
        <bgColor indexed="64"/>
      </patternFill>
    </fill>
    <fill>
      <patternFill patternType="solid">
        <fgColor theme="6"/>
        <bgColor rgb="FF000000"/>
      </patternFill>
    </fill>
    <fill>
      <patternFill patternType="solid">
        <fgColor theme="7" tint="0.79998168889431442"/>
        <bgColor rgb="FF000000"/>
      </patternFill>
    </fill>
    <fill>
      <patternFill patternType="solid">
        <fgColor theme="7" tint="0.79998168889431442"/>
        <bgColor indexed="64"/>
      </patternFill>
    </fill>
    <fill>
      <patternFill patternType="solid">
        <fgColor theme="9"/>
        <bgColor indexed="64"/>
      </patternFill>
    </fill>
    <fill>
      <patternFill patternType="solid">
        <fgColor theme="0" tint="-0.14999847407452621"/>
        <bgColor rgb="FF000000"/>
      </patternFill>
    </fill>
    <fill>
      <patternFill patternType="solid">
        <fgColor theme="0" tint="-0.14999847407452621"/>
        <bgColor indexed="64"/>
      </patternFill>
    </fill>
    <fill>
      <patternFill patternType="solid">
        <fgColor theme="8" tint="0.59999389629810485"/>
        <bgColor rgb="FF000000"/>
      </patternFill>
    </fill>
    <fill>
      <patternFill patternType="solid">
        <fgColor theme="8" tint="0.59999389629810485"/>
        <bgColor indexed="64"/>
      </patternFill>
    </fill>
    <fill>
      <patternFill patternType="solid">
        <fgColor theme="1" tint="0.499984740745262"/>
        <bgColor indexed="64"/>
      </patternFill>
    </fill>
  </fills>
  <borders count="15">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164" fontId="1" fillId="0" borderId="0" applyFont="0" applyFill="0" applyBorder="0" applyAlignment="0" applyProtection="0"/>
  </cellStyleXfs>
  <cellXfs count="131">
    <xf numFmtId="0" fontId="0" fillId="0" borderId="0" xfId="0"/>
    <xf numFmtId="0" fontId="3" fillId="3" borderId="0" xfId="0" applyFont="1" applyFill="1"/>
    <xf numFmtId="0" fontId="2" fillId="0" borderId="0" xfId="0" applyFont="1"/>
    <xf numFmtId="0" fontId="4" fillId="3" borderId="0" xfId="0" applyFont="1" applyFill="1"/>
    <xf numFmtId="0" fontId="5" fillId="0" borderId="9" xfId="0" applyFont="1" applyBorder="1"/>
    <xf numFmtId="0" fontId="2" fillId="0" borderId="0" xfId="0" applyFont="1" applyAlignment="1">
      <alignment vertical="center"/>
    </xf>
    <xf numFmtId="0" fontId="8" fillId="2" borderId="0" xfId="0" applyFont="1" applyFill="1" applyAlignment="1">
      <alignment vertical="center"/>
    </xf>
    <xf numFmtId="0" fontId="5" fillId="5" borderId="9" xfId="0" applyFont="1" applyFill="1" applyBorder="1"/>
    <xf numFmtId="0" fontId="9" fillId="0" borderId="0" xfId="0" applyFont="1"/>
    <xf numFmtId="0" fontId="10" fillId="0" borderId="0" xfId="0" applyFont="1" applyAlignment="1">
      <alignment vertical="center"/>
    </xf>
    <xf numFmtId="0" fontId="7" fillId="0" borderId="14" xfId="0" applyFont="1" applyBorder="1"/>
    <xf numFmtId="0" fontId="5" fillId="6" borderId="9" xfId="0" applyFont="1" applyFill="1" applyBorder="1"/>
    <xf numFmtId="165" fontId="2" fillId="0" borderId="0" xfId="0" applyNumberFormat="1" applyFont="1"/>
    <xf numFmtId="165" fontId="2" fillId="0" borderId="4" xfId="0" applyNumberFormat="1" applyFont="1" applyBorder="1"/>
    <xf numFmtId="0" fontId="2" fillId="0" borderId="12" xfId="0" applyFont="1" applyBorder="1" applyAlignment="1">
      <alignment vertical="center" wrapText="1"/>
    </xf>
    <xf numFmtId="0" fontId="11" fillId="2" borderId="0" xfId="0" applyFont="1" applyFill="1" applyAlignment="1">
      <alignment vertical="center"/>
    </xf>
    <xf numFmtId="0" fontId="9" fillId="0" borderId="9" xfId="0" applyFont="1" applyBorder="1" applyAlignment="1">
      <alignment horizontal="right" vertical="center"/>
    </xf>
    <xf numFmtId="0" fontId="2" fillId="0" borderId="11" xfId="0" applyFont="1" applyBorder="1" applyAlignment="1">
      <alignment horizontal="left" vertical="center" wrapText="1"/>
    </xf>
    <xf numFmtId="0" fontId="2" fillId="0" borderId="11" xfId="0" applyFont="1" applyBorder="1" applyAlignment="1">
      <alignment horizontal="left" vertical="center"/>
    </xf>
    <xf numFmtId="0" fontId="2" fillId="0" borderId="12" xfId="0" applyFont="1" applyBorder="1" applyAlignment="1">
      <alignment horizontal="left" vertical="center" wrapText="1"/>
    </xf>
    <xf numFmtId="0" fontId="2" fillId="0" borderId="13" xfId="0" applyFont="1" applyBorder="1" applyAlignment="1">
      <alignment vertical="center"/>
    </xf>
    <xf numFmtId="0" fontId="2" fillId="4" borderId="0" xfId="0" applyFont="1" applyFill="1" applyAlignment="1">
      <alignment vertical="center"/>
    </xf>
    <xf numFmtId="9" fontId="2" fillId="0" borderId="0" xfId="1" applyFont="1" applyBorder="1" applyAlignment="1">
      <alignment vertical="center"/>
    </xf>
    <xf numFmtId="9" fontId="2" fillId="0" borderId="4" xfId="1" applyFont="1" applyBorder="1" applyAlignment="1">
      <alignment vertical="center"/>
    </xf>
    <xf numFmtId="0" fontId="9" fillId="0" borderId="13" xfId="0" applyFont="1" applyBorder="1" applyAlignment="1">
      <alignment horizontal="left" vertical="center"/>
    </xf>
    <xf numFmtId="0" fontId="9" fillId="4" borderId="0" xfId="0" applyFont="1" applyFill="1" applyAlignment="1">
      <alignment vertical="center"/>
    </xf>
    <xf numFmtId="9" fontId="9" fillId="0" borderId="0" xfId="1" applyFont="1" applyBorder="1" applyAlignment="1">
      <alignment vertical="center"/>
    </xf>
    <xf numFmtId="9" fontId="9" fillId="0" borderId="4" xfId="1" applyFont="1" applyBorder="1" applyAlignment="1">
      <alignment vertical="center"/>
    </xf>
    <xf numFmtId="2" fontId="9" fillId="0" borderId="0" xfId="0" applyNumberFormat="1" applyFont="1" applyAlignment="1">
      <alignment vertical="center"/>
    </xf>
    <xf numFmtId="0" fontId="7" fillId="0" borderId="14" xfId="0" applyFont="1" applyBorder="1" applyAlignment="1">
      <alignment vertical="center"/>
    </xf>
    <xf numFmtId="0" fontId="7" fillId="0" borderId="8" xfId="0" applyFont="1" applyBorder="1" applyAlignment="1">
      <alignment vertical="center"/>
    </xf>
    <xf numFmtId="9" fontId="7" fillId="0" borderId="8" xfId="1" applyFont="1" applyBorder="1" applyAlignment="1">
      <alignment vertical="center"/>
    </xf>
    <xf numFmtId="9" fontId="7" fillId="0" borderId="6" xfId="1" applyFont="1" applyBorder="1" applyAlignment="1">
      <alignment vertical="center"/>
    </xf>
    <xf numFmtId="166" fontId="2" fillId="0" borderId="0" xfId="1" applyNumberFormat="1" applyFont="1" applyAlignment="1">
      <alignment vertical="center"/>
    </xf>
    <xf numFmtId="0" fontId="9" fillId="0" borderId="14" xfId="0" applyFont="1" applyBorder="1" applyAlignment="1">
      <alignment horizontal="left" vertical="center"/>
    </xf>
    <xf numFmtId="0" fontId="9" fillId="0" borderId="8" xfId="0" applyFont="1" applyBorder="1" applyAlignment="1">
      <alignment vertical="center"/>
    </xf>
    <xf numFmtId="9" fontId="9" fillId="0" borderId="8" xfId="1" applyFont="1" applyBorder="1" applyAlignment="1">
      <alignment vertical="center"/>
    </xf>
    <xf numFmtId="9" fontId="9" fillId="0" borderId="6" xfId="1" applyFont="1" applyBorder="1" applyAlignment="1">
      <alignment vertical="center"/>
    </xf>
    <xf numFmtId="166" fontId="10" fillId="0" borderId="0" xfId="1" applyNumberFormat="1" applyFont="1" applyAlignment="1">
      <alignment vertical="center"/>
    </xf>
    <xf numFmtId="0" fontId="15" fillId="0" borderId="10" xfId="0" applyFont="1" applyBorder="1" applyAlignment="1">
      <alignment vertical="center"/>
    </xf>
    <xf numFmtId="0" fontId="15" fillId="0" borderId="11" xfId="0" applyFont="1" applyBorder="1" applyAlignment="1">
      <alignment vertical="center"/>
    </xf>
    <xf numFmtId="0" fontId="15" fillId="0" borderId="12" xfId="0" applyFont="1" applyBorder="1" applyAlignment="1">
      <alignment vertical="center" wrapText="1"/>
    </xf>
    <xf numFmtId="0" fontId="2" fillId="0" borderId="3" xfId="0" applyFont="1" applyBorder="1" applyAlignment="1">
      <alignment horizontal="left" vertical="center"/>
    </xf>
    <xf numFmtId="0" fontId="2" fillId="0" borderId="4" xfId="0" applyFont="1" applyBorder="1" applyAlignment="1">
      <alignment vertical="center"/>
    </xf>
    <xf numFmtId="0" fontId="9" fillId="0" borderId="3" xfId="0" applyFont="1" applyBorder="1" applyAlignment="1">
      <alignment horizontal="left" vertical="center"/>
    </xf>
    <xf numFmtId="0" fontId="9" fillId="0" borderId="0" xfId="0" applyFont="1" applyAlignment="1">
      <alignment vertical="center"/>
    </xf>
    <xf numFmtId="0" fontId="2" fillId="0" borderId="0" xfId="0" applyFont="1" applyAlignment="1">
      <alignment vertical="center" wrapText="1"/>
    </xf>
    <xf numFmtId="0" fontId="14" fillId="0" borderId="5" xfId="0" applyFont="1" applyBorder="1" applyAlignment="1">
      <alignment horizontal="left" vertical="center"/>
    </xf>
    <xf numFmtId="0" fontId="12" fillId="0" borderId="0" xfId="0" applyFont="1" applyAlignment="1">
      <alignment vertical="center"/>
    </xf>
    <xf numFmtId="0" fontId="2" fillId="0" borderId="3" xfId="0" applyFont="1" applyBorder="1" applyAlignment="1">
      <alignment vertical="center"/>
    </xf>
    <xf numFmtId="165" fontId="2" fillId="0" borderId="4" xfId="0" applyNumberFormat="1" applyFont="1" applyBorder="1" applyAlignment="1">
      <alignment vertical="center"/>
    </xf>
    <xf numFmtId="0" fontId="2" fillId="0" borderId="5" xfId="0" applyFont="1" applyBorder="1" applyAlignment="1">
      <alignment vertical="center"/>
    </xf>
    <xf numFmtId="165" fontId="2" fillId="0" borderId="6" xfId="0" applyNumberFormat="1" applyFont="1" applyBorder="1" applyAlignment="1">
      <alignment vertical="center"/>
    </xf>
    <xf numFmtId="165" fontId="10" fillId="0" borderId="0" xfId="0" applyNumberFormat="1" applyFont="1" applyAlignment="1">
      <alignment vertical="center"/>
    </xf>
    <xf numFmtId="0" fontId="14" fillId="0" borderId="0" xfId="0" applyFont="1" applyAlignment="1">
      <alignment vertical="center" wrapText="1"/>
    </xf>
    <xf numFmtId="165" fontId="9" fillId="0" borderId="0" xfId="0" applyNumberFormat="1" applyFont="1" applyAlignment="1">
      <alignment vertical="center"/>
    </xf>
    <xf numFmtId="164" fontId="9" fillId="0" borderId="0" xfId="2" applyFont="1" applyFill="1" applyAlignment="1">
      <alignment vertical="center"/>
    </xf>
    <xf numFmtId="0" fontId="13" fillId="8" borderId="0" xfId="0" applyFont="1" applyFill="1" applyAlignment="1">
      <alignment vertical="center"/>
    </xf>
    <xf numFmtId="0" fontId="5" fillId="9" borderId="9" xfId="0" applyFont="1" applyFill="1" applyBorder="1"/>
    <xf numFmtId="0" fontId="5" fillId="11" borderId="9" xfId="0" applyFont="1" applyFill="1" applyBorder="1"/>
    <xf numFmtId="0" fontId="15" fillId="0" borderId="0" xfId="0" applyFont="1" applyAlignment="1">
      <alignment vertical="center" wrapText="1"/>
    </xf>
    <xf numFmtId="165" fontId="14" fillId="0" borderId="0" xfId="0" applyNumberFormat="1" applyFont="1" applyAlignment="1">
      <alignment vertical="center"/>
    </xf>
    <xf numFmtId="165" fontId="9" fillId="7" borderId="4" xfId="2" applyNumberFormat="1" applyFont="1" applyFill="1" applyBorder="1" applyAlignment="1">
      <alignment vertical="center"/>
    </xf>
    <xf numFmtId="165" fontId="2" fillId="7" borderId="4" xfId="2" applyNumberFormat="1" applyFont="1" applyFill="1" applyBorder="1" applyAlignment="1">
      <alignment vertical="center"/>
    </xf>
    <xf numFmtId="165" fontId="9" fillId="0" borderId="4" xfId="2" applyNumberFormat="1" applyFont="1" applyFill="1" applyBorder="1" applyAlignment="1">
      <alignment vertical="center"/>
    </xf>
    <xf numFmtId="165" fontId="7" fillId="0" borderId="6" xfId="0" applyNumberFormat="1" applyFont="1" applyBorder="1" applyAlignment="1">
      <alignment vertical="center"/>
    </xf>
    <xf numFmtId="0" fontId="7" fillId="0" borderId="10" xfId="0" applyFont="1" applyBorder="1" applyAlignment="1">
      <alignment vertical="center"/>
    </xf>
    <xf numFmtId="0" fontId="7" fillId="0" borderId="12" xfId="0" applyFont="1" applyBorder="1" applyAlignment="1">
      <alignment vertical="center" wrapText="1"/>
    </xf>
    <xf numFmtId="0" fontId="7" fillId="0" borderId="0" xfId="0" applyFont="1" applyAlignment="1">
      <alignment vertical="center"/>
    </xf>
    <xf numFmtId="164" fontId="2" fillId="0" borderId="0" xfId="2" applyFont="1" applyBorder="1" applyAlignment="1">
      <alignment vertical="center"/>
    </xf>
    <xf numFmtId="164" fontId="2" fillId="0" borderId="0" xfId="0" applyNumberFormat="1" applyFont="1" applyAlignment="1">
      <alignment vertical="center"/>
    </xf>
    <xf numFmtId="0" fontId="2" fillId="10" borderId="0" xfId="0" applyFont="1" applyFill="1" applyAlignment="1">
      <alignment vertical="center"/>
    </xf>
    <xf numFmtId="0" fontId="2" fillId="12" borderId="0" xfId="0" applyFont="1" applyFill="1" applyAlignment="1">
      <alignment vertical="center"/>
    </xf>
    <xf numFmtId="0" fontId="2" fillId="12" borderId="4" xfId="0" applyFont="1" applyFill="1" applyBorder="1" applyAlignment="1">
      <alignment vertical="center"/>
    </xf>
    <xf numFmtId="164" fontId="2" fillId="0" borderId="4" xfId="2" applyFont="1" applyBorder="1" applyAlignment="1">
      <alignment vertical="center"/>
    </xf>
    <xf numFmtId="164" fontId="2" fillId="0" borderId="4" xfId="0" applyNumberFormat="1" applyFont="1" applyBorder="1" applyAlignment="1">
      <alignment vertical="center"/>
    </xf>
    <xf numFmtId="165" fontId="7" fillId="0" borderId="8" xfId="0" applyNumberFormat="1" applyFont="1" applyBorder="1" applyAlignment="1">
      <alignment vertical="center"/>
    </xf>
    <xf numFmtId="0" fontId="2" fillId="0" borderId="13" xfId="0" applyFont="1" applyBorder="1" applyAlignment="1">
      <alignment vertical="center" wrapText="1"/>
    </xf>
    <xf numFmtId="0" fontId="7" fillId="0" borderId="14" xfId="0" applyFont="1" applyBorder="1" applyAlignment="1">
      <alignment vertical="center" wrapText="1"/>
    </xf>
    <xf numFmtId="0" fontId="7" fillId="0" borderId="11" xfId="0" applyFont="1" applyBorder="1" applyAlignment="1">
      <alignment vertical="center"/>
    </xf>
    <xf numFmtId="0" fontId="7" fillId="0" borderId="12" xfId="0" applyFont="1" applyBorder="1" applyAlignment="1">
      <alignment vertical="center"/>
    </xf>
    <xf numFmtId="0" fontId="13" fillId="0" borderId="0" xfId="0" applyFont="1" applyAlignment="1">
      <alignment vertical="center"/>
    </xf>
    <xf numFmtId="0" fontId="2" fillId="0" borderId="9" xfId="0" applyFont="1" applyBorder="1" applyAlignment="1">
      <alignment vertical="center"/>
    </xf>
    <xf numFmtId="0" fontId="15" fillId="0" borderId="12" xfId="0" applyFont="1" applyBorder="1" applyAlignment="1">
      <alignment vertical="center"/>
    </xf>
    <xf numFmtId="0" fontId="9" fillId="0" borderId="4" xfId="0" applyFont="1" applyBorder="1" applyAlignment="1">
      <alignment vertical="center"/>
    </xf>
    <xf numFmtId="0" fontId="2" fillId="0" borderId="4" xfId="0" applyFont="1" applyBorder="1" applyAlignment="1">
      <alignment vertical="center" wrapText="1"/>
    </xf>
    <xf numFmtId="0" fontId="7" fillId="0" borderId="6" xfId="0" applyFont="1" applyBorder="1" applyAlignment="1">
      <alignment vertical="center"/>
    </xf>
    <xf numFmtId="165" fontId="2" fillId="0" borderId="3" xfId="0" applyNumberFormat="1" applyFont="1" applyBorder="1" applyAlignment="1">
      <alignment vertical="center"/>
    </xf>
    <xf numFmtId="165" fontId="9" fillId="7" borderId="3" xfId="2" applyNumberFormat="1" applyFont="1" applyFill="1" applyBorder="1" applyAlignment="1">
      <alignment vertical="center"/>
    </xf>
    <xf numFmtId="165" fontId="2" fillId="7" borderId="3" xfId="2" applyNumberFormat="1" applyFont="1" applyFill="1" applyBorder="1" applyAlignment="1">
      <alignment vertical="center"/>
    </xf>
    <xf numFmtId="165" fontId="9" fillId="0" borderId="3" xfId="2" applyNumberFormat="1" applyFont="1" applyFill="1" applyBorder="1" applyAlignment="1">
      <alignment vertical="center"/>
    </xf>
    <xf numFmtId="165" fontId="7" fillId="0" borderId="5" xfId="0" applyNumberFormat="1" applyFont="1" applyBorder="1" applyAlignment="1">
      <alignment vertical="center"/>
    </xf>
    <xf numFmtId="0" fontId="15" fillId="0" borderId="10" xfId="0" applyFont="1" applyBorder="1" applyAlignment="1">
      <alignment vertical="center" wrapText="1"/>
    </xf>
    <xf numFmtId="0" fontId="7" fillId="0" borderId="11" xfId="0" applyFont="1" applyBorder="1" applyAlignment="1">
      <alignment vertical="center" wrapText="1"/>
    </xf>
    <xf numFmtId="165" fontId="2" fillId="0" borderId="0" xfId="2" applyNumberFormat="1" applyFont="1" applyBorder="1" applyAlignment="1">
      <alignment vertical="center"/>
    </xf>
    <xf numFmtId="165" fontId="2" fillId="0" borderId="0" xfId="0" applyNumberFormat="1" applyFont="1" applyAlignment="1">
      <alignment vertical="center"/>
    </xf>
    <xf numFmtId="0" fontId="10" fillId="0" borderId="12" xfId="0" applyFont="1" applyBorder="1" applyAlignment="1">
      <alignment vertical="center" wrapText="1"/>
    </xf>
    <xf numFmtId="165" fontId="7" fillId="0" borderId="8" xfId="0" applyNumberFormat="1" applyFont="1" applyBorder="1"/>
    <xf numFmtId="165" fontId="7" fillId="0" borderId="6" xfId="0" applyNumberFormat="1" applyFont="1" applyBorder="1"/>
    <xf numFmtId="0" fontId="16" fillId="0" borderId="11" xfId="0" applyFont="1" applyBorder="1" applyAlignment="1">
      <alignment vertical="center" wrapText="1"/>
    </xf>
    <xf numFmtId="0" fontId="2" fillId="0" borderId="13" xfId="0" applyFont="1" applyBorder="1" applyAlignment="1">
      <alignment wrapText="1"/>
    </xf>
    <xf numFmtId="0" fontId="2" fillId="0" borderId="9" xfId="0" applyFont="1" applyBorder="1"/>
    <xf numFmtId="165" fontId="2" fillId="0" borderId="0" xfId="2" applyNumberFormat="1" applyFont="1" applyBorder="1"/>
    <xf numFmtId="165" fontId="2" fillId="0" borderId="4" xfId="2" applyNumberFormat="1" applyFont="1" applyBorder="1"/>
    <xf numFmtId="165" fontId="7" fillId="0" borderId="8" xfId="2" applyNumberFormat="1" applyFont="1" applyBorder="1"/>
    <xf numFmtId="165" fontId="7" fillId="0" borderId="6" xfId="2" applyNumberFormat="1" applyFont="1" applyBorder="1"/>
    <xf numFmtId="0" fontId="7" fillId="0" borderId="14" xfId="0" applyFont="1" applyBorder="1" applyAlignment="1">
      <alignment wrapText="1"/>
    </xf>
    <xf numFmtId="0" fontId="12" fillId="0" borderId="7" xfId="0" applyFont="1" applyBorder="1" applyAlignment="1">
      <alignment vertical="center"/>
    </xf>
    <xf numFmtId="0" fontId="12" fillId="0" borderId="2" xfId="0" applyFont="1" applyBorder="1" applyAlignment="1">
      <alignment vertical="center"/>
    </xf>
    <xf numFmtId="0" fontId="12" fillId="0" borderId="3" xfId="0" applyFont="1" applyBorder="1" applyAlignment="1">
      <alignment vertical="center"/>
    </xf>
    <xf numFmtId="0" fontId="12" fillId="0" borderId="5" xfId="0" applyFont="1" applyBorder="1" applyAlignment="1">
      <alignment vertical="center"/>
    </xf>
    <xf numFmtId="165" fontId="10" fillId="0" borderId="8" xfId="0" applyNumberFormat="1" applyFont="1" applyBorder="1" applyAlignment="1">
      <alignment vertical="center"/>
    </xf>
    <xf numFmtId="165" fontId="10" fillId="0" borderId="6" xfId="0" applyNumberFormat="1" applyFont="1" applyBorder="1" applyAlignment="1">
      <alignment vertical="center"/>
    </xf>
    <xf numFmtId="0" fontId="10" fillId="0" borderId="9" xfId="0" applyFont="1" applyBorder="1" applyAlignment="1">
      <alignment vertical="center"/>
    </xf>
    <xf numFmtId="165" fontId="2" fillId="0" borderId="1" xfId="2" applyNumberFormat="1" applyFont="1" applyBorder="1"/>
    <xf numFmtId="165" fontId="2" fillId="0" borderId="7" xfId="2" applyNumberFormat="1" applyFont="1" applyBorder="1"/>
    <xf numFmtId="165" fontId="2" fillId="0" borderId="2" xfId="2" applyNumberFormat="1" applyFont="1" applyBorder="1"/>
    <xf numFmtId="165" fontId="2" fillId="0" borderId="3" xfId="2" applyNumberFormat="1" applyFont="1" applyBorder="1"/>
    <xf numFmtId="165" fontId="10" fillId="0" borderId="5" xfId="0" applyNumberFormat="1" applyFont="1" applyBorder="1" applyAlignment="1">
      <alignment vertical="center"/>
    </xf>
    <xf numFmtId="165" fontId="10" fillId="13" borderId="7" xfId="0" applyNumberFormat="1" applyFont="1" applyFill="1" applyBorder="1" applyAlignment="1">
      <alignment vertical="center"/>
    </xf>
    <xf numFmtId="165" fontId="10" fillId="13" borderId="0" xfId="0" applyNumberFormat="1" applyFont="1" applyFill="1" applyAlignment="1">
      <alignment vertical="center"/>
    </xf>
    <xf numFmtId="165" fontId="10" fillId="13" borderId="8" xfId="0" applyNumberFormat="1" applyFont="1" applyFill="1" applyBorder="1" applyAlignment="1">
      <alignment vertical="center"/>
    </xf>
    <xf numFmtId="1" fontId="9" fillId="0" borderId="0" xfId="0" applyNumberFormat="1" applyFont="1" applyAlignment="1">
      <alignment vertical="center"/>
    </xf>
    <xf numFmtId="167" fontId="2" fillId="4" borderId="0" xfId="0" applyNumberFormat="1" applyFont="1" applyFill="1" applyAlignment="1">
      <alignment vertical="center"/>
    </xf>
    <xf numFmtId="164" fontId="2" fillId="0" borderId="0" xfId="2" applyFont="1" applyFill="1" applyBorder="1" applyAlignment="1">
      <alignment vertical="center"/>
    </xf>
    <xf numFmtId="0" fontId="7" fillId="0" borderId="0" xfId="0" quotePrefix="1" applyFont="1" applyAlignment="1">
      <alignment vertical="center"/>
    </xf>
    <xf numFmtId="165" fontId="7" fillId="0" borderId="0" xfId="0" applyNumberFormat="1" applyFont="1" applyAlignment="1">
      <alignment vertical="center"/>
    </xf>
    <xf numFmtId="0" fontId="2" fillId="0" borderId="0" xfId="0" applyFont="1" applyAlignment="1">
      <alignment horizontal="left" vertical="center" wrapText="1"/>
    </xf>
    <xf numFmtId="0" fontId="10" fillId="0" borderId="3" xfId="0" applyFont="1" applyBorder="1" applyAlignment="1">
      <alignment horizontal="left" vertical="center" wrapText="1"/>
    </xf>
    <xf numFmtId="0" fontId="10" fillId="0" borderId="0" xfId="0" applyFont="1" applyAlignment="1">
      <alignment horizontal="left" vertical="center" wrapText="1"/>
    </xf>
    <xf numFmtId="0" fontId="15" fillId="0" borderId="0" xfId="0" applyFont="1" applyAlignment="1">
      <alignment horizontal="left" vertical="center" wrapText="1"/>
    </xf>
  </cellXfs>
  <cellStyles count="3">
    <cellStyle name="Milliers" xfId="2" builtinId="3"/>
    <cellStyle name="Normal" xfId="0" builtinId="0"/>
    <cellStyle name="Pourcentage" xfId="1" builtinId="5"/>
  </cellStyles>
  <dxfs count="0"/>
  <tableStyles count="0" defaultTableStyle="TableStyleMedium2" defaultPivotStyle="PivotStyleLight16"/>
  <colors>
    <mruColors>
      <color rgb="FFF2A06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8478442522147843E-2"/>
          <c:y val="7.9974943141036189E-2"/>
          <c:w val="0.46396857938453778"/>
          <c:h val="0.83780467108278489"/>
        </c:manualLayout>
      </c:layout>
      <c:barChart>
        <c:barDir val="col"/>
        <c:grouping val="stacked"/>
        <c:varyColors val="0"/>
        <c:ser>
          <c:idx val="0"/>
          <c:order val="0"/>
          <c:tx>
            <c:strRef>
              <c:f>Visualisation!$B$6</c:f>
              <c:strCache>
                <c:ptCount val="1"/>
                <c:pt idx="0">
                  <c:v>Transports ferroviaires de fret</c:v>
                </c:pt>
              </c:strCache>
            </c:strRef>
          </c:tx>
          <c:spPr>
            <a:solidFill>
              <a:schemeClr val="accent1"/>
            </a:solidFill>
            <a:ln>
              <a:noFill/>
            </a:ln>
            <a:effectLst/>
          </c:spPr>
          <c:invertIfNegative val="0"/>
          <c:cat>
            <c:strRef>
              <c:f>Visualisation!$C$5:$D$5</c:f>
              <c:strCache>
                <c:ptCount val="2"/>
                <c:pt idx="0">
                  <c:v>Emploi actuel (ETP)</c:v>
                </c:pt>
                <c:pt idx="1">
                  <c:v>Emploi après transformation (ETP)</c:v>
                </c:pt>
              </c:strCache>
            </c:strRef>
          </c:cat>
          <c:val>
            <c:numRef>
              <c:f>Visualisation!$C$6:$D$6</c:f>
              <c:numCache>
                <c:formatCode>_-* #\ ##0\ _€_-;\-* #\ ##0\ _€_-;_-* "-"??\ _€_-;_-@_-</c:formatCode>
                <c:ptCount val="2"/>
                <c:pt idx="0">
                  <c:v>10866</c:v>
                </c:pt>
                <c:pt idx="1">
                  <c:v>21073.454545454548</c:v>
                </c:pt>
              </c:numCache>
            </c:numRef>
          </c:val>
          <c:extLst>
            <c:ext xmlns:c16="http://schemas.microsoft.com/office/drawing/2014/chart" uri="{C3380CC4-5D6E-409C-BE32-E72D297353CC}">
              <c16:uniqueId val="{00000000-CC5D-4CE7-BC89-6E37ABA06168}"/>
            </c:ext>
          </c:extLst>
        </c:ser>
        <c:ser>
          <c:idx val="1"/>
          <c:order val="1"/>
          <c:tx>
            <c:strRef>
              <c:f>Visualisation!$B$7</c:f>
              <c:strCache>
                <c:ptCount val="1"/>
                <c:pt idx="0">
                  <c:v>Transports routiers de fret </c:v>
                </c:pt>
              </c:strCache>
            </c:strRef>
          </c:tx>
          <c:spPr>
            <a:solidFill>
              <a:schemeClr val="accent2"/>
            </a:solidFill>
            <a:ln>
              <a:noFill/>
            </a:ln>
            <a:effectLst/>
          </c:spPr>
          <c:invertIfNegative val="0"/>
          <c:cat>
            <c:strRef>
              <c:f>Visualisation!$C$5:$D$5</c:f>
              <c:strCache>
                <c:ptCount val="2"/>
                <c:pt idx="0">
                  <c:v>Emploi actuel (ETP)</c:v>
                </c:pt>
                <c:pt idx="1">
                  <c:v>Emploi après transformation (ETP)</c:v>
                </c:pt>
              </c:strCache>
            </c:strRef>
          </c:cat>
          <c:val>
            <c:numRef>
              <c:f>Visualisation!$C$7:$D$7</c:f>
              <c:numCache>
                <c:formatCode>_-* #\ ##0\ _€_-;\-* #\ ##0\ _€_-;_-* "-"??\ _€_-;_-@_-</c:formatCode>
                <c:ptCount val="2"/>
                <c:pt idx="0">
                  <c:v>299948</c:v>
                </c:pt>
                <c:pt idx="1">
                  <c:v>160204.44702467343</c:v>
                </c:pt>
              </c:numCache>
            </c:numRef>
          </c:val>
          <c:extLst>
            <c:ext xmlns:c16="http://schemas.microsoft.com/office/drawing/2014/chart" uri="{C3380CC4-5D6E-409C-BE32-E72D297353CC}">
              <c16:uniqueId val="{00000001-CC5D-4CE7-BC89-6E37ABA06168}"/>
            </c:ext>
          </c:extLst>
        </c:ser>
        <c:ser>
          <c:idx val="2"/>
          <c:order val="2"/>
          <c:tx>
            <c:strRef>
              <c:f>Visualisation!$B$8</c:f>
              <c:strCache>
                <c:ptCount val="1"/>
                <c:pt idx="0">
                  <c:v>Cyclologistique</c:v>
                </c:pt>
              </c:strCache>
            </c:strRef>
          </c:tx>
          <c:spPr>
            <a:solidFill>
              <a:srgbClr val="0028DC"/>
            </a:solidFill>
            <a:ln>
              <a:noFill/>
            </a:ln>
            <a:effectLst/>
          </c:spPr>
          <c:invertIfNegative val="0"/>
          <c:cat>
            <c:strRef>
              <c:f>Visualisation!$C$5:$D$5</c:f>
              <c:strCache>
                <c:ptCount val="2"/>
                <c:pt idx="0">
                  <c:v>Emploi actuel (ETP)</c:v>
                </c:pt>
                <c:pt idx="1">
                  <c:v>Emploi après transformation (ETP)</c:v>
                </c:pt>
              </c:strCache>
            </c:strRef>
          </c:cat>
          <c:val>
            <c:numRef>
              <c:f>Visualisation!$C$8:$D$8</c:f>
              <c:numCache>
                <c:formatCode>_-* #\ ##0\ _€_-;\-* #\ ##0\ _€_-;_-* "-"??\ _€_-;_-@_-</c:formatCode>
                <c:ptCount val="2"/>
                <c:pt idx="0">
                  <c:v>0</c:v>
                </c:pt>
                <c:pt idx="1">
                  <c:v>97402.597402597385</c:v>
                </c:pt>
              </c:numCache>
            </c:numRef>
          </c:val>
          <c:extLst>
            <c:ext xmlns:c16="http://schemas.microsoft.com/office/drawing/2014/chart" uri="{C3380CC4-5D6E-409C-BE32-E72D297353CC}">
              <c16:uniqueId val="{00000003-CC5D-4CE7-BC89-6E37ABA06168}"/>
            </c:ext>
          </c:extLst>
        </c:ser>
        <c:ser>
          <c:idx val="3"/>
          <c:order val="3"/>
          <c:tx>
            <c:strRef>
              <c:f>Visualisation!$B$9</c:f>
              <c:strCache>
                <c:ptCount val="1"/>
                <c:pt idx="0">
                  <c:v>Transports fluviaux de fret</c:v>
                </c:pt>
              </c:strCache>
            </c:strRef>
          </c:tx>
          <c:spPr>
            <a:solidFill>
              <a:srgbClr val="00CAFE"/>
            </a:solidFill>
            <a:ln>
              <a:noFill/>
            </a:ln>
            <a:effectLst/>
          </c:spPr>
          <c:invertIfNegative val="0"/>
          <c:cat>
            <c:strRef>
              <c:f>Visualisation!$C$5:$D$5</c:f>
              <c:strCache>
                <c:ptCount val="2"/>
                <c:pt idx="0">
                  <c:v>Emploi actuel (ETP)</c:v>
                </c:pt>
                <c:pt idx="1">
                  <c:v>Emploi après transformation (ETP)</c:v>
                </c:pt>
              </c:strCache>
            </c:strRef>
          </c:cat>
          <c:val>
            <c:numRef>
              <c:f>Visualisation!$C$9:$D$9</c:f>
              <c:numCache>
                <c:formatCode>_-* #\ ##0\ _€_-;\-* #\ ##0\ _€_-;_-* "-"??\ _€_-;_-@_-</c:formatCode>
                <c:ptCount val="2"/>
                <c:pt idx="0">
                  <c:v>1455</c:v>
                </c:pt>
                <c:pt idx="1">
                  <c:v>4522.2972972972966</c:v>
                </c:pt>
              </c:numCache>
            </c:numRef>
          </c:val>
          <c:extLst>
            <c:ext xmlns:c16="http://schemas.microsoft.com/office/drawing/2014/chart" uri="{C3380CC4-5D6E-409C-BE32-E72D297353CC}">
              <c16:uniqueId val="{00000004-CC5D-4CE7-BC89-6E37ABA06168}"/>
            </c:ext>
          </c:extLst>
        </c:ser>
        <c:ser>
          <c:idx val="4"/>
          <c:order val="4"/>
          <c:tx>
            <c:strRef>
              <c:f>Visualisation!$B$10</c:f>
              <c:strCache>
                <c:ptCount val="1"/>
                <c:pt idx="0">
                  <c:v>Entreposage et stockage </c:v>
                </c:pt>
              </c:strCache>
            </c:strRef>
          </c:tx>
          <c:spPr>
            <a:solidFill>
              <a:srgbClr val="FFDC23">
                <a:lumMod val="75000"/>
              </a:srgbClr>
            </a:solidFill>
            <a:ln>
              <a:noFill/>
            </a:ln>
            <a:effectLst/>
          </c:spPr>
          <c:invertIfNegative val="0"/>
          <c:cat>
            <c:strRef>
              <c:f>Visualisation!$C$5:$D$5</c:f>
              <c:strCache>
                <c:ptCount val="2"/>
                <c:pt idx="0">
                  <c:v>Emploi actuel (ETP)</c:v>
                </c:pt>
                <c:pt idx="1">
                  <c:v>Emploi après transformation (ETP)</c:v>
                </c:pt>
              </c:strCache>
            </c:strRef>
          </c:cat>
          <c:val>
            <c:numRef>
              <c:f>Visualisation!$C$10:$D$10</c:f>
              <c:numCache>
                <c:formatCode>_-* #\ ##0\ _€_-;\-* #\ ##0\ _€_-;_-* "-"??\ _€_-;_-@_-</c:formatCode>
                <c:ptCount val="2"/>
                <c:pt idx="0">
                  <c:v>28859</c:v>
                </c:pt>
                <c:pt idx="1">
                  <c:v>28859</c:v>
                </c:pt>
              </c:numCache>
            </c:numRef>
          </c:val>
          <c:extLst>
            <c:ext xmlns:c16="http://schemas.microsoft.com/office/drawing/2014/chart" uri="{C3380CC4-5D6E-409C-BE32-E72D297353CC}">
              <c16:uniqueId val="{00000005-CC5D-4CE7-BC89-6E37ABA06168}"/>
            </c:ext>
          </c:extLst>
        </c:ser>
        <c:ser>
          <c:idx val="5"/>
          <c:order val="5"/>
          <c:tx>
            <c:strRef>
              <c:f>Visualisation!$B$11</c:f>
              <c:strCache>
                <c:ptCount val="1"/>
                <c:pt idx="0">
                  <c:v>Services auxiliaires des transports terrestres (exploitation des infrastructures et terminaux)</c:v>
                </c:pt>
              </c:strCache>
            </c:strRef>
          </c:tx>
          <c:spPr>
            <a:solidFill>
              <a:srgbClr val="FFDC23"/>
            </a:solidFill>
            <a:ln>
              <a:noFill/>
            </a:ln>
            <a:effectLst/>
          </c:spPr>
          <c:invertIfNegative val="0"/>
          <c:cat>
            <c:strRef>
              <c:f>Visualisation!$C$5:$D$5</c:f>
              <c:strCache>
                <c:ptCount val="2"/>
                <c:pt idx="0">
                  <c:v>Emploi actuel (ETP)</c:v>
                </c:pt>
                <c:pt idx="1">
                  <c:v>Emploi après transformation (ETP)</c:v>
                </c:pt>
              </c:strCache>
            </c:strRef>
          </c:cat>
          <c:val>
            <c:numRef>
              <c:f>Visualisation!$C$11:$D$11</c:f>
              <c:numCache>
                <c:formatCode>_-* #\ ##0\ _€_-;\-* #\ ##0\ _€_-;_-* "-"??\ _€_-;_-@_-</c:formatCode>
                <c:ptCount val="2"/>
                <c:pt idx="0">
                  <c:v>19274</c:v>
                </c:pt>
                <c:pt idx="1">
                  <c:v>19274</c:v>
                </c:pt>
              </c:numCache>
            </c:numRef>
          </c:val>
          <c:extLst>
            <c:ext xmlns:c16="http://schemas.microsoft.com/office/drawing/2014/chart" uri="{C3380CC4-5D6E-409C-BE32-E72D297353CC}">
              <c16:uniqueId val="{00000006-CC5D-4CE7-BC89-6E37ABA06168}"/>
            </c:ext>
          </c:extLst>
        </c:ser>
        <c:ser>
          <c:idx val="6"/>
          <c:order val="6"/>
          <c:tx>
            <c:strRef>
              <c:f>Visualisation!$B$12</c:f>
              <c:strCache>
                <c:ptCount val="1"/>
                <c:pt idx="0">
                  <c:v>Manutention non portuaire (chargement et déchargement de marchandises lors des ruptures de charge)</c:v>
                </c:pt>
              </c:strCache>
            </c:strRef>
          </c:tx>
          <c:spPr>
            <a:solidFill>
              <a:srgbClr val="FFDC23">
                <a:lumMod val="40000"/>
                <a:lumOff val="60000"/>
              </a:srgbClr>
            </a:solidFill>
            <a:ln>
              <a:noFill/>
            </a:ln>
            <a:effectLst/>
          </c:spPr>
          <c:invertIfNegative val="0"/>
          <c:cat>
            <c:strRef>
              <c:f>Visualisation!$C$5:$D$5</c:f>
              <c:strCache>
                <c:ptCount val="2"/>
                <c:pt idx="0">
                  <c:v>Emploi actuel (ETP)</c:v>
                </c:pt>
                <c:pt idx="1">
                  <c:v>Emploi après transformation (ETP)</c:v>
                </c:pt>
              </c:strCache>
            </c:strRef>
          </c:cat>
          <c:val>
            <c:numRef>
              <c:f>Visualisation!$C$12:$D$12</c:f>
              <c:numCache>
                <c:formatCode>_-* #\ ##0\ _€_-;\-* #\ ##0\ _€_-;_-* "-"??\ _€_-;_-@_-</c:formatCode>
                <c:ptCount val="2"/>
                <c:pt idx="0">
                  <c:v>3924</c:v>
                </c:pt>
                <c:pt idx="1">
                  <c:v>3924</c:v>
                </c:pt>
              </c:numCache>
            </c:numRef>
          </c:val>
          <c:extLst>
            <c:ext xmlns:c16="http://schemas.microsoft.com/office/drawing/2014/chart" uri="{C3380CC4-5D6E-409C-BE32-E72D297353CC}">
              <c16:uniqueId val="{00000007-CC5D-4CE7-BC89-6E37ABA06168}"/>
            </c:ext>
          </c:extLst>
        </c:ser>
        <c:ser>
          <c:idx val="7"/>
          <c:order val="7"/>
          <c:tx>
            <c:strRef>
              <c:f>Visualisation!$B$13</c:f>
              <c:strCache>
                <c:ptCount val="1"/>
                <c:pt idx="0">
                  <c:v>Autres services auxiliaires des transports (messagerie, fret express, affrètement et organisation des transports)</c:v>
                </c:pt>
              </c:strCache>
            </c:strRef>
          </c:tx>
          <c:spPr>
            <a:solidFill>
              <a:srgbClr val="FAB758"/>
            </a:solidFill>
            <a:ln>
              <a:noFill/>
            </a:ln>
            <a:effectLst/>
          </c:spPr>
          <c:invertIfNegative val="0"/>
          <c:cat>
            <c:strRef>
              <c:f>Visualisation!$C$5:$D$5</c:f>
              <c:strCache>
                <c:ptCount val="2"/>
                <c:pt idx="0">
                  <c:v>Emploi actuel (ETP)</c:v>
                </c:pt>
                <c:pt idx="1">
                  <c:v>Emploi après transformation (ETP)</c:v>
                </c:pt>
              </c:strCache>
            </c:strRef>
          </c:cat>
          <c:val>
            <c:numRef>
              <c:f>Visualisation!$C$13:$D$13</c:f>
              <c:numCache>
                <c:formatCode>_-* #\ ##0\ _€_-;\-* #\ ##0\ _€_-;_-* "-"??\ _€_-;_-@_-</c:formatCode>
                <c:ptCount val="2"/>
                <c:pt idx="0">
                  <c:v>103534</c:v>
                </c:pt>
                <c:pt idx="1">
                  <c:v>74303.557209815277</c:v>
                </c:pt>
              </c:numCache>
            </c:numRef>
          </c:val>
          <c:extLst>
            <c:ext xmlns:c16="http://schemas.microsoft.com/office/drawing/2014/chart" uri="{C3380CC4-5D6E-409C-BE32-E72D297353CC}">
              <c16:uniqueId val="{00000008-CC5D-4CE7-BC89-6E37ABA06168}"/>
            </c:ext>
          </c:extLst>
        </c:ser>
        <c:dLbls>
          <c:showLegendKey val="0"/>
          <c:showVal val="0"/>
          <c:showCatName val="0"/>
          <c:showSerName val="0"/>
          <c:showPercent val="0"/>
          <c:showBubbleSize val="0"/>
        </c:dLbls>
        <c:gapWidth val="150"/>
        <c:overlap val="100"/>
        <c:axId val="189641535"/>
        <c:axId val="189642783"/>
      </c:barChart>
      <c:catAx>
        <c:axId val="1896415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189642783"/>
        <c:crosses val="autoZero"/>
        <c:auto val="1"/>
        <c:lblAlgn val="ctr"/>
        <c:lblOffset val="100"/>
        <c:noMultiLvlLbl val="0"/>
      </c:catAx>
      <c:valAx>
        <c:axId val="189642783"/>
        <c:scaling>
          <c:orientation val="minMax"/>
        </c:scaling>
        <c:delete val="0"/>
        <c:axPos val="l"/>
        <c:majorGridlines>
          <c:spPr>
            <a:ln w="9525" cap="flat" cmpd="sng" algn="ctr">
              <a:solidFill>
                <a:schemeClr val="tx1">
                  <a:lumMod val="15000"/>
                  <a:lumOff val="85000"/>
                </a:schemeClr>
              </a:solidFill>
              <a:round/>
            </a:ln>
            <a:effectLst/>
          </c:spPr>
        </c:majorGridlines>
        <c:numFmt formatCode="_-* #\ ##0\ _€_-;\-* #\ ##0\ _€_-;_-* &quot;-&quot;??\ _€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189641535"/>
        <c:crosses val="autoZero"/>
        <c:crossBetween val="between"/>
      </c:valAx>
      <c:spPr>
        <a:noFill/>
        <a:ln>
          <a:noFill/>
        </a:ln>
        <a:effectLst/>
      </c:spPr>
    </c:plotArea>
    <c:legend>
      <c:legendPos val="r"/>
      <c:layout>
        <c:manualLayout>
          <c:xMode val="edge"/>
          <c:yMode val="edge"/>
          <c:x val="0.58930570474606192"/>
          <c:y val="7.9612818561533072E-2"/>
          <c:w val="0.40056017081643924"/>
          <c:h val="0.8908270060620736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460819688665072"/>
          <c:y val="4.6074756096967068E-2"/>
          <c:w val="0.81661535425129372"/>
          <c:h val="0.68737037209405849"/>
        </c:manualLayout>
      </c:layout>
      <c:lineChart>
        <c:grouping val="standard"/>
        <c:varyColors val="0"/>
        <c:ser>
          <c:idx val="0"/>
          <c:order val="0"/>
          <c:tx>
            <c:strRef>
              <c:f>Visualisation!$B$26</c:f>
              <c:strCache>
                <c:ptCount val="1"/>
                <c:pt idx="0">
                  <c:v>Transports ferroviaires de fret</c:v>
                </c:pt>
              </c:strCache>
            </c:strRef>
          </c:tx>
          <c:spPr>
            <a:ln w="28575" cap="rnd">
              <a:solidFill>
                <a:schemeClr val="accent1"/>
              </a:solidFill>
              <a:round/>
            </a:ln>
            <a:effectLst/>
          </c:spPr>
          <c:marker>
            <c:symbol val="none"/>
          </c:marker>
          <c:cat>
            <c:numRef>
              <c:f>Visualisation!$C$25:$AE$25</c:f>
              <c:numCache>
                <c:formatCode>General</c:formatCode>
                <c:ptCount val="29"/>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pt idx="24">
                  <c:v>2046</c:v>
                </c:pt>
                <c:pt idx="25">
                  <c:v>2047</c:v>
                </c:pt>
                <c:pt idx="26">
                  <c:v>2048</c:v>
                </c:pt>
                <c:pt idx="27">
                  <c:v>2049</c:v>
                </c:pt>
                <c:pt idx="28">
                  <c:v>2050</c:v>
                </c:pt>
              </c:numCache>
            </c:numRef>
          </c:cat>
          <c:val>
            <c:numRef>
              <c:f>Visualisation!$C$26:$AE$26</c:f>
              <c:numCache>
                <c:formatCode>_-* #\ ##0\ _€_-;\-* #\ ##0\ _€_-;_-* "-"??\ _€_-;_-@_-</c:formatCode>
                <c:ptCount val="29"/>
                <c:pt idx="0">
                  <c:v>10866</c:v>
                </c:pt>
                <c:pt idx="1">
                  <c:v>12064.552727272727</c:v>
                </c:pt>
                <c:pt idx="2">
                  <c:v>13263.105454545454</c:v>
                </c:pt>
                <c:pt idx="3">
                  <c:v>14461.65818181818</c:v>
                </c:pt>
                <c:pt idx="4">
                  <c:v>15660.210909090907</c:v>
                </c:pt>
                <c:pt idx="5">
                  <c:v>16858.763636363637</c:v>
                </c:pt>
                <c:pt idx="6">
                  <c:v>17042.011067193678</c:v>
                </c:pt>
                <c:pt idx="7">
                  <c:v>17225.258498023719</c:v>
                </c:pt>
                <c:pt idx="8">
                  <c:v>17408.50592885376</c:v>
                </c:pt>
                <c:pt idx="9">
                  <c:v>17591.7533596838</c:v>
                </c:pt>
                <c:pt idx="10">
                  <c:v>17775.000790513841</c:v>
                </c:pt>
                <c:pt idx="11">
                  <c:v>17958.248221343882</c:v>
                </c:pt>
                <c:pt idx="12">
                  <c:v>18141.495652173922</c:v>
                </c:pt>
                <c:pt idx="13">
                  <c:v>18324.743083003963</c:v>
                </c:pt>
                <c:pt idx="14">
                  <c:v>18507.990513834004</c:v>
                </c:pt>
                <c:pt idx="15">
                  <c:v>18691.237944664044</c:v>
                </c:pt>
                <c:pt idx="16">
                  <c:v>18874.485375494085</c:v>
                </c:pt>
                <c:pt idx="17">
                  <c:v>19057.732806324126</c:v>
                </c:pt>
                <c:pt idx="18">
                  <c:v>19240.980237154166</c:v>
                </c:pt>
                <c:pt idx="19">
                  <c:v>19424.227667984207</c:v>
                </c:pt>
                <c:pt idx="20">
                  <c:v>19607.475098814248</c:v>
                </c:pt>
                <c:pt idx="21">
                  <c:v>19790.722529644288</c:v>
                </c:pt>
                <c:pt idx="22">
                  <c:v>19973.969960474329</c:v>
                </c:pt>
                <c:pt idx="23">
                  <c:v>20157.21739130437</c:v>
                </c:pt>
                <c:pt idx="24">
                  <c:v>20340.46482213441</c:v>
                </c:pt>
                <c:pt idx="25">
                  <c:v>20523.712252964451</c:v>
                </c:pt>
                <c:pt idx="26">
                  <c:v>20706.959683794492</c:v>
                </c:pt>
                <c:pt idx="27">
                  <c:v>20890.207114624533</c:v>
                </c:pt>
                <c:pt idx="28">
                  <c:v>21073.454545454548</c:v>
                </c:pt>
              </c:numCache>
            </c:numRef>
          </c:val>
          <c:smooth val="0"/>
          <c:extLst>
            <c:ext xmlns:c16="http://schemas.microsoft.com/office/drawing/2014/chart" uri="{C3380CC4-5D6E-409C-BE32-E72D297353CC}">
              <c16:uniqueId val="{00000000-F63D-492D-AC8E-2566442BC877}"/>
            </c:ext>
          </c:extLst>
        </c:ser>
        <c:ser>
          <c:idx val="1"/>
          <c:order val="1"/>
          <c:tx>
            <c:strRef>
              <c:f>Visualisation!$B$27</c:f>
              <c:strCache>
                <c:ptCount val="1"/>
                <c:pt idx="0">
                  <c:v>Transports routiers de fret </c:v>
                </c:pt>
              </c:strCache>
            </c:strRef>
          </c:tx>
          <c:spPr>
            <a:ln w="28575" cap="rnd">
              <a:solidFill>
                <a:schemeClr val="accent2"/>
              </a:solidFill>
              <a:round/>
            </a:ln>
            <a:effectLst/>
          </c:spPr>
          <c:marker>
            <c:symbol val="none"/>
          </c:marker>
          <c:cat>
            <c:numRef>
              <c:f>Visualisation!$C$25:$AE$25</c:f>
              <c:numCache>
                <c:formatCode>General</c:formatCode>
                <c:ptCount val="29"/>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pt idx="24">
                  <c:v>2046</c:v>
                </c:pt>
                <c:pt idx="25">
                  <c:v>2047</c:v>
                </c:pt>
                <c:pt idx="26">
                  <c:v>2048</c:v>
                </c:pt>
                <c:pt idx="27">
                  <c:v>2049</c:v>
                </c:pt>
                <c:pt idx="28">
                  <c:v>2050</c:v>
                </c:pt>
              </c:numCache>
            </c:numRef>
          </c:cat>
          <c:val>
            <c:numRef>
              <c:f>Visualisation!$C$27:$AE$27</c:f>
              <c:numCache>
                <c:formatCode>_-* #\ ##0\ _€_-;\-* #\ ##0\ _€_-;_-* "-"??\ _€_-;_-@_-</c:formatCode>
                <c:ptCount val="29"/>
                <c:pt idx="0">
                  <c:v>299948</c:v>
                </c:pt>
                <c:pt idx="1">
                  <c:v>292808.4539912917</c:v>
                </c:pt>
                <c:pt idx="2">
                  <c:v>285668.90798258339</c:v>
                </c:pt>
                <c:pt idx="3">
                  <c:v>278529.36197387509</c:v>
                </c:pt>
                <c:pt idx="4">
                  <c:v>271389.81596516678</c:v>
                </c:pt>
                <c:pt idx="5">
                  <c:v>264250.26995645859</c:v>
                </c:pt>
                <c:pt idx="6">
                  <c:v>259726.53852464186</c:v>
                </c:pt>
                <c:pt idx="7">
                  <c:v>255202.80709282513</c:v>
                </c:pt>
                <c:pt idx="8">
                  <c:v>250679.07566100839</c:v>
                </c:pt>
                <c:pt idx="9">
                  <c:v>246155.34422919166</c:v>
                </c:pt>
                <c:pt idx="10">
                  <c:v>241631.61279737492</c:v>
                </c:pt>
                <c:pt idx="11">
                  <c:v>237107.88136555819</c:v>
                </c:pt>
                <c:pt idx="12">
                  <c:v>232584.14993374146</c:v>
                </c:pt>
                <c:pt idx="13">
                  <c:v>228060.41850192472</c:v>
                </c:pt>
                <c:pt idx="14">
                  <c:v>223536.68707010799</c:v>
                </c:pt>
                <c:pt idx="15">
                  <c:v>219012.95563829126</c:v>
                </c:pt>
                <c:pt idx="16">
                  <c:v>214489.22420647452</c:v>
                </c:pt>
                <c:pt idx="17">
                  <c:v>209965.49277465779</c:v>
                </c:pt>
                <c:pt idx="18">
                  <c:v>205441.76134284106</c:v>
                </c:pt>
                <c:pt idx="19">
                  <c:v>200918.02991102432</c:v>
                </c:pt>
                <c:pt idx="20">
                  <c:v>196394.29847920759</c:v>
                </c:pt>
                <c:pt idx="21">
                  <c:v>191870.56704739085</c:v>
                </c:pt>
                <c:pt idx="22">
                  <c:v>187346.83561557412</c:v>
                </c:pt>
                <c:pt idx="23">
                  <c:v>182823.10418375739</c:v>
                </c:pt>
                <c:pt idx="24">
                  <c:v>178299.37275194065</c:v>
                </c:pt>
                <c:pt idx="25">
                  <c:v>173775.64132012392</c:v>
                </c:pt>
                <c:pt idx="26">
                  <c:v>169251.90988830719</c:v>
                </c:pt>
                <c:pt idx="27">
                  <c:v>164728.17845649045</c:v>
                </c:pt>
                <c:pt idx="28">
                  <c:v>160204.44702467343</c:v>
                </c:pt>
              </c:numCache>
            </c:numRef>
          </c:val>
          <c:smooth val="0"/>
          <c:extLst>
            <c:ext xmlns:c16="http://schemas.microsoft.com/office/drawing/2014/chart" uri="{C3380CC4-5D6E-409C-BE32-E72D297353CC}">
              <c16:uniqueId val="{00000001-F63D-492D-AC8E-2566442BC877}"/>
            </c:ext>
          </c:extLst>
        </c:ser>
        <c:ser>
          <c:idx val="2"/>
          <c:order val="2"/>
          <c:tx>
            <c:strRef>
              <c:f>Visualisation!$B$28</c:f>
              <c:strCache>
                <c:ptCount val="1"/>
                <c:pt idx="0">
                  <c:v>Cyclologistique</c:v>
                </c:pt>
              </c:strCache>
            </c:strRef>
          </c:tx>
          <c:spPr>
            <a:ln w="28575" cap="rnd">
              <a:solidFill>
                <a:schemeClr val="accent3"/>
              </a:solidFill>
              <a:round/>
            </a:ln>
            <a:effectLst/>
          </c:spPr>
          <c:marker>
            <c:symbol val="none"/>
          </c:marker>
          <c:cat>
            <c:numRef>
              <c:f>Visualisation!$C$25:$AE$25</c:f>
              <c:numCache>
                <c:formatCode>General</c:formatCode>
                <c:ptCount val="29"/>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pt idx="24">
                  <c:v>2046</c:v>
                </c:pt>
                <c:pt idx="25">
                  <c:v>2047</c:v>
                </c:pt>
                <c:pt idx="26">
                  <c:v>2048</c:v>
                </c:pt>
                <c:pt idx="27">
                  <c:v>2049</c:v>
                </c:pt>
                <c:pt idx="28">
                  <c:v>2050</c:v>
                </c:pt>
              </c:numCache>
            </c:numRef>
          </c:cat>
          <c:val>
            <c:numRef>
              <c:f>Visualisation!$C$28:$AE$28</c:f>
              <c:numCache>
                <c:formatCode>_-* #\ ##0\ _€_-;\-* #\ ##0\ _€_-;_-* "-"??\ _€_-;_-@_-</c:formatCode>
                <c:ptCount val="29"/>
                <c:pt idx="0">
                  <c:v>0</c:v>
                </c:pt>
                <c:pt idx="1">
                  <c:v>14731.537119596818</c:v>
                </c:pt>
                <c:pt idx="2">
                  <c:v>29463.074239193636</c:v>
                </c:pt>
                <c:pt idx="3">
                  <c:v>44194.611358790455</c:v>
                </c:pt>
                <c:pt idx="4">
                  <c:v>58926.148478387273</c:v>
                </c:pt>
                <c:pt idx="5">
                  <c:v>73657.685597984091</c:v>
                </c:pt>
                <c:pt idx="6">
                  <c:v>74690.07306774988</c:v>
                </c:pt>
                <c:pt idx="7">
                  <c:v>75722.460537515668</c:v>
                </c:pt>
                <c:pt idx="8">
                  <c:v>76754.848007281456</c:v>
                </c:pt>
                <c:pt idx="9">
                  <c:v>77787.235477047245</c:v>
                </c:pt>
                <c:pt idx="10">
                  <c:v>78819.622946813033</c:v>
                </c:pt>
                <c:pt idx="11">
                  <c:v>79852.010416578822</c:v>
                </c:pt>
                <c:pt idx="12">
                  <c:v>80884.39788634461</c:v>
                </c:pt>
                <c:pt idx="13">
                  <c:v>81916.785356110398</c:v>
                </c:pt>
                <c:pt idx="14">
                  <c:v>82949.172825876187</c:v>
                </c:pt>
                <c:pt idx="15">
                  <c:v>83981.560295641975</c:v>
                </c:pt>
                <c:pt idx="16">
                  <c:v>85013.947765407764</c:v>
                </c:pt>
                <c:pt idx="17">
                  <c:v>86046.335235173552</c:v>
                </c:pt>
                <c:pt idx="18">
                  <c:v>87078.72270493934</c:v>
                </c:pt>
                <c:pt idx="19">
                  <c:v>88111.110174705129</c:v>
                </c:pt>
                <c:pt idx="20">
                  <c:v>89143.497644470917</c:v>
                </c:pt>
                <c:pt idx="21">
                  <c:v>90175.885114236706</c:v>
                </c:pt>
                <c:pt idx="22">
                  <c:v>91208.272584002494</c:v>
                </c:pt>
                <c:pt idx="23">
                  <c:v>92240.660053768283</c:v>
                </c:pt>
                <c:pt idx="24">
                  <c:v>93273.047523534071</c:v>
                </c:pt>
                <c:pt idx="25">
                  <c:v>94305.434993299859</c:v>
                </c:pt>
                <c:pt idx="26">
                  <c:v>95337.822463065648</c:v>
                </c:pt>
                <c:pt idx="27">
                  <c:v>96370.209932831436</c:v>
                </c:pt>
                <c:pt idx="28">
                  <c:v>97402.597402597385</c:v>
                </c:pt>
              </c:numCache>
            </c:numRef>
          </c:val>
          <c:smooth val="0"/>
          <c:extLst>
            <c:ext xmlns:c16="http://schemas.microsoft.com/office/drawing/2014/chart" uri="{C3380CC4-5D6E-409C-BE32-E72D297353CC}">
              <c16:uniqueId val="{00000002-F63D-492D-AC8E-2566442BC877}"/>
            </c:ext>
          </c:extLst>
        </c:ser>
        <c:ser>
          <c:idx val="3"/>
          <c:order val="3"/>
          <c:tx>
            <c:strRef>
              <c:f>Visualisation!$B$29</c:f>
              <c:strCache>
                <c:ptCount val="1"/>
                <c:pt idx="0">
                  <c:v>Transports fluviaux de fret</c:v>
                </c:pt>
              </c:strCache>
            </c:strRef>
          </c:tx>
          <c:spPr>
            <a:ln w="28575" cap="rnd">
              <a:solidFill>
                <a:schemeClr val="accent4"/>
              </a:solidFill>
              <a:round/>
            </a:ln>
            <a:effectLst/>
          </c:spPr>
          <c:marker>
            <c:symbol val="none"/>
          </c:marker>
          <c:cat>
            <c:numRef>
              <c:f>Visualisation!$C$25:$AE$25</c:f>
              <c:numCache>
                <c:formatCode>General</c:formatCode>
                <c:ptCount val="29"/>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pt idx="24">
                  <c:v>2046</c:v>
                </c:pt>
                <c:pt idx="25">
                  <c:v>2047</c:v>
                </c:pt>
                <c:pt idx="26">
                  <c:v>2048</c:v>
                </c:pt>
                <c:pt idx="27">
                  <c:v>2049</c:v>
                </c:pt>
                <c:pt idx="28">
                  <c:v>2050</c:v>
                </c:pt>
              </c:numCache>
            </c:numRef>
          </c:cat>
          <c:val>
            <c:numRef>
              <c:f>Visualisation!$C$29:$AE$29</c:f>
              <c:numCache>
                <c:formatCode>_-* #\ ##0\ _€_-;\-* #\ ##0\ _€_-;_-* "-"??\ _€_-;_-@_-</c:formatCode>
                <c:ptCount val="29"/>
                <c:pt idx="0">
                  <c:v>1455</c:v>
                </c:pt>
                <c:pt idx="1">
                  <c:v>1793.1891891891892</c:v>
                </c:pt>
                <c:pt idx="2">
                  <c:v>2131.3783783783783</c:v>
                </c:pt>
                <c:pt idx="3">
                  <c:v>2469.5675675675675</c:v>
                </c:pt>
                <c:pt idx="4">
                  <c:v>2807.7567567567567</c:v>
                </c:pt>
                <c:pt idx="5">
                  <c:v>3145.9459459459463</c:v>
                </c:pt>
                <c:pt idx="6">
                  <c:v>3205.7873090481789</c:v>
                </c:pt>
                <c:pt idx="7">
                  <c:v>3265.6286721504116</c:v>
                </c:pt>
                <c:pt idx="8">
                  <c:v>3325.4700352526443</c:v>
                </c:pt>
                <c:pt idx="9">
                  <c:v>3385.3113983548769</c:v>
                </c:pt>
                <c:pt idx="10">
                  <c:v>3445.1527614571096</c:v>
                </c:pt>
                <c:pt idx="11">
                  <c:v>3504.9941245593423</c:v>
                </c:pt>
                <c:pt idx="12">
                  <c:v>3564.8354876615749</c:v>
                </c:pt>
                <c:pt idx="13">
                  <c:v>3624.6768507638076</c:v>
                </c:pt>
                <c:pt idx="14">
                  <c:v>3684.5182138660402</c:v>
                </c:pt>
                <c:pt idx="15">
                  <c:v>3744.3595769682729</c:v>
                </c:pt>
                <c:pt idx="16">
                  <c:v>3804.2009400705056</c:v>
                </c:pt>
                <c:pt idx="17">
                  <c:v>3864.0423031727382</c:v>
                </c:pt>
                <c:pt idx="18">
                  <c:v>3923.8836662749709</c:v>
                </c:pt>
                <c:pt idx="19">
                  <c:v>3983.7250293772036</c:v>
                </c:pt>
                <c:pt idx="20">
                  <c:v>4043.5663924794362</c:v>
                </c:pt>
                <c:pt idx="21">
                  <c:v>4103.4077555816684</c:v>
                </c:pt>
                <c:pt idx="22">
                  <c:v>4163.2491186839006</c:v>
                </c:pt>
                <c:pt idx="23">
                  <c:v>4223.0904817861328</c:v>
                </c:pt>
                <c:pt idx="24">
                  <c:v>4282.931844888365</c:v>
                </c:pt>
                <c:pt idx="25">
                  <c:v>4342.7732079905973</c:v>
                </c:pt>
                <c:pt idx="26">
                  <c:v>4402.6145710928295</c:v>
                </c:pt>
                <c:pt idx="27">
                  <c:v>4462.4559341950617</c:v>
                </c:pt>
                <c:pt idx="28">
                  <c:v>4522.2972972972966</c:v>
                </c:pt>
              </c:numCache>
            </c:numRef>
          </c:val>
          <c:smooth val="0"/>
          <c:extLst>
            <c:ext xmlns:c16="http://schemas.microsoft.com/office/drawing/2014/chart" uri="{C3380CC4-5D6E-409C-BE32-E72D297353CC}">
              <c16:uniqueId val="{00000003-F63D-492D-AC8E-2566442BC877}"/>
            </c:ext>
          </c:extLst>
        </c:ser>
        <c:ser>
          <c:idx val="4"/>
          <c:order val="4"/>
          <c:tx>
            <c:strRef>
              <c:f>Visualisation!$B$30</c:f>
              <c:strCache>
                <c:ptCount val="1"/>
                <c:pt idx="0">
                  <c:v>Services du fret</c:v>
                </c:pt>
              </c:strCache>
            </c:strRef>
          </c:tx>
          <c:spPr>
            <a:ln w="28575" cap="rnd">
              <a:solidFill>
                <a:schemeClr val="accent5"/>
              </a:solidFill>
              <a:round/>
            </a:ln>
            <a:effectLst/>
          </c:spPr>
          <c:marker>
            <c:symbol val="none"/>
          </c:marker>
          <c:cat>
            <c:numRef>
              <c:f>Visualisation!$C$25:$AE$25</c:f>
              <c:numCache>
                <c:formatCode>General</c:formatCode>
                <c:ptCount val="29"/>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pt idx="24">
                  <c:v>2046</c:v>
                </c:pt>
                <c:pt idx="25">
                  <c:v>2047</c:v>
                </c:pt>
                <c:pt idx="26">
                  <c:v>2048</c:v>
                </c:pt>
                <c:pt idx="27">
                  <c:v>2049</c:v>
                </c:pt>
                <c:pt idx="28">
                  <c:v>2050</c:v>
                </c:pt>
              </c:numCache>
            </c:numRef>
          </c:cat>
          <c:val>
            <c:numRef>
              <c:f>Visualisation!$C$30:$AE$30</c:f>
              <c:numCache>
                <c:formatCode>_-* #\ ##0\ _€_-;\-* #\ ##0\ _€_-;_-* "-"??\ _€_-;_-@_-</c:formatCode>
                <c:ptCount val="29"/>
                <c:pt idx="0">
                  <c:v>155591</c:v>
                </c:pt>
                <c:pt idx="1">
                  <c:v>154825.98450510064</c:v>
                </c:pt>
                <c:pt idx="2">
                  <c:v>154060.96901020128</c:v>
                </c:pt>
                <c:pt idx="3">
                  <c:v>153295.95351530192</c:v>
                </c:pt>
                <c:pt idx="4">
                  <c:v>152530.93802040257</c:v>
                </c:pt>
                <c:pt idx="5">
                  <c:v>151765.92252550318</c:v>
                </c:pt>
                <c:pt idx="6">
                  <c:v>150661.34142482109</c:v>
                </c:pt>
                <c:pt idx="7">
                  <c:v>149556.760324139</c:v>
                </c:pt>
                <c:pt idx="8">
                  <c:v>148452.17922345691</c:v>
                </c:pt>
                <c:pt idx="9">
                  <c:v>147347.59812277483</c:v>
                </c:pt>
                <c:pt idx="10">
                  <c:v>146243.01702209274</c:v>
                </c:pt>
                <c:pt idx="11">
                  <c:v>145138.43592141065</c:v>
                </c:pt>
                <c:pt idx="12">
                  <c:v>144033.85482072856</c:v>
                </c:pt>
                <c:pt idx="13">
                  <c:v>142929.27372004648</c:v>
                </c:pt>
                <c:pt idx="14">
                  <c:v>141824.69261936439</c:v>
                </c:pt>
                <c:pt idx="15">
                  <c:v>140720.1115186823</c:v>
                </c:pt>
                <c:pt idx="16">
                  <c:v>139615.53041800021</c:v>
                </c:pt>
                <c:pt idx="17">
                  <c:v>138510.94931731813</c:v>
                </c:pt>
                <c:pt idx="18">
                  <c:v>137406.36821663604</c:v>
                </c:pt>
                <c:pt idx="19">
                  <c:v>136301.78711595395</c:v>
                </c:pt>
                <c:pt idx="20">
                  <c:v>135197.20601527186</c:v>
                </c:pt>
                <c:pt idx="21">
                  <c:v>134092.62491458977</c:v>
                </c:pt>
                <c:pt idx="22">
                  <c:v>132988.04381390769</c:v>
                </c:pt>
                <c:pt idx="23">
                  <c:v>131883.4627132256</c:v>
                </c:pt>
                <c:pt idx="24">
                  <c:v>130778.88161254351</c:v>
                </c:pt>
                <c:pt idx="25">
                  <c:v>129674.30051186142</c:v>
                </c:pt>
                <c:pt idx="26">
                  <c:v>128569.71941117934</c:v>
                </c:pt>
                <c:pt idx="27">
                  <c:v>127465.13831049725</c:v>
                </c:pt>
                <c:pt idx="28">
                  <c:v>126360.55720981528</c:v>
                </c:pt>
              </c:numCache>
            </c:numRef>
          </c:val>
          <c:smooth val="0"/>
          <c:extLst>
            <c:ext xmlns:c16="http://schemas.microsoft.com/office/drawing/2014/chart" uri="{C3380CC4-5D6E-409C-BE32-E72D297353CC}">
              <c16:uniqueId val="{00000004-F63D-492D-AC8E-2566442BC877}"/>
            </c:ext>
          </c:extLst>
        </c:ser>
        <c:dLbls>
          <c:showLegendKey val="0"/>
          <c:showVal val="0"/>
          <c:showCatName val="0"/>
          <c:showSerName val="0"/>
          <c:showPercent val="0"/>
          <c:showBubbleSize val="0"/>
        </c:dLbls>
        <c:smooth val="0"/>
        <c:axId val="913355872"/>
        <c:axId val="913349344"/>
      </c:lineChart>
      <c:catAx>
        <c:axId val="913355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13349344"/>
        <c:crosses val="autoZero"/>
        <c:auto val="1"/>
        <c:lblAlgn val="ctr"/>
        <c:lblOffset val="100"/>
        <c:tickLblSkip val="5"/>
        <c:noMultiLvlLbl val="0"/>
      </c:catAx>
      <c:valAx>
        <c:axId val="913349344"/>
        <c:scaling>
          <c:orientation val="minMax"/>
          <c:max val="300000"/>
        </c:scaling>
        <c:delete val="0"/>
        <c:axPos val="l"/>
        <c:majorGridlines>
          <c:spPr>
            <a:ln w="9525" cap="flat" cmpd="sng" algn="ctr">
              <a:solidFill>
                <a:schemeClr val="tx1">
                  <a:lumMod val="15000"/>
                  <a:lumOff val="85000"/>
                </a:schemeClr>
              </a:solidFill>
              <a:round/>
            </a:ln>
            <a:effectLst/>
          </c:spPr>
        </c:majorGridlines>
        <c:numFmt formatCode="_-* #\ ##0\ _€_-;\-* #\ ##0\ _€_-;_-* &quot;-&quot;??\ _€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13355872"/>
        <c:crosses val="autoZero"/>
        <c:crossBetween val="between"/>
      </c:valAx>
      <c:spPr>
        <a:noFill/>
        <a:ln>
          <a:noFill/>
        </a:ln>
        <a:effectLst/>
      </c:spPr>
    </c:plotArea>
    <c:legend>
      <c:legendPos val="b"/>
      <c:layout>
        <c:manualLayout>
          <c:xMode val="edge"/>
          <c:yMode val="edge"/>
          <c:x val="6.8358044659633202E-2"/>
          <c:y val="0.81496773593037675"/>
          <c:w val="0.80435419825435617"/>
          <c:h val="0.1659540715050292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686423</xdr:colOff>
      <xdr:row>3</xdr:row>
      <xdr:rowOff>114249</xdr:rowOff>
    </xdr:from>
    <xdr:to>
      <xdr:col>15</xdr:col>
      <xdr:colOff>268626</xdr:colOff>
      <xdr:row>20</xdr:row>
      <xdr:rowOff>140533</xdr:rowOff>
    </xdr:to>
    <xdr:graphicFrame macro="">
      <xdr:nvGraphicFramePr>
        <xdr:cNvPr id="2" name="Graphique 1">
          <a:extLst>
            <a:ext uri="{FF2B5EF4-FFF2-40B4-BE49-F238E27FC236}">
              <a16:creationId xmlns:a16="http://schemas.microsoft.com/office/drawing/2014/main" id="{56CCE08C-B109-4666-A404-6D84411B620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369505</xdr:colOff>
      <xdr:row>32</xdr:row>
      <xdr:rowOff>54304</xdr:rowOff>
    </xdr:from>
    <xdr:to>
      <xdr:col>4</xdr:col>
      <xdr:colOff>437714</xdr:colOff>
      <xdr:row>50</xdr:row>
      <xdr:rowOff>67693</xdr:rowOff>
    </xdr:to>
    <xdr:graphicFrame macro="">
      <xdr:nvGraphicFramePr>
        <xdr:cNvPr id="4" name="Graphique 3">
          <a:extLst>
            <a:ext uri="{FF2B5EF4-FFF2-40B4-BE49-F238E27FC236}">
              <a16:creationId xmlns:a16="http://schemas.microsoft.com/office/drawing/2014/main" id="{7B1479B3-5456-4694-A7A1-BBA901EF58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hème Office">
  <a:themeElements>
    <a:clrScheme name="TSP">
      <a:dk1>
        <a:srgbClr val="000000"/>
      </a:dk1>
      <a:lt1>
        <a:srgbClr val="FFFFFF"/>
      </a:lt1>
      <a:dk2>
        <a:srgbClr val="00005A"/>
      </a:dk2>
      <a:lt2>
        <a:srgbClr val="FFFFFF"/>
      </a:lt2>
      <a:accent1>
        <a:srgbClr val="00005A"/>
      </a:accent1>
      <a:accent2>
        <a:srgbClr val="FF8200"/>
      </a:accent2>
      <a:accent3>
        <a:srgbClr val="FAB758"/>
      </a:accent3>
      <a:accent4>
        <a:srgbClr val="FFDC23"/>
      </a:accent4>
      <a:accent5>
        <a:srgbClr val="00CAFE"/>
      </a:accent5>
      <a:accent6>
        <a:srgbClr val="0028DC"/>
      </a:accent6>
      <a:hlink>
        <a:srgbClr val="FF8200"/>
      </a:hlink>
      <a:folHlink>
        <a:srgbClr val="FF820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TSP">
    <a:dk1>
      <a:srgbClr val="000000"/>
    </a:dk1>
    <a:lt1>
      <a:srgbClr val="FFFFFF"/>
    </a:lt1>
    <a:dk2>
      <a:srgbClr val="00005A"/>
    </a:dk2>
    <a:lt2>
      <a:srgbClr val="FFFFFF"/>
    </a:lt2>
    <a:accent1>
      <a:srgbClr val="00005A"/>
    </a:accent1>
    <a:accent2>
      <a:srgbClr val="FF8200"/>
    </a:accent2>
    <a:accent3>
      <a:srgbClr val="FAB758"/>
    </a:accent3>
    <a:accent4>
      <a:srgbClr val="FFDC23"/>
    </a:accent4>
    <a:accent5>
      <a:srgbClr val="00CAFE"/>
    </a:accent5>
    <a:accent6>
      <a:srgbClr val="0028DC"/>
    </a:accent6>
    <a:hlink>
      <a:srgbClr val="FF8200"/>
    </a:hlink>
    <a:folHlink>
      <a:srgbClr val="FF820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83DE8-E6E5-4066-9E25-3BB407B3D1D2}">
  <dimension ref="A1:J25"/>
  <sheetViews>
    <sheetView tabSelected="1" zoomScale="82" zoomScaleNormal="124" workbookViewId="0">
      <selection activeCell="A7" sqref="A7"/>
    </sheetView>
  </sheetViews>
  <sheetFormatPr baseColWidth="10" defaultColWidth="10.81640625" defaultRowHeight="12.5" x14ac:dyDescent="0.25"/>
  <cols>
    <col min="1" max="1" width="19.7265625" style="2" customWidth="1"/>
    <col min="2" max="2" width="38.81640625" style="2" customWidth="1"/>
    <col min="3" max="16384" width="10.81640625" style="2"/>
  </cols>
  <sheetData>
    <row r="1" spans="1:10" ht="14" x14ac:dyDescent="0.3">
      <c r="A1" s="1" t="s">
        <v>0</v>
      </c>
      <c r="B1" s="1" t="s">
        <v>1</v>
      </c>
      <c r="C1" s="3"/>
      <c r="D1" s="3"/>
      <c r="E1" s="3"/>
      <c r="F1" s="3"/>
      <c r="G1" s="3"/>
      <c r="H1" s="3"/>
      <c r="I1" s="3"/>
      <c r="J1" s="3"/>
    </row>
    <row r="2" spans="1:10" x14ac:dyDescent="0.25">
      <c r="A2" s="7"/>
      <c r="B2" s="2" t="s">
        <v>2</v>
      </c>
    </row>
    <row r="3" spans="1:10" x14ac:dyDescent="0.25">
      <c r="A3" s="11"/>
      <c r="B3" s="2" t="s">
        <v>3</v>
      </c>
    </row>
    <row r="4" spans="1:10" x14ac:dyDescent="0.25">
      <c r="A4" s="58"/>
      <c r="B4" s="2" t="s">
        <v>4</v>
      </c>
    </row>
    <row r="5" spans="1:10" x14ac:dyDescent="0.25">
      <c r="A5" s="59"/>
      <c r="B5" s="2" t="s">
        <v>5</v>
      </c>
    </row>
    <row r="6" spans="1:10" x14ac:dyDescent="0.25">
      <c r="A6" s="4"/>
      <c r="B6" s="2" t="s">
        <v>6</v>
      </c>
    </row>
    <row r="8" spans="1:10" ht="14" x14ac:dyDescent="0.3">
      <c r="A8" s="1" t="s">
        <v>7</v>
      </c>
      <c r="B8" s="3"/>
      <c r="C8" s="3"/>
      <c r="D8" s="3"/>
      <c r="E8" s="3"/>
      <c r="F8" s="3"/>
      <c r="G8" s="3"/>
      <c r="H8" s="3"/>
      <c r="I8" s="3"/>
      <c r="J8" s="3"/>
    </row>
    <row r="9" spans="1:10" x14ac:dyDescent="0.25">
      <c r="A9" s="2" t="s">
        <v>8</v>
      </c>
    </row>
    <row r="10" spans="1:10" x14ac:dyDescent="0.25">
      <c r="A10" s="2" t="s">
        <v>9</v>
      </c>
    </row>
    <row r="12" spans="1:10" ht="14" x14ac:dyDescent="0.3">
      <c r="A12" s="1" t="s">
        <v>10</v>
      </c>
      <c r="B12" s="3"/>
      <c r="C12" s="3"/>
      <c r="D12" s="3"/>
      <c r="E12" s="3"/>
      <c r="F12" s="3"/>
      <c r="G12" s="3"/>
      <c r="H12" s="3"/>
      <c r="I12" s="3"/>
      <c r="J12" s="3"/>
    </row>
    <row r="13" spans="1:10" ht="13" x14ac:dyDescent="0.3">
      <c r="A13" s="2" t="s">
        <v>11</v>
      </c>
    </row>
    <row r="14" spans="1:10" ht="13" x14ac:dyDescent="0.3">
      <c r="A14" s="2" t="s">
        <v>12</v>
      </c>
    </row>
    <row r="15" spans="1:10" ht="13" x14ac:dyDescent="0.3">
      <c r="A15" s="2" t="s">
        <v>13</v>
      </c>
    </row>
    <row r="16" spans="1:10" ht="13" x14ac:dyDescent="0.3">
      <c r="A16" s="2" t="s">
        <v>14</v>
      </c>
    </row>
    <row r="18" spans="1:10" ht="14" x14ac:dyDescent="0.3">
      <c r="A18" s="1" t="s">
        <v>15</v>
      </c>
      <c r="B18" s="3"/>
      <c r="C18" s="3"/>
      <c r="D18" s="3"/>
      <c r="E18" s="3"/>
      <c r="F18" s="3"/>
      <c r="G18" s="3"/>
      <c r="H18" s="3"/>
      <c r="I18" s="3"/>
      <c r="J18" s="3"/>
    </row>
    <row r="19" spans="1:10" x14ac:dyDescent="0.25">
      <c r="A19" s="2" t="s">
        <v>16</v>
      </c>
    </row>
    <row r="20" spans="1:10" x14ac:dyDescent="0.25">
      <c r="A20" s="2" t="s">
        <v>17</v>
      </c>
    </row>
    <row r="21" spans="1:10" x14ac:dyDescent="0.25">
      <c r="A21" s="2" t="s">
        <v>18</v>
      </c>
    </row>
    <row r="23" spans="1:10" ht="14" x14ac:dyDescent="0.3">
      <c r="A23" s="1" t="s">
        <v>19</v>
      </c>
      <c r="B23" s="1"/>
      <c r="C23" s="3"/>
      <c r="D23" s="3"/>
      <c r="E23" s="3"/>
      <c r="F23" s="3"/>
      <c r="G23" s="3"/>
      <c r="H23" s="3"/>
      <c r="I23" s="3"/>
      <c r="J23" s="3"/>
    </row>
    <row r="24" spans="1:10" ht="45.65" customHeight="1" x14ac:dyDescent="0.25">
      <c r="A24" s="127" t="s">
        <v>20</v>
      </c>
      <c r="B24" s="127"/>
      <c r="C24" s="127"/>
      <c r="D24" s="127"/>
      <c r="E24" s="127"/>
      <c r="F24" s="127"/>
      <c r="G24" s="127"/>
      <c r="H24" s="127"/>
      <c r="I24" s="127"/>
      <c r="J24" s="127"/>
    </row>
    <row r="25" spans="1:10" ht="18" customHeight="1" x14ac:dyDescent="0.25">
      <c r="A25" s="127" t="s">
        <v>21</v>
      </c>
      <c r="B25" s="127"/>
      <c r="C25" s="127"/>
      <c r="D25" s="127"/>
      <c r="E25" s="127"/>
      <c r="F25" s="127"/>
      <c r="G25" s="127"/>
      <c r="H25" s="127"/>
      <c r="I25" s="127"/>
      <c r="J25" s="127"/>
    </row>
  </sheetData>
  <mergeCells count="2">
    <mergeCell ref="A24:J24"/>
    <mergeCell ref="A25:J25"/>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sheetPr>
  <dimension ref="A1:P83"/>
  <sheetViews>
    <sheetView showGridLines="0" zoomScale="76" zoomScaleNormal="100" workbookViewId="0">
      <selection activeCell="A3" sqref="A3"/>
    </sheetView>
  </sheetViews>
  <sheetFormatPr baseColWidth="10" defaultColWidth="10.81640625" defaultRowHeight="11.5" x14ac:dyDescent="0.35"/>
  <cols>
    <col min="1" max="1" width="9.7265625" style="9" customWidth="1"/>
    <col min="2" max="2" width="52.453125" style="9" customWidth="1"/>
    <col min="3" max="8" width="16.54296875" style="9" customWidth="1"/>
    <col min="9" max="9" width="11.81640625" style="9" bestFit="1" customWidth="1"/>
    <col min="10" max="10" width="13.453125" style="9" customWidth="1"/>
    <col min="11" max="11" width="11.1796875" style="9" customWidth="1"/>
    <col min="12" max="12" width="27.81640625" style="9" customWidth="1"/>
    <col min="13" max="14" width="11.1796875" style="9" bestFit="1" customWidth="1"/>
    <col min="15" max="15" width="14.453125" style="9" customWidth="1"/>
    <col min="16" max="31" width="11.1796875" style="9" bestFit="1" customWidth="1"/>
    <col min="32" max="16384" width="10.81640625" style="9"/>
  </cols>
  <sheetData>
    <row r="1" spans="1:16" ht="20.149999999999999" customHeight="1" x14ac:dyDescent="0.35">
      <c r="A1" s="6" t="s">
        <v>22</v>
      </c>
      <c r="B1" s="15"/>
      <c r="C1" s="15"/>
      <c r="D1" s="15"/>
      <c r="E1" s="15"/>
      <c r="F1" s="15"/>
      <c r="G1" s="15"/>
      <c r="H1" s="15"/>
      <c r="I1" s="15"/>
      <c r="J1" s="15"/>
      <c r="K1" s="15"/>
      <c r="L1" s="15"/>
      <c r="M1" s="15"/>
      <c r="N1" s="15"/>
      <c r="O1" s="15"/>
      <c r="P1" s="15"/>
    </row>
    <row r="2" spans="1:16" ht="12.5" x14ac:dyDescent="0.35">
      <c r="A2" s="5" t="s">
        <v>23</v>
      </c>
    </row>
    <row r="4" spans="1:16" ht="37.5" x14ac:dyDescent="0.35">
      <c r="B4" s="16" t="s">
        <v>24</v>
      </c>
      <c r="C4" s="17" t="s">
        <v>25</v>
      </c>
      <c r="D4" s="18">
        <v>2027</v>
      </c>
      <c r="E4" s="17" t="s">
        <v>26</v>
      </c>
      <c r="F4" s="17" t="s">
        <v>27</v>
      </c>
      <c r="G4" s="19" t="s">
        <v>28</v>
      </c>
      <c r="H4" s="54"/>
    </row>
    <row r="5" spans="1:16" ht="13" x14ac:dyDescent="0.35">
      <c r="B5" s="20" t="s">
        <v>29</v>
      </c>
      <c r="C5" s="21">
        <v>322.3</v>
      </c>
      <c r="D5" s="21">
        <v>282.10000000000002</v>
      </c>
      <c r="E5" s="22">
        <f t="shared" ref="E5:E10" si="0">($D5-$C5)/$C5</f>
        <v>-0.12472851380701207</v>
      </c>
      <c r="F5" s="21">
        <v>173.3</v>
      </c>
      <c r="G5" s="23">
        <f>($F5-$C5)/$C5</f>
        <v>-0.4623022029165374</v>
      </c>
      <c r="H5" s="55"/>
    </row>
    <row r="6" spans="1:16" ht="13" x14ac:dyDescent="0.35">
      <c r="B6" s="24" t="s">
        <v>30</v>
      </c>
      <c r="C6" s="25">
        <v>1.61</v>
      </c>
      <c r="D6" s="25">
        <v>1.32</v>
      </c>
      <c r="E6" s="26">
        <f t="shared" si="0"/>
        <v>-0.18012422360248448</v>
      </c>
      <c r="F6" s="25">
        <v>0.75</v>
      </c>
      <c r="G6" s="27">
        <f>($F6-$C6)/$C6</f>
        <v>-0.53416149068322982</v>
      </c>
      <c r="H6" s="55"/>
    </row>
    <row r="7" spans="1:16" ht="13" x14ac:dyDescent="0.35">
      <c r="B7" s="24" t="s">
        <v>31</v>
      </c>
      <c r="C7" s="25">
        <v>0</v>
      </c>
      <c r="D7" s="25">
        <v>7.5999999999999998E-2</v>
      </c>
      <c r="E7" s="26" t="s">
        <v>32</v>
      </c>
      <c r="F7" s="25">
        <v>0.15</v>
      </c>
      <c r="G7" s="27" t="s">
        <v>32</v>
      </c>
      <c r="H7" s="56"/>
    </row>
    <row r="8" spans="1:16" ht="13" x14ac:dyDescent="0.35">
      <c r="B8" s="24" t="s">
        <v>33</v>
      </c>
      <c r="C8" s="28">
        <f>C5-(C6+C7)</f>
        <v>320.69</v>
      </c>
      <c r="D8" s="122">
        <f>D5-(D6+D7)</f>
        <v>280.70400000000001</v>
      </c>
      <c r="E8" s="26">
        <f t="shared" si="0"/>
        <v>-0.12468739280925502</v>
      </c>
      <c r="F8" s="28">
        <f>F5-(F6+F7)</f>
        <v>172.4</v>
      </c>
      <c r="G8" s="27">
        <f>($F8-$C8)/$C8</f>
        <v>-0.46240918020518257</v>
      </c>
      <c r="H8" s="45"/>
    </row>
    <row r="9" spans="1:16" ht="13" x14ac:dyDescent="0.35">
      <c r="B9" s="20" t="s">
        <v>34</v>
      </c>
      <c r="C9" s="21">
        <v>33</v>
      </c>
      <c r="D9" s="21">
        <v>51.2</v>
      </c>
      <c r="E9" s="22">
        <f t="shared" si="0"/>
        <v>0.55151515151515162</v>
      </c>
      <c r="F9" s="21">
        <v>64</v>
      </c>
      <c r="G9" s="23">
        <f>($F9-$C9)/$C9</f>
        <v>0.93939393939393945</v>
      </c>
      <c r="H9" s="55"/>
    </row>
    <row r="10" spans="1:16" ht="13" x14ac:dyDescent="0.35">
      <c r="B10" s="20" t="s">
        <v>35</v>
      </c>
      <c r="C10" s="21">
        <v>7.4</v>
      </c>
      <c r="D10" s="123">
        <v>16</v>
      </c>
      <c r="E10" s="22">
        <f t="shared" si="0"/>
        <v>1.1621621621621621</v>
      </c>
      <c r="F10" s="21">
        <v>23</v>
      </c>
      <c r="G10" s="23">
        <f>($F10-$C10)/$C10</f>
        <v>2.1081081081081079</v>
      </c>
      <c r="H10" s="55"/>
    </row>
    <row r="11" spans="1:16" ht="13" x14ac:dyDescent="0.35">
      <c r="B11" s="29" t="s">
        <v>36</v>
      </c>
      <c r="C11" s="30">
        <f>SUM(C5,C9:C10)</f>
        <v>362.7</v>
      </c>
      <c r="D11" s="30">
        <f>SUM(D5,D9:D10)</f>
        <v>349.3</v>
      </c>
      <c r="E11" s="31">
        <f>($D11-$C11)/$C11</f>
        <v>-3.6945133719327207E-2</v>
      </c>
      <c r="F11" s="30">
        <f>SUM(F5,F9:F10)</f>
        <v>260.3</v>
      </c>
      <c r="G11" s="32">
        <f>($F11-$C11)/$C11</f>
        <v>-0.2823269920044113</v>
      </c>
      <c r="H11" s="45"/>
    </row>
    <row r="12" spans="1:16" ht="12.5" x14ac:dyDescent="0.35">
      <c r="B12" s="5"/>
      <c r="C12" s="5"/>
      <c r="D12" s="33"/>
      <c r="E12" s="5"/>
      <c r="F12" s="5"/>
      <c r="G12" s="5"/>
      <c r="H12" s="5"/>
    </row>
    <row r="13" spans="1:16" ht="37.5" x14ac:dyDescent="0.35">
      <c r="B13" s="16" t="s">
        <v>37</v>
      </c>
      <c r="C13" s="17" t="s">
        <v>25</v>
      </c>
      <c r="D13" s="18">
        <v>2027</v>
      </c>
      <c r="E13" s="17" t="s">
        <v>26</v>
      </c>
      <c r="F13" s="17" t="s">
        <v>27</v>
      </c>
      <c r="G13" s="19" t="s">
        <v>28</v>
      </c>
      <c r="H13" s="5"/>
    </row>
    <row r="14" spans="1:16" ht="12.5" x14ac:dyDescent="0.35">
      <c r="B14" s="20" t="s">
        <v>29</v>
      </c>
      <c r="C14" s="21">
        <v>68.900000000000006</v>
      </c>
      <c r="D14" s="21">
        <v>60.7</v>
      </c>
      <c r="E14" s="22">
        <f>($D14-$C14)/$C14</f>
        <v>-0.11901306240928886</v>
      </c>
      <c r="F14" s="21">
        <v>36.799999999999997</v>
      </c>
      <c r="G14" s="23">
        <f>($F14-$C14)/$C14</f>
        <v>-0.46589259796806975</v>
      </c>
      <c r="H14" s="5"/>
    </row>
    <row r="15" spans="1:16" ht="13" x14ac:dyDescent="0.35">
      <c r="B15" s="24" t="s">
        <v>30</v>
      </c>
      <c r="C15" s="25">
        <v>4.9000000000000004</v>
      </c>
      <c r="D15" s="25">
        <v>3.7</v>
      </c>
      <c r="E15" s="26">
        <f>($D15-$C15)/$C15</f>
        <v>-0.24489795918367349</v>
      </c>
      <c r="F15" s="25">
        <v>1.63</v>
      </c>
      <c r="G15" s="27">
        <f>($F15-$C15)/$C15</f>
        <v>-0.66734693877551021</v>
      </c>
      <c r="H15" s="5"/>
    </row>
    <row r="16" spans="1:16" ht="13" x14ac:dyDescent="0.35">
      <c r="B16" s="24" t="s">
        <v>31</v>
      </c>
      <c r="C16" s="25">
        <v>0</v>
      </c>
      <c r="D16" s="25">
        <v>1.1399999999999999</v>
      </c>
      <c r="E16" s="26" t="s">
        <v>32</v>
      </c>
      <c r="F16" s="25">
        <v>1.45</v>
      </c>
      <c r="G16" s="27" t="s">
        <v>32</v>
      </c>
      <c r="H16" s="5"/>
    </row>
    <row r="17" spans="1:16" ht="13" x14ac:dyDescent="0.35">
      <c r="B17" s="34" t="s">
        <v>33</v>
      </c>
      <c r="C17" s="35">
        <f>C14-(C15+C16)</f>
        <v>64</v>
      </c>
      <c r="D17" s="35">
        <f>D14-(D15+D16)</f>
        <v>55.86</v>
      </c>
      <c r="E17" s="36">
        <f>($D17-$C17)/$C17</f>
        <v>-0.12718750000000001</v>
      </c>
      <c r="F17" s="35">
        <f>F14-(F15+F16)</f>
        <v>33.72</v>
      </c>
      <c r="G17" s="37">
        <f>($F17-$C17)/$C17</f>
        <v>-0.47312500000000002</v>
      </c>
      <c r="H17" s="5"/>
    </row>
    <row r="18" spans="1:16" x14ac:dyDescent="0.35">
      <c r="D18" s="38"/>
    </row>
    <row r="19" spans="1:16" ht="20.149999999999999" customHeight="1" x14ac:dyDescent="0.35">
      <c r="A19" s="6" t="s">
        <v>38</v>
      </c>
      <c r="B19" s="15"/>
      <c r="C19" s="15"/>
      <c r="D19" s="15"/>
      <c r="E19" s="15"/>
      <c r="F19" s="15"/>
      <c r="G19" s="15"/>
      <c r="H19" s="15"/>
      <c r="I19" s="15"/>
      <c r="J19" s="15"/>
      <c r="K19" s="15"/>
      <c r="L19" s="15"/>
      <c r="M19" s="15"/>
      <c r="N19" s="15"/>
      <c r="O19" s="15"/>
      <c r="P19" s="15"/>
    </row>
    <row r="20" spans="1:16" ht="13" x14ac:dyDescent="0.35">
      <c r="A20" s="5" t="s">
        <v>39</v>
      </c>
      <c r="C20" s="5"/>
    </row>
    <row r="21" spans="1:16" ht="97.5" customHeight="1" x14ac:dyDescent="0.35">
      <c r="A21" s="127" t="s">
        <v>40</v>
      </c>
      <c r="B21" s="127"/>
      <c r="C21" s="127"/>
      <c r="D21" s="127"/>
      <c r="E21" s="127"/>
      <c r="F21" s="127"/>
      <c r="G21" s="127"/>
    </row>
    <row r="23" spans="1:16" ht="26" x14ac:dyDescent="0.35">
      <c r="A23" s="39" t="s">
        <v>41</v>
      </c>
      <c r="B23" s="83" t="s">
        <v>42</v>
      </c>
      <c r="C23" s="41" t="s">
        <v>43</v>
      </c>
      <c r="D23" s="60" t="s">
        <v>44</v>
      </c>
    </row>
    <row r="24" spans="1:16" ht="12.5" x14ac:dyDescent="0.35">
      <c r="A24" s="42"/>
      <c r="B24" s="43" t="s">
        <v>45</v>
      </c>
      <c r="C24" s="50">
        <f>SUM(C25:C26)</f>
        <v>10866</v>
      </c>
      <c r="D24" s="5"/>
    </row>
    <row r="25" spans="1:16" ht="13" x14ac:dyDescent="0.35">
      <c r="A25" s="44"/>
      <c r="B25" s="84" t="s">
        <v>46</v>
      </c>
      <c r="C25" s="62">
        <v>10229</v>
      </c>
      <c r="D25" s="9" t="s">
        <v>47</v>
      </c>
    </row>
    <row r="26" spans="1:16" ht="13" x14ac:dyDescent="0.35">
      <c r="A26" s="44">
        <v>492</v>
      </c>
      <c r="B26" s="84" t="s">
        <v>48</v>
      </c>
      <c r="C26" s="62">
        <v>637</v>
      </c>
      <c r="D26" s="9" t="s">
        <v>49</v>
      </c>
    </row>
    <row r="27" spans="1:16" ht="12.5" x14ac:dyDescent="0.35">
      <c r="A27" s="42">
        <v>4941</v>
      </c>
      <c r="B27" s="43" t="s">
        <v>50</v>
      </c>
      <c r="C27" s="63">
        <v>299948</v>
      </c>
      <c r="D27" s="9" t="s">
        <v>49</v>
      </c>
    </row>
    <row r="28" spans="1:16" ht="13" x14ac:dyDescent="0.35">
      <c r="A28" s="44"/>
      <c r="B28" s="43" t="s">
        <v>51</v>
      </c>
      <c r="C28" s="64">
        <v>0</v>
      </c>
    </row>
    <row r="29" spans="1:16" ht="12.5" x14ac:dyDescent="0.35">
      <c r="A29" s="42">
        <v>504</v>
      </c>
      <c r="B29" s="43" t="s">
        <v>52</v>
      </c>
      <c r="C29" s="63">
        <v>1455</v>
      </c>
      <c r="D29" s="9" t="s">
        <v>49</v>
      </c>
    </row>
    <row r="30" spans="1:16" ht="12.5" x14ac:dyDescent="0.35">
      <c r="A30" s="42">
        <v>521</v>
      </c>
      <c r="B30" s="43" t="s">
        <v>53</v>
      </c>
      <c r="C30" s="63">
        <v>28859</v>
      </c>
      <c r="D30" s="9" t="s">
        <v>49</v>
      </c>
    </row>
    <row r="31" spans="1:16" ht="25" x14ac:dyDescent="0.35">
      <c r="A31" s="42">
        <v>5221</v>
      </c>
      <c r="B31" s="85" t="s">
        <v>54</v>
      </c>
      <c r="C31" s="63">
        <v>19274</v>
      </c>
      <c r="D31" s="9" t="s">
        <v>49</v>
      </c>
    </row>
    <row r="32" spans="1:16" ht="25" x14ac:dyDescent="0.35">
      <c r="A32" s="42" t="s">
        <v>55</v>
      </c>
      <c r="B32" s="85" t="s">
        <v>56</v>
      </c>
      <c r="C32" s="63">
        <v>3924</v>
      </c>
      <c r="D32" s="9" t="s">
        <v>49</v>
      </c>
    </row>
    <row r="33" spans="1:16" ht="25" x14ac:dyDescent="0.35">
      <c r="A33" s="42">
        <v>5229</v>
      </c>
      <c r="B33" s="85" t="s">
        <v>57</v>
      </c>
      <c r="C33" s="63">
        <v>103534</v>
      </c>
      <c r="D33" s="9" t="s">
        <v>49</v>
      </c>
    </row>
    <row r="34" spans="1:16" ht="13" x14ac:dyDescent="0.35">
      <c r="A34" s="44" t="s">
        <v>58</v>
      </c>
      <c r="B34" s="84" t="s">
        <v>59</v>
      </c>
      <c r="C34" s="62">
        <v>32794</v>
      </c>
      <c r="D34" s="9" t="s">
        <v>49</v>
      </c>
    </row>
    <row r="35" spans="1:16" ht="13" x14ac:dyDescent="0.35">
      <c r="A35" s="44" t="s">
        <v>60</v>
      </c>
      <c r="B35" s="84" t="s">
        <v>61</v>
      </c>
      <c r="C35" s="62">
        <v>70740</v>
      </c>
      <c r="D35" s="9" t="s">
        <v>49</v>
      </c>
    </row>
    <row r="36" spans="1:16" ht="13" x14ac:dyDescent="0.35">
      <c r="A36" s="47"/>
      <c r="B36" s="86" t="s">
        <v>62</v>
      </c>
      <c r="C36" s="65">
        <f>SUM(C25:C29,C32,C34:C35,C30:C31)</f>
        <v>467860</v>
      </c>
      <c r="D36" s="61"/>
      <c r="F36" s="48"/>
    </row>
    <row r="38" spans="1:16" ht="20.149999999999999" customHeight="1" x14ac:dyDescent="0.35">
      <c r="A38" s="6" t="s">
        <v>63</v>
      </c>
      <c r="B38" s="15"/>
      <c r="C38" s="15"/>
      <c r="D38" s="15"/>
      <c r="E38" s="15"/>
      <c r="F38" s="15"/>
      <c r="G38" s="15"/>
      <c r="H38" s="15"/>
      <c r="I38" s="15"/>
      <c r="J38" s="15"/>
      <c r="K38" s="15"/>
      <c r="L38" s="15"/>
      <c r="M38" s="15"/>
      <c r="N38" s="15"/>
      <c r="O38" s="15"/>
      <c r="P38" s="15"/>
    </row>
    <row r="40" spans="1:16" ht="69" x14ac:dyDescent="0.35">
      <c r="B40" s="66" t="s">
        <v>64</v>
      </c>
      <c r="C40" s="96" t="s">
        <v>65</v>
      </c>
    </row>
    <row r="41" spans="1:16" ht="12.5" x14ac:dyDescent="0.35">
      <c r="B41" s="49" t="s">
        <v>29</v>
      </c>
      <c r="C41" s="50">
        <f>$C$27/Tkm_routier_avant</f>
        <v>930.6484641638225</v>
      </c>
    </row>
    <row r="42" spans="1:16" ht="12.5" x14ac:dyDescent="0.35">
      <c r="B42" s="49" t="s">
        <v>34</v>
      </c>
      <c r="C42" s="50">
        <f>$C$24/Tkm_ferro_avant</f>
        <v>329.27272727272725</v>
      </c>
    </row>
    <row r="43" spans="1:16" ht="12.5" x14ac:dyDescent="0.35">
      <c r="B43" s="51" t="s">
        <v>35</v>
      </c>
      <c r="C43" s="52">
        <f>$C$29/Tkm_fluvial_avant</f>
        <v>196.62162162162161</v>
      </c>
    </row>
    <row r="45" spans="1:16" ht="20.149999999999999" customHeight="1" x14ac:dyDescent="0.35">
      <c r="A45" s="6" t="s">
        <v>66</v>
      </c>
      <c r="B45" s="15"/>
      <c r="C45" s="15"/>
      <c r="D45" s="15"/>
      <c r="E45" s="15"/>
      <c r="F45" s="15"/>
      <c r="G45" s="15"/>
      <c r="H45" s="15"/>
      <c r="I45" s="15"/>
      <c r="J45" s="15"/>
      <c r="K45" s="15"/>
      <c r="L45" s="15"/>
      <c r="M45" s="15"/>
      <c r="N45" s="15"/>
      <c r="O45" s="15"/>
      <c r="P45" s="15"/>
    </row>
    <row r="47" spans="1:16" ht="13" x14ac:dyDescent="0.35">
      <c r="A47" s="57" t="s">
        <v>67</v>
      </c>
      <c r="B47" s="57"/>
      <c r="C47" s="57"/>
      <c r="D47" s="57"/>
      <c r="E47" s="57"/>
      <c r="F47" s="57"/>
      <c r="G47" s="57"/>
      <c r="H47" s="57"/>
      <c r="I47" s="57"/>
      <c r="J47" s="57"/>
      <c r="K47" s="57"/>
      <c r="L47" s="57"/>
      <c r="M47" s="57"/>
      <c r="N47" s="57"/>
      <c r="O47" s="57"/>
      <c r="P47" s="57"/>
    </row>
    <row r="48" spans="1:16" ht="56.15" customHeight="1" x14ac:dyDescent="0.35">
      <c r="A48" s="130" t="s">
        <v>68</v>
      </c>
      <c r="B48" s="130"/>
      <c r="C48" s="130"/>
      <c r="D48" s="130"/>
      <c r="E48" s="130"/>
      <c r="F48" s="130"/>
      <c r="G48" s="130"/>
      <c r="H48" s="81"/>
      <c r="I48" s="81"/>
      <c r="J48" s="81"/>
      <c r="K48" s="81"/>
      <c r="L48" s="81"/>
      <c r="M48" s="81"/>
      <c r="N48" s="81"/>
      <c r="O48" s="81"/>
      <c r="P48" s="81"/>
    </row>
    <row r="49" spans="1:16" ht="31" customHeight="1" x14ac:dyDescent="0.35">
      <c r="A49" s="127" t="s">
        <v>69</v>
      </c>
      <c r="B49" s="127"/>
      <c r="C49" s="127"/>
      <c r="D49" s="127"/>
      <c r="E49" s="127"/>
      <c r="F49" s="127"/>
      <c r="G49" s="127"/>
      <c r="H49" s="5"/>
      <c r="I49" s="5"/>
      <c r="J49" s="5"/>
    </row>
    <row r="50" spans="1:16" ht="12.5" x14ac:dyDescent="0.35">
      <c r="A50" s="5"/>
      <c r="B50" s="5"/>
      <c r="C50" s="5"/>
      <c r="D50" s="5"/>
      <c r="E50" s="5"/>
      <c r="F50" s="5"/>
      <c r="G50" s="5"/>
      <c r="H50" s="5"/>
      <c r="I50" s="5"/>
      <c r="J50" s="5"/>
    </row>
    <row r="51" spans="1:16" ht="13" x14ac:dyDescent="0.35">
      <c r="A51" s="5"/>
      <c r="B51" s="82"/>
      <c r="C51" s="79">
        <v>2027</v>
      </c>
      <c r="D51" s="80">
        <v>2050</v>
      </c>
      <c r="E51" s="68" t="s">
        <v>70</v>
      </c>
      <c r="F51" s="5"/>
      <c r="G51" s="5"/>
      <c r="H51" s="5"/>
      <c r="I51" s="125"/>
      <c r="J51" s="5"/>
    </row>
    <row r="52" spans="1:16" ht="12.5" x14ac:dyDescent="0.35">
      <c r="A52" s="5"/>
      <c r="B52" s="77" t="s">
        <v>71</v>
      </c>
      <c r="C52" s="71">
        <v>67</v>
      </c>
      <c r="D52" s="73">
        <v>100</v>
      </c>
      <c r="E52" s="9" t="s">
        <v>72</v>
      </c>
      <c r="F52" s="5"/>
      <c r="G52" s="5"/>
      <c r="H52" s="5"/>
      <c r="I52" s="5"/>
      <c r="J52" s="5"/>
    </row>
    <row r="53" spans="1:16" ht="12.5" x14ac:dyDescent="0.35">
      <c r="A53" s="5"/>
      <c r="B53" s="77" t="s">
        <v>73</v>
      </c>
      <c r="C53" s="69">
        <f>$D$7/(C52*10^(-3))</f>
        <v>1.1343283582089552</v>
      </c>
      <c r="D53" s="74">
        <f>$F$7/(D52*10^(-3))</f>
        <v>1.4999999999999998</v>
      </c>
      <c r="F53" s="5"/>
      <c r="G53" s="5"/>
      <c r="H53" s="124"/>
      <c r="I53" s="124"/>
      <c r="J53" s="5"/>
    </row>
    <row r="54" spans="1:16" ht="12.5" x14ac:dyDescent="0.35">
      <c r="A54" s="5"/>
      <c r="B54" s="77" t="s">
        <v>74</v>
      </c>
      <c r="C54" s="70">
        <f>C53</f>
        <v>1.1343283582089552</v>
      </c>
      <c r="D54" s="75">
        <f>D53</f>
        <v>1.4999999999999998</v>
      </c>
      <c r="E54" s="9" t="s">
        <v>75</v>
      </c>
      <c r="F54" s="5"/>
      <c r="G54" s="5"/>
      <c r="H54" s="70"/>
      <c r="I54" s="70"/>
      <c r="J54" s="5"/>
    </row>
    <row r="55" spans="1:16" ht="12.5" x14ac:dyDescent="0.35">
      <c r="A55" s="5"/>
      <c r="B55" s="77" t="s">
        <v>76</v>
      </c>
      <c r="C55" s="72">
        <v>70</v>
      </c>
      <c r="D55" s="73">
        <v>70</v>
      </c>
      <c r="F55" s="5"/>
      <c r="G55" s="5"/>
      <c r="H55" s="5"/>
      <c r="I55" s="5"/>
      <c r="J55" s="5"/>
    </row>
    <row r="56" spans="1:16" ht="12.5" x14ac:dyDescent="0.35">
      <c r="A56" s="5"/>
      <c r="B56" s="77" t="s">
        <v>77</v>
      </c>
      <c r="C56" s="72">
        <v>220</v>
      </c>
      <c r="D56" s="73">
        <v>220</v>
      </c>
      <c r="F56" s="5"/>
      <c r="G56" s="5"/>
      <c r="H56" s="5"/>
      <c r="I56" s="5"/>
      <c r="J56" s="5"/>
    </row>
    <row r="57" spans="1:16" ht="13" x14ac:dyDescent="0.35">
      <c r="A57" s="5"/>
      <c r="B57" s="78" t="s">
        <v>78</v>
      </c>
      <c r="C57" s="76">
        <f>C54*10^9/(C55*C56)</f>
        <v>73657.685597984091</v>
      </c>
      <c r="D57" s="65">
        <f>D54*10^9/(D55*D56)</f>
        <v>97402.597402597385</v>
      </c>
      <c r="F57" s="5"/>
      <c r="G57" s="68"/>
      <c r="H57" s="126"/>
      <c r="I57" s="126"/>
      <c r="J57" s="5"/>
    </row>
    <row r="58" spans="1:16" ht="12.5" x14ac:dyDescent="0.35">
      <c r="A58" s="5"/>
      <c r="B58" s="5"/>
      <c r="C58" s="5"/>
      <c r="D58" s="5"/>
      <c r="E58" s="5"/>
      <c r="F58" s="5"/>
      <c r="G58" s="5"/>
      <c r="H58" s="5"/>
      <c r="I58" s="5"/>
      <c r="J58" s="5"/>
    </row>
    <row r="59" spans="1:16" ht="13" x14ac:dyDescent="0.35">
      <c r="A59" s="57" t="s">
        <v>79</v>
      </c>
      <c r="B59" s="57"/>
      <c r="C59" s="57"/>
      <c r="D59" s="57"/>
      <c r="E59" s="57"/>
      <c r="F59" s="57"/>
      <c r="G59" s="57"/>
      <c r="H59" s="57"/>
      <c r="I59" s="57"/>
      <c r="J59" s="57"/>
      <c r="K59" s="57"/>
      <c r="L59" s="57"/>
      <c r="M59" s="57"/>
      <c r="N59" s="57"/>
      <c r="O59" s="57"/>
      <c r="P59" s="57"/>
    </row>
    <row r="61" spans="1:16" ht="39" x14ac:dyDescent="0.35">
      <c r="A61" s="39" t="str">
        <f>A23</f>
        <v>Code NAF</v>
      </c>
      <c r="B61" s="40" t="str">
        <f t="shared" ref="B61:C61" si="1">B23</f>
        <v>Activité</v>
      </c>
      <c r="C61" s="92" t="str">
        <f t="shared" si="1"/>
        <v>Emploi actuel (ETP)</v>
      </c>
      <c r="D61" s="93" t="s">
        <v>80</v>
      </c>
      <c r="E61" s="93" t="s">
        <v>81</v>
      </c>
      <c r="F61" s="93" t="s">
        <v>82</v>
      </c>
      <c r="G61" s="67" t="s">
        <v>83</v>
      </c>
      <c r="H61" s="68" t="s">
        <v>84</v>
      </c>
    </row>
    <row r="62" spans="1:16" ht="12.5" x14ac:dyDescent="0.35">
      <c r="A62" s="42"/>
      <c r="B62" s="5" t="str">
        <f t="shared" ref="B62:C62" si="2">B24</f>
        <v>Transports ferroviaires de fret</v>
      </c>
      <c r="C62" s="87">
        <f t="shared" si="2"/>
        <v>10866</v>
      </c>
      <c r="D62" s="94">
        <f>SUM(D63:D64)</f>
        <v>16858.763636363637</v>
      </c>
      <c r="E62" s="94">
        <f>SUM(E63:E64)</f>
        <v>21073.454545454548</v>
      </c>
      <c r="F62" s="95">
        <f>E62-C62</f>
        <v>10207.454545454548</v>
      </c>
      <c r="G62" s="23">
        <f>(E62-C62)/C62</f>
        <v>0.93939393939393956</v>
      </c>
    </row>
    <row r="63" spans="1:16" ht="13" x14ac:dyDescent="0.35">
      <c r="A63" s="44"/>
      <c r="B63" s="45" t="str">
        <f t="shared" ref="B63:C63" si="3">B25</f>
        <v xml:space="preserve">     dont SNCF (TFMM et Marchandises &amp; logistique)</v>
      </c>
      <c r="C63" s="88">
        <f t="shared" si="3"/>
        <v>10229</v>
      </c>
      <c r="D63" s="94">
        <f>$C63*(1+$E$9)</f>
        <v>15870.448484848486</v>
      </c>
      <c r="E63" s="94">
        <f>$C63*(1+Tkm_ferro_évol)</f>
        <v>19838.060606060608</v>
      </c>
      <c r="F63" s="95">
        <f t="shared" ref="F63:F74" si="4">E63-C63</f>
        <v>9609.0606060606078</v>
      </c>
      <c r="G63" s="23">
        <f t="shared" ref="G63:G74" si="5">(E63-C63)/C63</f>
        <v>0.93939393939393956</v>
      </c>
      <c r="H63" s="9" t="s">
        <v>85</v>
      </c>
    </row>
    <row r="64" spans="1:16" ht="13" x14ac:dyDescent="0.35">
      <c r="A64" s="44">
        <f t="shared" ref="A64:C64" si="6">A26</f>
        <v>492</v>
      </c>
      <c r="B64" s="45" t="str">
        <f t="shared" si="6"/>
        <v xml:space="preserve">     dont Transports ferroviaires de fret hors SNCF</v>
      </c>
      <c r="C64" s="88">
        <f t="shared" si="6"/>
        <v>637</v>
      </c>
      <c r="D64" s="94">
        <f>$C64*(1+$E$9)</f>
        <v>988.31515151515168</v>
      </c>
      <c r="E64" s="94">
        <f>$C64*(1+Tkm_ferro_évol)</f>
        <v>1235.3939393939395</v>
      </c>
      <c r="F64" s="95">
        <f t="shared" si="4"/>
        <v>598.39393939393949</v>
      </c>
      <c r="G64" s="23">
        <f t="shared" si="5"/>
        <v>0.93939393939393956</v>
      </c>
      <c r="H64" s="9" t="s">
        <v>85</v>
      </c>
    </row>
    <row r="65" spans="1:16" ht="12.5" x14ac:dyDescent="0.35">
      <c r="A65" s="42">
        <f t="shared" ref="A65:C65" si="7">A27</f>
        <v>4941</v>
      </c>
      <c r="B65" s="5" t="str">
        <f t="shared" si="7"/>
        <v xml:space="preserve">Transports routiers de fret </v>
      </c>
      <c r="C65" s="89">
        <f t="shared" si="7"/>
        <v>299948</v>
      </c>
      <c r="D65" s="94">
        <f>$C65*(1+$E$14)</f>
        <v>264250.26995645859</v>
      </c>
      <c r="E65" s="94">
        <f>$C65*(1+$G$14)</f>
        <v>160204.44702467343</v>
      </c>
      <c r="F65" s="95">
        <f t="shared" si="4"/>
        <v>-139743.55297532657</v>
      </c>
      <c r="G65" s="23">
        <f t="shared" si="5"/>
        <v>-0.4658925979680697</v>
      </c>
      <c r="H65" s="9" t="s">
        <v>86</v>
      </c>
    </row>
    <row r="66" spans="1:16" ht="13" x14ac:dyDescent="0.35">
      <c r="A66" s="44"/>
      <c r="B66" s="5" t="str">
        <f t="shared" ref="B66:C66" si="8">B28</f>
        <v>Cyclologistique</v>
      </c>
      <c r="C66" s="90">
        <f t="shared" si="8"/>
        <v>0</v>
      </c>
      <c r="D66" s="94">
        <f>C$57</f>
        <v>73657.685597984091</v>
      </c>
      <c r="E66" s="94">
        <f>D$57</f>
        <v>97402.597402597385</v>
      </c>
      <c r="F66" s="95">
        <f t="shared" si="4"/>
        <v>97402.597402597385</v>
      </c>
      <c r="G66" s="23" t="s">
        <v>32</v>
      </c>
      <c r="H66" s="9" t="s">
        <v>87</v>
      </c>
    </row>
    <row r="67" spans="1:16" ht="12.5" x14ac:dyDescent="0.35">
      <c r="A67" s="42">
        <f t="shared" ref="A67:C67" si="9">A29</f>
        <v>504</v>
      </c>
      <c r="B67" s="5" t="str">
        <f t="shared" si="9"/>
        <v>Transports fluviaux de fret</v>
      </c>
      <c r="C67" s="89">
        <f t="shared" si="9"/>
        <v>1455</v>
      </c>
      <c r="D67" s="94">
        <f>$C67*(1+$E$10)</f>
        <v>3145.9459459459463</v>
      </c>
      <c r="E67" s="94">
        <f>$C67*(1+Tkm_fluvial_évol)</f>
        <v>4522.2972972972966</v>
      </c>
      <c r="F67" s="95">
        <f t="shared" si="4"/>
        <v>3067.2972972972966</v>
      </c>
      <c r="G67" s="23">
        <f t="shared" si="5"/>
        <v>2.1081081081081074</v>
      </c>
      <c r="H67" s="9" t="s">
        <v>88</v>
      </c>
    </row>
    <row r="68" spans="1:16" ht="21.65" customHeight="1" x14ac:dyDescent="0.35">
      <c r="A68" s="42">
        <f t="shared" ref="A68:C68" si="10">A30</f>
        <v>521</v>
      </c>
      <c r="B68" s="5" t="str">
        <f t="shared" si="10"/>
        <v xml:space="preserve">Entreposage et stockage </v>
      </c>
      <c r="C68" s="89">
        <f t="shared" si="10"/>
        <v>28859</v>
      </c>
      <c r="D68" s="94">
        <f t="shared" ref="D68:E70" si="11">$C68</f>
        <v>28859</v>
      </c>
      <c r="E68" s="94">
        <f t="shared" si="11"/>
        <v>28859</v>
      </c>
      <c r="F68" s="95">
        <f t="shared" si="4"/>
        <v>0</v>
      </c>
      <c r="G68" s="23">
        <f t="shared" si="5"/>
        <v>0</v>
      </c>
      <c r="H68" s="128" t="s">
        <v>89</v>
      </c>
      <c r="I68" s="129"/>
      <c r="J68" s="129"/>
      <c r="K68" s="129"/>
      <c r="L68" s="129"/>
      <c r="M68" s="129"/>
      <c r="N68" s="129"/>
      <c r="O68" s="129"/>
      <c r="P68" s="129"/>
    </row>
    <row r="69" spans="1:16" ht="25" x14ac:dyDescent="0.35">
      <c r="A69" s="42">
        <f t="shared" ref="A69:C69" si="12">A31</f>
        <v>5221</v>
      </c>
      <c r="B69" s="46" t="str">
        <f t="shared" si="12"/>
        <v>Services auxiliaires des transports terrestres (exploitation des infrastructures et terminaux)</v>
      </c>
      <c r="C69" s="89">
        <f t="shared" si="12"/>
        <v>19274</v>
      </c>
      <c r="D69" s="94">
        <f t="shared" si="11"/>
        <v>19274</v>
      </c>
      <c r="E69" s="94">
        <f t="shared" si="11"/>
        <v>19274</v>
      </c>
      <c r="F69" s="95">
        <f t="shared" si="4"/>
        <v>0</v>
      </c>
      <c r="G69" s="23">
        <f t="shared" si="5"/>
        <v>0</v>
      </c>
      <c r="H69" s="128" t="s">
        <v>90</v>
      </c>
      <c r="I69" s="129"/>
      <c r="J69" s="129"/>
      <c r="K69" s="129"/>
      <c r="L69" s="129"/>
      <c r="M69" s="129"/>
      <c r="N69" s="129"/>
      <c r="O69" s="129"/>
      <c r="P69" s="129"/>
    </row>
    <row r="70" spans="1:16" ht="39" customHeight="1" x14ac:dyDescent="0.35">
      <c r="A70" s="42" t="str">
        <f t="shared" ref="A70:C70" si="13">A32</f>
        <v>5224B</v>
      </c>
      <c r="B70" s="46" t="str">
        <f t="shared" si="13"/>
        <v>Manutention non portuaire (chargement et déchargement de marchandises lors des ruptures de charge)</v>
      </c>
      <c r="C70" s="89">
        <f t="shared" si="13"/>
        <v>3924</v>
      </c>
      <c r="D70" s="94">
        <f t="shared" si="11"/>
        <v>3924</v>
      </c>
      <c r="E70" s="94">
        <f t="shared" si="11"/>
        <v>3924</v>
      </c>
      <c r="F70" s="95">
        <f t="shared" si="4"/>
        <v>0</v>
      </c>
      <c r="G70" s="23">
        <f t="shared" si="5"/>
        <v>0</v>
      </c>
      <c r="H70" s="128" t="s">
        <v>91</v>
      </c>
      <c r="I70" s="129"/>
      <c r="J70" s="129"/>
      <c r="K70" s="129"/>
      <c r="L70" s="129"/>
      <c r="M70" s="129"/>
      <c r="N70" s="129"/>
      <c r="O70" s="129"/>
      <c r="P70" s="129"/>
    </row>
    <row r="71" spans="1:16" ht="25" x14ac:dyDescent="0.35">
      <c r="A71" s="42">
        <f t="shared" ref="A71:C71" si="14">A33</f>
        <v>5229</v>
      </c>
      <c r="B71" s="46" t="str">
        <f t="shared" si="14"/>
        <v>Autres services auxiliaires des transports (messagerie, fret express, affrètement et organisation des transports)</v>
      </c>
      <c r="C71" s="89">
        <f t="shared" si="14"/>
        <v>103534</v>
      </c>
      <c r="D71" s="94">
        <f>SUM(D72:D73)</f>
        <v>99708.922525503178</v>
      </c>
      <c r="E71" s="94">
        <f>SUM(E72:E73)</f>
        <v>74303.557209815277</v>
      </c>
      <c r="F71" s="95">
        <f t="shared" si="4"/>
        <v>-29230.442790184723</v>
      </c>
      <c r="G71" s="23">
        <f t="shared" si="5"/>
        <v>-0.28232699200441136</v>
      </c>
    </row>
    <row r="72" spans="1:16" ht="13" x14ac:dyDescent="0.35">
      <c r="A72" s="44" t="str">
        <f t="shared" ref="A72:C72" si="15">A34</f>
        <v>5229A</v>
      </c>
      <c r="B72" s="45" t="str">
        <f t="shared" si="15"/>
        <v xml:space="preserve">     dont Messagerie, fret express </v>
      </c>
      <c r="C72" s="88">
        <f t="shared" si="15"/>
        <v>32794</v>
      </c>
      <c r="D72" s="94">
        <f>$C72*(1+$E$11)</f>
        <v>31582.421284808384</v>
      </c>
      <c r="E72" s="94">
        <f>$C72*(1+Tkm_évol)</f>
        <v>23535.368624207335</v>
      </c>
      <c r="F72" s="95">
        <f t="shared" si="4"/>
        <v>-9258.6313757926655</v>
      </c>
      <c r="G72" s="23">
        <f t="shared" si="5"/>
        <v>-0.28232699200441136</v>
      </c>
      <c r="H72" s="9" t="s">
        <v>92</v>
      </c>
    </row>
    <row r="73" spans="1:16" ht="13" x14ac:dyDescent="0.35">
      <c r="A73" s="44" t="str">
        <f t="shared" ref="A73:C73" si="16">A35</f>
        <v>5229B</v>
      </c>
      <c r="B73" s="45" t="str">
        <f t="shared" si="16"/>
        <v xml:space="preserve">     dont Affrètement et organisation des transports </v>
      </c>
      <c r="C73" s="88">
        <f t="shared" si="16"/>
        <v>70740</v>
      </c>
      <c r="D73" s="94">
        <f>$C73*(1+$E$11)</f>
        <v>68126.501240694794</v>
      </c>
      <c r="E73" s="94">
        <f>$C73*(1+Tkm_évol)</f>
        <v>50768.188585607939</v>
      </c>
      <c r="F73" s="95">
        <f t="shared" si="4"/>
        <v>-19971.811414392061</v>
      </c>
      <c r="G73" s="23">
        <f t="shared" si="5"/>
        <v>-0.28232699200441136</v>
      </c>
      <c r="H73" s="9" t="s">
        <v>92</v>
      </c>
    </row>
    <row r="74" spans="1:16" ht="13" x14ac:dyDescent="0.35">
      <c r="A74" s="47"/>
      <c r="B74" s="30" t="str">
        <f t="shared" ref="B74:C74" si="17">B36</f>
        <v>Emploi total</v>
      </c>
      <c r="C74" s="91">
        <f t="shared" si="17"/>
        <v>467860</v>
      </c>
      <c r="D74" s="76">
        <f>SUM(D63:D70,D72:D73)</f>
        <v>509678.58766225533</v>
      </c>
      <c r="E74" s="76">
        <f t="shared" ref="E74" si="18">SUM(E63:E70,E72:E73)</f>
        <v>409563.35347983788</v>
      </c>
      <c r="F74" s="76">
        <f t="shared" si="4"/>
        <v>-58296.646520162118</v>
      </c>
      <c r="G74" s="32">
        <f t="shared" si="5"/>
        <v>-0.12460275834686042</v>
      </c>
    </row>
    <row r="83" spans="5:5" x14ac:dyDescent="0.35">
      <c r="E83" s="53"/>
    </row>
  </sheetData>
  <mergeCells count="6">
    <mergeCell ref="H70:P70"/>
    <mergeCell ref="A21:G21"/>
    <mergeCell ref="A48:G48"/>
    <mergeCell ref="A49:G49"/>
    <mergeCell ref="H68:P68"/>
    <mergeCell ref="H69:P69"/>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7EAA1-8A22-460D-B59A-B4086C546EE3}">
  <sheetPr>
    <tabColor theme="3"/>
  </sheetPr>
  <dimension ref="A1:AE66"/>
  <sheetViews>
    <sheetView showGridLines="0" zoomScale="66" workbookViewId="0">
      <selection activeCell="A2" sqref="A2"/>
    </sheetView>
  </sheetViews>
  <sheetFormatPr baseColWidth="10" defaultColWidth="10.81640625" defaultRowHeight="12.5" x14ac:dyDescent="0.25"/>
  <cols>
    <col min="1" max="1" width="10.81640625" style="2"/>
    <col min="2" max="2" width="46.7265625" style="2" customWidth="1"/>
    <col min="3" max="4" width="12.7265625" style="2" bestFit="1" customWidth="1"/>
    <col min="5" max="16384" width="10.81640625" style="2"/>
  </cols>
  <sheetData>
    <row r="1" spans="1:16" s="9" customFormat="1" ht="20.149999999999999" customHeight="1" x14ac:dyDescent="0.35">
      <c r="A1" s="6" t="s">
        <v>93</v>
      </c>
      <c r="B1" s="15"/>
      <c r="C1" s="15"/>
      <c r="D1" s="15"/>
      <c r="E1" s="15"/>
      <c r="F1" s="15"/>
      <c r="G1" s="15"/>
      <c r="H1" s="15"/>
      <c r="I1" s="15"/>
      <c r="J1" s="15"/>
      <c r="K1" s="15"/>
      <c r="L1" s="15"/>
      <c r="M1" s="15"/>
      <c r="N1" s="15"/>
      <c r="O1" s="15"/>
      <c r="P1" s="15"/>
    </row>
    <row r="3" spans="1:16" s="9" customFormat="1" ht="13" x14ac:dyDescent="0.35">
      <c r="A3" s="57" t="s">
        <v>94</v>
      </c>
      <c r="B3" s="57"/>
      <c r="C3" s="57"/>
      <c r="D3" s="57"/>
      <c r="E3" s="57"/>
      <c r="F3" s="57"/>
      <c r="G3" s="57"/>
      <c r="H3" s="57"/>
      <c r="I3" s="57"/>
      <c r="J3" s="57"/>
      <c r="K3" s="57"/>
      <c r="L3" s="57"/>
      <c r="M3" s="57"/>
      <c r="N3" s="57"/>
      <c r="O3" s="57"/>
      <c r="P3" s="57"/>
    </row>
    <row r="5" spans="1:16" ht="37.5" x14ac:dyDescent="0.25">
      <c r="B5" s="101"/>
      <c r="C5" s="99" t="s">
        <v>43</v>
      </c>
      <c r="D5" s="14" t="s">
        <v>95</v>
      </c>
    </row>
    <row r="6" spans="1:16" x14ac:dyDescent="0.25">
      <c r="B6" s="100" t="s">
        <v>45</v>
      </c>
      <c r="C6" s="102">
        <f t="shared" ref="C6:C13" si="0">VLOOKUP($B6,tableau_emploi_final,2,0)</f>
        <v>10866</v>
      </c>
      <c r="D6" s="103">
        <f t="shared" ref="D6:D13" si="1">VLOOKUP($B6,tableau_emploi_final,4,0)</f>
        <v>21073.454545454548</v>
      </c>
    </row>
    <row r="7" spans="1:16" x14ac:dyDescent="0.25">
      <c r="B7" s="100" t="s">
        <v>50</v>
      </c>
      <c r="C7" s="102">
        <f t="shared" si="0"/>
        <v>299948</v>
      </c>
      <c r="D7" s="103">
        <f t="shared" si="1"/>
        <v>160204.44702467343</v>
      </c>
    </row>
    <row r="8" spans="1:16" x14ac:dyDescent="0.25">
      <c r="B8" s="100" t="s">
        <v>51</v>
      </c>
      <c r="C8" s="102">
        <f t="shared" si="0"/>
        <v>0</v>
      </c>
      <c r="D8" s="103">
        <f t="shared" si="1"/>
        <v>97402.597402597385</v>
      </c>
    </row>
    <row r="9" spans="1:16" x14ac:dyDescent="0.25">
      <c r="B9" s="100" t="s">
        <v>52</v>
      </c>
      <c r="C9" s="102">
        <f t="shared" si="0"/>
        <v>1455</v>
      </c>
      <c r="D9" s="103">
        <f t="shared" si="1"/>
        <v>4522.2972972972966</v>
      </c>
    </row>
    <row r="10" spans="1:16" x14ac:dyDescent="0.25">
      <c r="B10" s="100" t="s">
        <v>53</v>
      </c>
      <c r="C10" s="102">
        <f t="shared" si="0"/>
        <v>28859</v>
      </c>
      <c r="D10" s="103">
        <f t="shared" si="1"/>
        <v>28859</v>
      </c>
    </row>
    <row r="11" spans="1:16" ht="25" x14ac:dyDescent="0.25">
      <c r="B11" s="100" t="s">
        <v>54</v>
      </c>
      <c r="C11" s="102">
        <f t="shared" si="0"/>
        <v>19274</v>
      </c>
      <c r="D11" s="103">
        <f t="shared" si="1"/>
        <v>19274</v>
      </c>
    </row>
    <row r="12" spans="1:16" ht="37.5" x14ac:dyDescent="0.25">
      <c r="B12" s="100" t="s">
        <v>56</v>
      </c>
      <c r="C12" s="102">
        <f t="shared" si="0"/>
        <v>3924</v>
      </c>
      <c r="D12" s="103">
        <f t="shared" si="1"/>
        <v>3924</v>
      </c>
    </row>
    <row r="13" spans="1:16" ht="25" x14ac:dyDescent="0.25">
      <c r="B13" s="100" t="s">
        <v>57</v>
      </c>
      <c r="C13" s="102">
        <f t="shared" si="0"/>
        <v>103534</v>
      </c>
      <c r="D13" s="103">
        <f t="shared" si="1"/>
        <v>74303.557209815277</v>
      </c>
    </row>
    <row r="14" spans="1:16" ht="13" x14ac:dyDescent="0.3">
      <c r="B14" s="106" t="s">
        <v>62</v>
      </c>
      <c r="C14" s="104">
        <f>SUM(C6:C13)</f>
        <v>467860</v>
      </c>
      <c r="D14" s="105">
        <f>SUM(D6:D13)</f>
        <v>409563.35347983788</v>
      </c>
    </row>
    <row r="15" spans="1:16" x14ac:dyDescent="0.25">
      <c r="C15" s="12"/>
      <c r="D15" s="12"/>
    </row>
    <row r="16" spans="1:16" x14ac:dyDescent="0.25">
      <c r="C16" s="12"/>
      <c r="D16" s="12"/>
    </row>
    <row r="17" spans="1:31" x14ac:dyDescent="0.25">
      <c r="C17" s="12"/>
      <c r="D17" s="12"/>
    </row>
    <row r="18" spans="1:31" x14ac:dyDescent="0.25">
      <c r="C18" s="12"/>
      <c r="D18" s="12"/>
    </row>
    <row r="19" spans="1:31" x14ac:dyDescent="0.25">
      <c r="C19" s="12"/>
      <c r="D19" s="12"/>
    </row>
    <row r="20" spans="1:31" x14ac:dyDescent="0.25">
      <c r="C20" s="12"/>
      <c r="D20" s="12"/>
    </row>
    <row r="21" spans="1:31" x14ac:dyDescent="0.25">
      <c r="C21" s="12"/>
      <c r="D21" s="12"/>
    </row>
    <row r="22" spans="1:31" x14ac:dyDescent="0.25">
      <c r="C22" s="12"/>
      <c r="D22" s="12"/>
    </row>
    <row r="23" spans="1:31" s="9" customFormat="1" ht="13" x14ac:dyDescent="0.35">
      <c r="A23" s="57" t="s">
        <v>96</v>
      </c>
      <c r="B23" s="57"/>
      <c r="C23" s="57"/>
      <c r="D23" s="57"/>
      <c r="E23" s="57"/>
      <c r="F23" s="57"/>
      <c r="G23" s="57"/>
      <c r="H23" s="57"/>
      <c r="I23" s="57"/>
      <c r="J23" s="57"/>
      <c r="K23" s="57"/>
      <c r="L23" s="57"/>
      <c r="M23" s="57"/>
      <c r="N23" s="57"/>
      <c r="O23" s="57"/>
      <c r="P23" s="57"/>
    </row>
    <row r="24" spans="1:31" s="9" customFormat="1" ht="11.5" x14ac:dyDescent="0.35"/>
    <row r="25" spans="1:31" s="9" customFormat="1" ht="11.5" x14ac:dyDescent="0.35">
      <c r="B25" s="113"/>
      <c r="C25" s="107">
        <v>2022</v>
      </c>
      <c r="D25" s="107">
        <v>2023</v>
      </c>
      <c r="E25" s="107">
        <v>2024</v>
      </c>
      <c r="F25" s="107">
        <v>2025</v>
      </c>
      <c r="G25" s="107">
        <v>2026</v>
      </c>
      <c r="H25" s="107">
        <v>2027</v>
      </c>
      <c r="I25" s="107">
        <v>2028</v>
      </c>
      <c r="J25" s="107">
        <v>2029</v>
      </c>
      <c r="K25" s="107">
        <v>2030</v>
      </c>
      <c r="L25" s="107">
        <v>2031</v>
      </c>
      <c r="M25" s="107">
        <v>2032</v>
      </c>
      <c r="N25" s="107">
        <v>2033</v>
      </c>
      <c r="O25" s="107">
        <v>2034</v>
      </c>
      <c r="P25" s="107">
        <v>2035</v>
      </c>
      <c r="Q25" s="107">
        <v>2036</v>
      </c>
      <c r="R25" s="107">
        <v>2037</v>
      </c>
      <c r="S25" s="107">
        <v>2038</v>
      </c>
      <c r="T25" s="107">
        <v>2039</v>
      </c>
      <c r="U25" s="107">
        <v>2040</v>
      </c>
      <c r="V25" s="107">
        <v>2041</v>
      </c>
      <c r="W25" s="107">
        <v>2042</v>
      </c>
      <c r="X25" s="107">
        <v>2043</v>
      </c>
      <c r="Y25" s="107">
        <v>2044</v>
      </c>
      <c r="Z25" s="107">
        <v>2045</v>
      </c>
      <c r="AA25" s="107">
        <v>2046</v>
      </c>
      <c r="AB25" s="107">
        <v>2047</v>
      </c>
      <c r="AC25" s="107">
        <v>2048</v>
      </c>
      <c r="AD25" s="107">
        <v>2049</v>
      </c>
      <c r="AE25" s="108">
        <v>2050</v>
      </c>
    </row>
    <row r="26" spans="1:31" s="9" customFormat="1" x14ac:dyDescent="0.25">
      <c r="B26" s="109" t="s">
        <v>45</v>
      </c>
      <c r="C26" s="114">
        <f>VLOOKUP($B26,tableau_emploi_final,2,0)</f>
        <v>10866</v>
      </c>
      <c r="D26" s="119">
        <f>C26+($H26-$C26)/COUNTA($D$25:$H$25)</f>
        <v>12064.552727272727</v>
      </c>
      <c r="E26" s="119">
        <f t="shared" ref="E26:G26" si="2">D26+($H26-$C26)/COUNTA($D$25:$H$25)</f>
        <v>13263.105454545454</v>
      </c>
      <c r="F26" s="119">
        <f t="shared" si="2"/>
        <v>14461.65818181818</v>
      </c>
      <c r="G26" s="119">
        <f t="shared" si="2"/>
        <v>15660.210909090907</v>
      </c>
      <c r="H26" s="115">
        <f>VLOOKUP($B26,tableau_emploi_final,3,0)</f>
        <v>16858.763636363637</v>
      </c>
      <c r="I26" s="119">
        <f>H26+($AE26-$H26)/COUNTA($I$25:$AE$25)</f>
        <v>17042.011067193678</v>
      </c>
      <c r="J26" s="119">
        <f t="shared" ref="J26:AD26" si="3">I26+($AE26-$H26)/COUNTA($I$25:$AE$25)</f>
        <v>17225.258498023719</v>
      </c>
      <c r="K26" s="119">
        <f t="shared" si="3"/>
        <v>17408.50592885376</v>
      </c>
      <c r="L26" s="119">
        <f t="shared" si="3"/>
        <v>17591.7533596838</v>
      </c>
      <c r="M26" s="119">
        <f t="shared" si="3"/>
        <v>17775.000790513841</v>
      </c>
      <c r="N26" s="119">
        <f t="shared" si="3"/>
        <v>17958.248221343882</v>
      </c>
      <c r="O26" s="119">
        <f t="shared" si="3"/>
        <v>18141.495652173922</v>
      </c>
      <c r="P26" s="119">
        <f t="shared" si="3"/>
        <v>18324.743083003963</v>
      </c>
      <c r="Q26" s="119">
        <f t="shared" si="3"/>
        <v>18507.990513834004</v>
      </c>
      <c r="R26" s="119">
        <f t="shared" si="3"/>
        <v>18691.237944664044</v>
      </c>
      <c r="S26" s="119">
        <f t="shared" si="3"/>
        <v>18874.485375494085</v>
      </c>
      <c r="T26" s="119">
        <f t="shared" si="3"/>
        <v>19057.732806324126</v>
      </c>
      <c r="U26" s="119">
        <f t="shared" si="3"/>
        <v>19240.980237154166</v>
      </c>
      <c r="V26" s="119">
        <f t="shared" si="3"/>
        <v>19424.227667984207</v>
      </c>
      <c r="W26" s="119">
        <f t="shared" si="3"/>
        <v>19607.475098814248</v>
      </c>
      <c r="X26" s="119">
        <f t="shared" si="3"/>
        <v>19790.722529644288</v>
      </c>
      <c r="Y26" s="119">
        <f t="shared" si="3"/>
        <v>19973.969960474329</v>
      </c>
      <c r="Z26" s="119">
        <f t="shared" si="3"/>
        <v>20157.21739130437</v>
      </c>
      <c r="AA26" s="119">
        <f t="shared" si="3"/>
        <v>20340.46482213441</v>
      </c>
      <c r="AB26" s="119">
        <f t="shared" si="3"/>
        <v>20523.712252964451</v>
      </c>
      <c r="AC26" s="119">
        <f t="shared" si="3"/>
        <v>20706.959683794492</v>
      </c>
      <c r="AD26" s="119">
        <f t="shared" si="3"/>
        <v>20890.207114624533</v>
      </c>
      <c r="AE26" s="116">
        <f>VLOOKUP($B26,tableau_emploi_final,4,0)</f>
        <v>21073.454545454548</v>
      </c>
    </row>
    <row r="27" spans="1:31" s="9" customFormat="1" x14ac:dyDescent="0.25">
      <c r="B27" s="109" t="s">
        <v>50</v>
      </c>
      <c r="C27" s="117">
        <f>VLOOKUP($B27,tableau_emploi_final,2,0)</f>
        <v>299948</v>
      </c>
      <c r="D27" s="120">
        <f t="shared" ref="D27:G27" si="4">C27+($H27-$C27)/COUNTA($D$25:$H$25)</f>
        <v>292808.4539912917</v>
      </c>
      <c r="E27" s="120">
        <f t="shared" si="4"/>
        <v>285668.90798258339</v>
      </c>
      <c r="F27" s="120">
        <f t="shared" si="4"/>
        <v>278529.36197387509</v>
      </c>
      <c r="G27" s="120">
        <f t="shared" si="4"/>
        <v>271389.81596516678</v>
      </c>
      <c r="H27" s="102">
        <f>VLOOKUP($B27,tableau_emploi_final,3,0)</f>
        <v>264250.26995645859</v>
      </c>
      <c r="I27" s="120">
        <f t="shared" ref="I27:AD27" si="5">H27+($AE27-$H27)/COUNTA($I$25:$AE$25)</f>
        <v>259726.53852464186</v>
      </c>
      <c r="J27" s="120">
        <f t="shared" si="5"/>
        <v>255202.80709282513</v>
      </c>
      <c r="K27" s="120">
        <f t="shared" si="5"/>
        <v>250679.07566100839</v>
      </c>
      <c r="L27" s="120">
        <f t="shared" si="5"/>
        <v>246155.34422919166</v>
      </c>
      <c r="M27" s="120">
        <f t="shared" si="5"/>
        <v>241631.61279737492</v>
      </c>
      <c r="N27" s="120">
        <f t="shared" si="5"/>
        <v>237107.88136555819</v>
      </c>
      <c r="O27" s="120">
        <f t="shared" si="5"/>
        <v>232584.14993374146</v>
      </c>
      <c r="P27" s="120">
        <f t="shared" si="5"/>
        <v>228060.41850192472</v>
      </c>
      <c r="Q27" s="120">
        <f t="shared" si="5"/>
        <v>223536.68707010799</v>
      </c>
      <c r="R27" s="120">
        <f t="shared" si="5"/>
        <v>219012.95563829126</v>
      </c>
      <c r="S27" s="120">
        <f t="shared" si="5"/>
        <v>214489.22420647452</v>
      </c>
      <c r="T27" s="120">
        <f t="shared" si="5"/>
        <v>209965.49277465779</v>
      </c>
      <c r="U27" s="120">
        <f t="shared" si="5"/>
        <v>205441.76134284106</v>
      </c>
      <c r="V27" s="120">
        <f t="shared" si="5"/>
        <v>200918.02991102432</v>
      </c>
      <c r="W27" s="120">
        <f t="shared" si="5"/>
        <v>196394.29847920759</v>
      </c>
      <c r="X27" s="120">
        <f t="shared" si="5"/>
        <v>191870.56704739085</v>
      </c>
      <c r="Y27" s="120">
        <f t="shared" si="5"/>
        <v>187346.83561557412</v>
      </c>
      <c r="Z27" s="120">
        <f t="shared" si="5"/>
        <v>182823.10418375739</v>
      </c>
      <c r="AA27" s="120">
        <f t="shared" si="5"/>
        <v>178299.37275194065</v>
      </c>
      <c r="AB27" s="120">
        <f t="shared" si="5"/>
        <v>173775.64132012392</v>
      </c>
      <c r="AC27" s="120">
        <f t="shared" si="5"/>
        <v>169251.90988830719</v>
      </c>
      <c r="AD27" s="120">
        <f t="shared" si="5"/>
        <v>164728.17845649045</v>
      </c>
      <c r="AE27" s="103">
        <f>VLOOKUP($B27,tableau_emploi_final,4,0)</f>
        <v>160204.44702467343</v>
      </c>
    </row>
    <row r="28" spans="1:31" s="9" customFormat="1" x14ac:dyDescent="0.25">
      <c r="B28" s="109" t="s">
        <v>51</v>
      </c>
      <c r="C28" s="117">
        <f>VLOOKUP($B28,tableau_emploi_final,2,0)</f>
        <v>0</v>
      </c>
      <c r="D28" s="120">
        <f t="shared" ref="D28:G28" si="6">C28+($H28-$C28)/COUNTA($D$25:$H$25)</f>
        <v>14731.537119596818</v>
      </c>
      <c r="E28" s="120">
        <f t="shared" si="6"/>
        <v>29463.074239193636</v>
      </c>
      <c r="F28" s="120">
        <f t="shared" si="6"/>
        <v>44194.611358790455</v>
      </c>
      <c r="G28" s="120">
        <f t="shared" si="6"/>
        <v>58926.148478387273</v>
      </c>
      <c r="H28" s="102">
        <f>VLOOKUP($B28,tableau_emploi_final,3,0)</f>
        <v>73657.685597984091</v>
      </c>
      <c r="I28" s="120">
        <f t="shared" ref="I28:AD28" si="7">H28+($AE28-$H28)/COUNTA($I$25:$AE$25)</f>
        <v>74690.07306774988</v>
      </c>
      <c r="J28" s="120">
        <f t="shared" si="7"/>
        <v>75722.460537515668</v>
      </c>
      <c r="K28" s="120">
        <f t="shared" si="7"/>
        <v>76754.848007281456</v>
      </c>
      <c r="L28" s="120">
        <f t="shared" si="7"/>
        <v>77787.235477047245</v>
      </c>
      <c r="M28" s="120">
        <f t="shared" si="7"/>
        <v>78819.622946813033</v>
      </c>
      <c r="N28" s="120">
        <f t="shared" si="7"/>
        <v>79852.010416578822</v>
      </c>
      <c r="O28" s="120">
        <f t="shared" si="7"/>
        <v>80884.39788634461</v>
      </c>
      <c r="P28" s="120">
        <f t="shared" si="7"/>
        <v>81916.785356110398</v>
      </c>
      <c r="Q28" s="120">
        <f t="shared" si="7"/>
        <v>82949.172825876187</v>
      </c>
      <c r="R28" s="120">
        <f t="shared" si="7"/>
        <v>83981.560295641975</v>
      </c>
      <c r="S28" s="120">
        <f t="shared" si="7"/>
        <v>85013.947765407764</v>
      </c>
      <c r="T28" s="120">
        <f t="shared" si="7"/>
        <v>86046.335235173552</v>
      </c>
      <c r="U28" s="120">
        <f t="shared" si="7"/>
        <v>87078.72270493934</v>
      </c>
      <c r="V28" s="120">
        <f t="shared" si="7"/>
        <v>88111.110174705129</v>
      </c>
      <c r="W28" s="120">
        <f t="shared" si="7"/>
        <v>89143.497644470917</v>
      </c>
      <c r="X28" s="120">
        <f t="shared" si="7"/>
        <v>90175.885114236706</v>
      </c>
      <c r="Y28" s="120">
        <f t="shared" si="7"/>
        <v>91208.272584002494</v>
      </c>
      <c r="Z28" s="120">
        <f t="shared" si="7"/>
        <v>92240.660053768283</v>
      </c>
      <c r="AA28" s="120">
        <f t="shared" si="7"/>
        <v>93273.047523534071</v>
      </c>
      <c r="AB28" s="120">
        <f t="shared" si="7"/>
        <v>94305.434993299859</v>
      </c>
      <c r="AC28" s="120">
        <f t="shared" si="7"/>
        <v>95337.822463065648</v>
      </c>
      <c r="AD28" s="120">
        <f t="shared" si="7"/>
        <v>96370.209932831436</v>
      </c>
      <c r="AE28" s="103">
        <f>VLOOKUP($B28,tableau_emploi_final,4,0)</f>
        <v>97402.597402597385</v>
      </c>
    </row>
    <row r="29" spans="1:31" s="9" customFormat="1" x14ac:dyDescent="0.25">
      <c r="B29" s="109" t="s">
        <v>52</v>
      </c>
      <c r="C29" s="117">
        <f>VLOOKUP($B29,tableau_emploi_final,2,0)</f>
        <v>1455</v>
      </c>
      <c r="D29" s="120">
        <f t="shared" ref="D29:G30" si="8">C29+($H29-$C29)/COUNTA($D$25:$H$25)</f>
        <v>1793.1891891891892</v>
      </c>
      <c r="E29" s="120">
        <f t="shared" si="8"/>
        <v>2131.3783783783783</v>
      </c>
      <c r="F29" s="120">
        <f t="shared" si="8"/>
        <v>2469.5675675675675</v>
      </c>
      <c r="G29" s="120">
        <f t="shared" si="8"/>
        <v>2807.7567567567567</v>
      </c>
      <c r="H29" s="102">
        <f>VLOOKUP($B29,tableau_emploi_final,3,0)</f>
        <v>3145.9459459459463</v>
      </c>
      <c r="I29" s="120">
        <f t="shared" ref="I29:AD30" si="9">H29+($AE29-$H29)/COUNTA($I$25:$AE$25)</f>
        <v>3205.7873090481789</v>
      </c>
      <c r="J29" s="120">
        <f t="shared" si="9"/>
        <v>3265.6286721504116</v>
      </c>
      <c r="K29" s="120">
        <f t="shared" si="9"/>
        <v>3325.4700352526443</v>
      </c>
      <c r="L29" s="120">
        <f t="shared" si="9"/>
        <v>3385.3113983548769</v>
      </c>
      <c r="M29" s="120">
        <f t="shared" si="9"/>
        <v>3445.1527614571096</v>
      </c>
      <c r="N29" s="120">
        <f t="shared" si="9"/>
        <v>3504.9941245593423</v>
      </c>
      <c r="O29" s="120">
        <f t="shared" si="9"/>
        <v>3564.8354876615749</v>
      </c>
      <c r="P29" s="120">
        <f t="shared" si="9"/>
        <v>3624.6768507638076</v>
      </c>
      <c r="Q29" s="120">
        <f t="shared" si="9"/>
        <v>3684.5182138660402</v>
      </c>
      <c r="R29" s="120">
        <f t="shared" si="9"/>
        <v>3744.3595769682729</v>
      </c>
      <c r="S29" s="120">
        <f t="shared" si="9"/>
        <v>3804.2009400705056</v>
      </c>
      <c r="T29" s="120">
        <f t="shared" si="9"/>
        <v>3864.0423031727382</v>
      </c>
      <c r="U29" s="120">
        <f t="shared" si="9"/>
        <v>3923.8836662749709</v>
      </c>
      <c r="V29" s="120">
        <f t="shared" si="9"/>
        <v>3983.7250293772036</v>
      </c>
      <c r="W29" s="120">
        <f t="shared" si="9"/>
        <v>4043.5663924794362</v>
      </c>
      <c r="X29" s="120">
        <f t="shared" si="9"/>
        <v>4103.4077555816684</v>
      </c>
      <c r="Y29" s="120">
        <f t="shared" si="9"/>
        <v>4163.2491186839006</v>
      </c>
      <c r="Z29" s="120">
        <f t="shared" si="9"/>
        <v>4223.0904817861328</v>
      </c>
      <c r="AA29" s="120">
        <f t="shared" si="9"/>
        <v>4282.931844888365</v>
      </c>
      <c r="AB29" s="120">
        <f t="shared" si="9"/>
        <v>4342.7732079905973</v>
      </c>
      <c r="AC29" s="120">
        <f t="shared" si="9"/>
        <v>4402.6145710928295</v>
      </c>
      <c r="AD29" s="120">
        <f t="shared" si="9"/>
        <v>4462.4559341950617</v>
      </c>
      <c r="AE29" s="103">
        <f>VLOOKUP($B29,tableau_emploi_final,4,0)</f>
        <v>4522.2972972972966</v>
      </c>
    </row>
    <row r="30" spans="1:31" s="9" customFormat="1" ht="11.5" x14ac:dyDescent="0.35">
      <c r="B30" s="110" t="s">
        <v>97</v>
      </c>
      <c r="C30" s="118">
        <f>SUM('Modèle Emploi Fret'!$C$68:$C$71)</f>
        <v>155591</v>
      </c>
      <c r="D30" s="121">
        <f t="shared" si="8"/>
        <v>154825.98450510064</v>
      </c>
      <c r="E30" s="121">
        <f t="shared" si="8"/>
        <v>154060.96901020128</v>
      </c>
      <c r="F30" s="121">
        <f t="shared" si="8"/>
        <v>153295.95351530192</v>
      </c>
      <c r="G30" s="121">
        <f t="shared" si="8"/>
        <v>152530.93802040257</v>
      </c>
      <c r="H30" s="111">
        <f>SUM('Modèle Emploi Fret'!$D$68:$D$71)</f>
        <v>151765.92252550318</v>
      </c>
      <c r="I30" s="121">
        <f t="shared" si="9"/>
        <v>150661.34142482109</v>
      </c>
      <c r="J30" s="121">
        <f t="shared" si="9"/>
        <v>149556.760324139</v>
      </c>
      <c r="K30" s="121">
        <f t="shared" si="9"/>
        <v>148452.17922345691</v>
      </c>
      <c r="L30" s="121">
        <f t="shared" si="9"/>
        <v>147347.59812277483</v>
      </c>
      <c r="M30" s="121">
        <f t="shared" si="9"/>
        <v>146243.01702209274</v>
      </c>
      <c r="N30" s="121">
        <f t="shared" si="9"/>
        <v>145138.43592141065</v>
      </c>
      <c r="O30" s="121">
        <f t="shared" si="9"/>
        <v>144033.85482072856</v>
      </c>
      <c r="P30" s="121">
        <f t="shared" si="9"/>
        <v>142929.27372004648</v>
      </c>
      <c r="Q30" s="121">
        <f t="shared" si="9"/>
        <v>141824.69261936439</v>
      </c>
      <c r="R30" s="121">
        <f t="shared" si="9"/>
        <v>140720.1115186823</v>
      </c>
      <c r="S30" s="121">
        <f t="shared" si="9"/>
        <v>139615.53041800021</v>
      </c>
      <c r="T30" s="121">
        <f t="shared" si="9"/>
        <v>138510.94931731813</v>
      </c>
      <c r="U30" s="121">
        <f t="shared" si="9"/>
        <v>137406.36821663604</v>
      </c>
      <c r="V30" s="121">
        <f t="shared" si="9"/>
        <v>136301.78711595395</v>
      </c>
      <c r="W30" s="121">
        <f t="shared" si="9"/>
        <v>135197.20601527186</v>
      </c>
      <c r="X30" s="121">
        <f t="shared" si="9"/>
        <v>134092.62491458977</v>
      </c>
      <c r="Y30" s="121">
        <f t="shared" si="9"/>
        <v>132988.04381390769</v>
      </c>
      <c r="Z30" s="121">
        <f t="shared" si="9"/>
        <v>131883.4627132256</v>
      </c>
      <c r="AA30" s="121">
        <f t="shared" si="9"/>
        <v>130778.88161254351</v>
      </c>
      <c r="AB30" s="121">
        <f t="shared" si="9"/>
        <v>129674.30051186142</v>
      </c>
      <c r="AC30" s="121">
        <f t="shared" si="9"/>
        <v>128569.71941117934</v>
      </c>
      <c r="AD30" s="121">
        <f t="shared" si="9"/>
        <v>127465.13831049725</v>
      </c>
      <c r="AE30" s="112">
        <f>SUM('Modèle Emploi Fret'!$E$68:$E$71)</f>
        <v>126360.55720981528</v>
      </c>
    </row>
    <row r="31" spans="1:31" s="9" customFormat="1" ht="11.5" x14ac:dyDescent="0.35">
      <c r="B31" s="9" t="s">
        <v>98</v>
      </c>
    </row>
    <row r="32" spans="1:31" x14ac:dyDescent="0.25">
      <c r="C32" s="12"/>
      <c r="D32" s="12"/>
    </row>
    <row r="33" spans="3:4" x14ac:dyDescent="0.25">
      <c r="C33" s="12"/>
      <c r="D33" s="12"/>
    </row>
    <row r="34" spans="3:4" x14ac:dyDescent="0.25">
      <c r="C34" s="12"/>
      <c r="D34" s="12"/>
    </row>
    <row r="35" spans="3:4" x14ac:dyDescent="0.25">
      <c r="C35" s="12"/>
      <c r="D35" s="12"/>
    </row>
    <row r="36" spans="3:4" x14ac:dyDescent="0.25">
      <c r="C36" s="12"/>
      <c r="D36" s="12"/>
    </row>
    <row r="37" spans="3:4" x14ac:dyDescent="0.25">
      <c r="C37" s="12"/>
      <c r="D37" s="12"/>
    </row>
    <row r="38" spans="3:4" x14ac:dyDescent="0.25">
      <c r="C38" s="12"/>
      <c r="D38" s="12"/>
    </row>
    <row r="39" spans="3:4" x14ac:dyDescent="0.25">
      <c r="C39" s="12"/>
      <c r="D39" s="12"/>
    </row>
    <row r="40" spans="3:4" x14ac:dyDescent="0.25">
      <c r="C40" s="12"/>
      <c r="D40" s="12"/>
    </row>
    <row r="41" spans="3:4" x14ac:dyDescent="0.25">
      <c r="C41" s="12"/>
      <c r="D41" s="12"/>
    </row>
    <row r="42" spans="3:4" x14ac:dyDescent="0.25">
      <c r="C42" s="12"/>
      <c r="D42" s="12"/>
    </row>
    <row r="43" spans="3:4" x14ac:dyDescent="0.25">
      <c r="C43" s="12"/>
      <c r="D43" s="12"/>
    </row>
    <row r="44" spans="3:4" x14ac:dyDescent="0.25">
      <c r="C44" s="12"/>
      <c r="D44" s="12"/>
    </row>
    <row r="45" spans="3:4" x14ac:dyDescent="0.25">
      <c r="C45" s="12"/>
      <c r="D45" s="12"/>
    </row>
    <row r="46" spans="3:4" x14ac:dyDescent="0.25">
      <c r="C46" s="12"/>
      <c r="D46" s="12"/>
    </row>
    <row r="47" spans="3:4" x14ac:dyDescent="0.25">
      <c r="C47" s="12"/>
      <c r="D47" s="12"/>
    </row>
    <row r="48" spans="3:4" x14ac:dyDescent="0.25">
      <c r="C48" s="12"/>
      <c r="D48" s="12"/>
    </row>
    <row r="49" spans="1:16" x14ac:dyDescent="0.25">
      <c r="C49" s="12"/>
      <c r="D49" s="12"/>
    </row>
    <row r="50" spans="1:16" x14ac:dyDescent="0.25">
      <c r="C50" s="12"/>
      <c r="D50" s="12"/>
    </row>
    <row r="51" spans="1:16" x14ac:dyDescent="0.25">
      <c r="C51" s="12"/>
      <c r="D51" s="12"/>
    </row>
    <row r="52" spans="1:16" x14ac:dyDescent="0.25">
      <c r="C52" s="12"/>
      <c r="D52" s="12"/>
    </row>
    <row r="53" spans="1:16" x14ac:dyDescent="0.25">
      <c r="C53" s="12"/>
      <c r="D53" s="12"/>
    </row>
    <row r="54" spans="1:16" s="9" customFormat="1" ht="13" x14ac:dyDescent="0.35">
      <c r="A54" s="57" t="s">
        <v>99</v>
      </c>
      <c r="B54" s="57"/>
      <c r="C54" s="57"/>
      <c r="D54" s="57"/>
      <c r="E54" s="57"/>
      <c r="F54" s="57"/>
      <c r="G54" s="57"/>
      <c r="H54" s="57"/>
      <c r="I54" s="57"/>
      <c r="J54" s="57"/>
      <c r="K54" s="57"/>
      <c r="L54" s="57"/>
      <c r="M54" s="57"/>
      <c r="N54" s="57"/>
      <c r="O54" s="57"/>
      <c r="P54" s="57"/>
    </row>
    <row r="55" spans="1:16" ht="13" x14ac:dyDescent="0.3">
      <c r="A55" s="8" t="s">
        <v>100</v>
      </c>
      <c r="C55" s="12"/>
      <c r="D55" s="12"/>
    </row>
    <row r="56" spans="1:16" ht="13" x14ac:dyDescent="0.3">
      <c r="A56" s="8"/>
      <c r="C56" s="12"/>
      <c r="D56" s="12"/>
    </row>
    <row r="57" spans="1:16" ht="37.5" x14ac:dyDescent="0.25">
      <c r="B57" s="101"/>
      <c r="C57" s="99" t="s">
        <v>43</v>
      </c>
      <c r="D57" s="14" t="s">
        <v>95</v>
      </c>
    </row>
    <row r="58" spans="1:16" x14ac:dyDescent="0.25">
      <c r="B58" s="100" t="str">
        <f t="shared" ref="B58:B65" si="10">B6</f>
        <v>Transports ferroviaires de fret</v>
      </c>
      <c r="C58" s="12">
        <f>ROUND(C6,1-LOG(C6))</f>
        <v>11000</v>
      </c>
      <c r="D58" s="13">
        <f>ROUND(D6,1-LOG(D6))</f>
        <v>21000</v>
      </c>
    </row>
    <row r="59" spans="1:16" x14ac:dyDescent="0.25">
      <c r="B59" s="100" t="str">
        <f t="shared" si="10"/>
        <v xml:space="preserve">Transports routiers de fret </v>
      </c>
      <c r="C59" s="12">
        <f>ROUND(C7,1-LOG(C7))</f>
        <v>300000</v>
      </c>
      <c r="D59" s="13">
        <f>ROUND(D7,1-LOG(D7))</f>
        <v>160000</v>
      </c>
    </row>
    <row r="60" spans="1:16" x14ac:dyDescent="0.25">
      <c r="B60" s="100" t="str">
        <f t="shared" si="10"/>
        <v>Cyclologistique</v>
      </c>
      <c r="C60" s="12">
        <v>0</v>
      </c>
      <c r="D60" s="13">
        <f t="shared" ref="D60:D66" si="11">ROUND(D8,1-LOG(D8))</f>
        <v>97000</v>
      </c>
    </row>
    <row r="61" spans="1:16" x14ac:dyDescent="0.25">
      <c r="B61" s="100" t="str">
        <f t="shared" si="10"/>
        <v>Transports fluviaux de fret</v>
      </c>
      <c r="C61" s="12">
        <f t="shared" ref="C61:C66" si="12">ROUND(C9,1-LOG(C9))</f>
        <v>1500</v>
      </c>
      <c r="D61" s="13">
        <f t="shared" si="11"/>
        <v>4500</v>
      </c>
    </row>
    <row r="62" spans="1:16" x14ac:dyDescent="0.25">
      <c r="B62" s="100" t="str">
        <f t="shared" si="10"/>
        <v xml:space="preserve">Entreposage et stockage </v>
      </c>
      <c r="C62" s="12">
        <f t="shared" si="12"/>
        <v>29000</v>
      </c>
      <c r="D62" s="13">
        <f t="shared" si="11"/>
        <v>29000</v>
      </c>
    </row>
    <row r="63" spans="1:16" ht="25" x14ac:dyDescent="0.25">
      <c r="B63" s="100" t="str">
        <f t="shared" si="10"/>
        <v>Services auxiliaires des transports terrestres (exploitation des infrastructures et terminaux)</v>
      </c>
      <c r="C63" s="12">
        <f t="shared" si="12"/>
        <v>19000</v>
      </c>
      <c r="D63" s="13">
        <f t="shared" si="11"/>
        <v>19000</v>
      </c>
    </row>
    <row r="64" spans="1:16" ht="37.5" x14ac:dyDescent="0.25">
      <c r="B64" s="100" t="str">
        <f t="shared" si="10"/>
        <v>Manutention non portuaire (chargement et déchargement de marchandises lors des ruptures de charge)</v>
      </c>
      <c r="C64" s="12">
        <f t="shared" si="12"/>
        <v>3900</v>
      </c>
      <c r="D64" s="13">
        <f t="shared" si="11"/>
        <v>3900</v>
      </c>
    </row>
    <row r="65" spans="2:4" ht="25" x14ac:dyDescent="0.25">
      <c r="B65" s="100" t="str">
        <f t="shared" si="10"/>
        <v>Autres services auxiliaires des transports (messagerie, fret express, affrètement et organisation des transports)</v>
      </c>
      <c r="C65" s="12">
        <f t="shared" si="12"/>
        <v>100000</v>
      </c>
      <c r="D65" s="13">
        <f t="shared" si="11"/>
        <v>74000</v>
      </c>
    </row>
    <row r="66" spans="2:4" ht="13" x14ac:dyDescent="0.3">
      <c r="B66" s="10" t="s">
        <v>62</v>
      </c>
      <c r="C66" s="97">
        <f t="shared" si="12"/>
        <v>470000</v>
      </c>
      <c r="D66" s="98">
        <f t="shared" si="11"/>
        <v>410000</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9F8D0E12706CA4F88F078CAAF1F0285" ma:contentTypeVersion="15" ma:contentTypeDescription="Crée un document." ma:contentTypeScope="" ma:versionID="d61ebabf05edb172a4796a2a26dcc231">
  <xsd:schema xmlns:xsd="http://www.w3.org/2001/XMLSchema" xmlns:xs="http://www.w3.org/2001/XMLSchema" xmlns:p="http://schemas.microsoft.com/office/2006/metadata/properties" xmlns:ns2="e249ac2a-b211-4fea-a23e-058f661af758" xmlns:ns3="8f1b8a44-2e81-425d-8025-2e5e0436f25e" targetNamespace="http://schemas.microsoft.com/office/2006/metadata/properties" ma:root="true" ma:fieldsID="0ecdbb82de15a51058ed3f6676f3dbd1" ns2:_="" ns3:_="">
    <xsd:import namespace="e249ac2a-b211-4fea-a23e-058f661af758"/>
    <xsd:import namespace="8f1b8a44-2e81-425d-8025-2e5e0436f25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ModernAudienceTargetUserField" minOccurs="0"/>
                <xsd:element ref="ns2:_ModernAudienceAadObjectI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49ac2a-b211-4fea-a23e-058f661af7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9c47289d-44d4-4518-8531-d864f6d3e1e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_ModernAudienceTargetUserField" ma:index="21" nillable="true" ma:displayName="Audience" ma:list="UserInfo" ma:SharePointGroup="0" ma:internalName="_ModernAudienceTargetUserField"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ModernAudienceAadObjectIds" ma:index="22" nillable="true" ma:displayName="AudienceIds" ma:list="{9b001c38-b593-437a-acce-521679d6ec8e}" ma:internalName="_ModernAudienceAadObjectIds" ma:readOnly="true" ma:showField="_AadObjectIdForUser" ma:web="8f1b8a44-2e81-425d-8025-2e5e0436f25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f1b8a44-2e81-425d-8025-2e5e0436f25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f8f2c3c-97c3-401f-9e00-dc202c827de0}" ma:internalName="TaxCatchAll" ma:showField="CatchAllData" ma:web="8f1b8a44-2e81-425d-8025-2e5e0436f25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249ac2a-b211-4fea-a23e-058f661af758">
      <Terms xmlns="http://schemas.microsoft.com/office/infopath/2007/PartnerControls"/>
    </lcf76f155ced4ddcb4097134ff3c332f>
    <TaxCatchAll xmlns="8f1b8a44-2e81-425d-8025-2e5e0436f25e" xsi:nil="true"/>
    <_ModernAudienceTargetUserField xmlns="e249ac2a-b211-4fea-a23e-058f661af758">
      <UserInfo>
        <DisplayName/>
        <AccountId xsi:nil="true"/>
        <AccountType/>
      </UserInfo>
    </_ModernAudienceTargetUserFiel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22D19C4-8FEC-44F4-A6F2-9164D69688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49ac2a-b211-4fea-a23e-058f661af758"/>
    <ds:schemaRef ds:uri="8f1b8a44-2e81-425d-8025-2e5e0436f2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E9F7D6F-8D75-4A7D-9252-DF2E0DAE52A1}">
  <ds:schemaRefs>
    <ds:schemaRef ds:uri="http://schemas.microsoft.com/office/2006/metadata/properties"/>
    <ds:schemaRef ds:uri="http://schemas.microsoft.com/office/infopath/2007/PartnerControls"/>
    <ds:schemaRef ds:uri="e249ac2a-b211-4fea-a23e-058f661af758"/>
    <ds:schemaRef ds:uri="8f1b8a44-2e81-425d-8025-2e5e0436f25e"/>
  </ds:schemaRefs>
</ds:datastoreItem>
</file>

<file path=customXml/itemProps3.xml><?xml version="1.0" encoding="utf-8"?>
<ds:datastoreItem xmlns:ds="http://schemas.openxmlformats.org/officeDocument/2006/customXml" ds:itemID="{DC96F2D0-5744-429F-8F8B-ACF8B36EA0F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13</vt:i4>
      </vt:variant>
    </vt:vector>
  </HeadingPairs>
  <TitlesOfParts>
    <vt:vector size="16" baseType="lpstr">
      <vt:lpstr>Légende - Sources - Unités</vt:lpstr>
      <vt:lpstr>Modèle Emploi Fret</vt:lpstr>
      <vt:lpstr>Visualisation</vt:lpstr>
      <vt:lpstr>tableau_emploi_final</vt:lpstr>
      <vt:lpstr>Tk_après</vt:lpstr>
      <vt:lpstr>Tkm_avant</vt:lpstr>
      <vt:lpstr>Tkm_évol</vt:lpstr>
      <vt:lpstr>Tkm_ferro_après</vt:lpstr>
      <vt:lpstr>Tkm_ferro_avant</vt:lpstr>
      <vt:lpstr>Tkm_ferro_évol</vt:lpstr>
      <vt:lpstr>Tkm_fluvial_après</vt:lpstr>
      <vt:lpstr>Tkm_fluvial_avant</vt:lpstr>
      <vt:lpstr>Tkm_fluvial_évol</vt:lpstr>
      <vt:lpstr>Tkm_routier_après</vt:lpstr>
      <vt:lpstr>Tkm_routier_avant</vt:lpstr>
      <vt:lpstr>Tkm_routier_évol</vt:lpstr>
    </vt:vector>
  </TitlesOfParts>
  <Manager/>
  <Company>HOPPS-GROUP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REUBEN FISHER</dc:creator>
  <cp:keywords/>
  <dc:description/>
  <cp:lastModifiedBy>Vinciane Martin</cp:lastModifiedBy>
  <cp:revision/>
  <dcterms:created xsi:type="dcterms:W3CDTF">2020-07-02T15:52:50Z</dcterms:created>
  <dcterms:modified xsi:type="dcterms:W3CDTF">2026-03-25T11:31:24Z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0x01010059F8D0E12706CA4F88F078CAAF1F0285</vt:lpwstr>
  </property>
  <property fmtid="{D5CDD505-2E9C-101B-9397-08002B2CF9AE}" pid="3" name="MediaServiceImageTags">
    <vt:lpwstr/>
  </property>
</Properties>
</file>