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heshiftpr0ject.sharepoint.com/sites/TSP/Projets/Programme EMFOR/11- Emploi &amp; Formation transverse/3 - Modèles PTEF Emploi/Pour publication/"/>
    </mc:Choice>
  </mc:AlternateContent>
  <xr:revisionPtr revIDLastSave="7" documentId="8_{829B9CB1-8B9E-4ED9-960D-DBFE147856D6}" xr6:coauthVersionLast="47" xr6:coauthVersionMax="47" xr10:uidLastSave="{ED46F993-17E4-4777-BEDF-7413FD191843}"/>
  <bookViews>
    <workbookView xWindow="-110" yWindow="-110" windowWidth="19420" windowHeight="10300" xr2:uid="{00000000-000D-0000-FFFF-FFFF00000000}"/>
  </bookViews>
  <sheets>
    <sheet name="Légende - Sources - Unités" sheetId="1" r:id="rId1"/>
    <sheet name="Modèle Emploi Auto" sheetId="2" r:id="rId2"/>
    <sheet name="Emploi actuel Batteries" sheetId="8" r:id="rId3"/>
    <sheet name="Visualisation" sheetId="3" r:id="rId4"/>
  </sheets>
  <definedNames>
    <definedName name="_xlchart.v5.0" hidden="1">Visualisation!$B$44:$B$53</definedName>
    <definedName name="_xlchart.v5.1" hidden="1">Visualisation!$E$44:$E$53</definedName>
    <definedName name="_xlchart.v5.2" hidden="1">Visualisation!$B$21:$B$28</definedName>
    <definedName name="_xlchart.v5.3" hidden="1">Visualisation!$E$21:$E$28</definedName>
    <definedName name="CA_exp_constr_2016">'Modèle Emploi Auto'!#REF!</definedName>
    <definedName name="CA_exp_constr_2018">'Modèle Emploi Auto'!$C$13</definedName>
    <definedName name="CA_int_constr_2016">'Modèle Emploi Auto'!#REF!</definedName>
    <definedName name="CA_int_constr_2018">'Modèle Emploi Auto'!$C$12</definedName>
    <definedName name="CA_tot_constr_2016">'Modèle Emploi Auto'!#REF!</definedName>
    <definedName name="CA_tot_constr_2018">'Modèle Emploi Auto'!$C$11</definedName>
    <definedName name="croissance_prod">'Modèle Emploi Auto'!$C$76</definedName>
    <definedName name="effet_élec_indus">'Modèle Emploi Auto'!$D$103</definedName>
    <definedName name="effet_élec_maintenance">'Modèle Emploi Auto'!$C$105</definedName>
    <definedName name="elec_activité">#REF!</definedName>
    <definedName name="élec_activité_maintenance" localSheetId="1">'Modèle Emploi Auto'!#REF!</definedName>
    <definedName name="élec_activité_noyau" localSheetId="1">'Modèle Emploi Auto'!#REF!</definedName>
    <definedName name="elec_maintenance">#REF!</definedName>
    <definedName name="elec_part">#REF!</definedName>
    <definedName name="elec_prod">#REF!</definedName>
    <definedName name="élec_tot_final" localSheetId="1">'Modèle Emploi Auto'!$E$47</definedName>
    <definedName name="élec_VP_final" localSheetId="1">'Modèle Emploi Auto'!$C$47</definedName>
    <definedName name="élec_VUL_final" localSheetId="1">'Modèle Emploi Auto'!$D$47</definedName>
    <definedName name="etp_amont_actu">'Modèle Emploi Auto'!$C$61</definedName>
    <definedName name="etp_aval_actu">'Modèle Emploi Auto'!$C$68</definedName>
    <definedName name="etp_constr_actu">'Modèle Emploi Auto'!$C$60</definedName>
    <definedName name="etp_tot_actu">'Modèle Emploi Auto'!$C$69</definedName>
    <definedName name="exp_industrie_2018">'Modèle Emploi Auto'!$C$9</definedName>
    <definedName name="exp_vp_valeur">'Modèle Emploi Auto'!#REF!</definedName>
    <definedName name="exp_vul_valeur">'Modèle Emploi Auto'!#REF!</definedName>
    <definedName name="imp_industrie_2018">'Modèle Emploi Auto'!$C$10</definedName>
    <definedName name="imp_vp_valeur">'Modèle Emploi Auto'!#REF!</definedName>
    <definedName name="imp_vul_valeur">'Modèle Emploi Auto'!#REF!</definedName>
    <definedName name="marché" localSheetId="1">'Modèle Emploi Auto'!#REF!</definedName>
    <definedName name="marché">#REF!</definedName>
    <definedName name="marché_exp_évolution">'Modèle Emploi Auto'!#REF!</definedName>
    <definedName name="marché_tot_évolution" localSheetId="1">'Modèle Emploi Auto'!$F$45</definedName>
    <definedName name="marché_tot_final">'Modèle Emploi Auto'!$E$45</definedName>
    <definedName name="marché_tot_initial">'Modèle Emploi Auto'!$E$42</definedName>
    <definedName name="marché_VP_évolution" localSheetId="1">'Modèle Emploi Auto'!$C$38</definedName>
    <definedName name="marché_VP_final" localSheetId="1">'Modèle Emploi Auto'!$C$45</definedName>
    <definedName name="marché_VP_initial" localSheetId="1">'Modèle Emploi Auto'!$C$42</definedName>
    <definedName name="marché_VUL_évolution" localSheetId="1">'Modèle Emploi Auto'!$D$38</definedName>
    <definedName name="marché_VUL_final" localSheetId="1">'Modèle Emploi Auto'!$D$45</definedName>
    <definedName name="marché_VUL_initial" localSheetId="1">'Modèle Emploi Auto'!$D$42</definedName>
    <definedName name="mob_parc" localSheetId="1">'Modèle Emploi Auto'!#REF!</definedName>
    <definedName name="mob_parc">#REF!</definedName>
    <definedName name="mob_tot_évolution" localSheetId="1">'Modèle Emploi Auto'!$F$28</definedName>
    <definedName name="mob_tot_final">'Modèle Emploi Auto'!$E$28</definedName>
    <definedName name="mob_tot_initial">'Modèle Emploi Auto'!$E$26</definedName>
    <definedName name="mob_VP_évolution" localSheetId="1">'Modèle Emploi Auto'!$C$23</definedName>
    <definedName name="mob_VP_final" localSheetId="1">'Modèle Emploi Auto'!$C$28</definedName>
    <definedName name="mob_VP_initial" localSheetId="1">'Modèle Emploi Auto'!$C$26</definedName>
    <definedName name="mob_VUL_évolution" localSheetId="1">'Modèle Emploi Auto'!$D$23</definedName>
    <definedName name="mob_VUL_final" localSheetId="1">'Modèle Emploi Auto'!$D$28</definedName>
    <definedName name="mob_VUL_initial" localSheetId="1">'Modèle Emploi Auto'!$D$26</definedName>
    <definedName name="nb_annees">'Modèle Emploi Auto'!$C$77</definedName>
    <definedName name="prod_constr_évolution">'Modèle Emploi Auto'!$F$46</definedName>
    <definedName name="prod_constr_final_valeur">'Modèle Emploi Auto'!$E$46</definedName>
    <definedName name="prod_constr_initial_valeur">'Modèle Emploi Auto'!$E$43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3" l="1"/>
  <c r="G26" i="2" l="1"/>
  <c r="G10" i="8" l="1"/>
  <c r="C10" i="8"/>
  <c r="I10" i="8" s="1"/>
  <c r="C162" i="2" s="1"/>
  <c r="G8" i="8"/>
  <c r="F8" i="8"/>
  <c r="E8" i="8"/>
  <c r="D8" i="8"/>
  <c r="C8" i="8"/>
  <c r="F6" i="8"/>
  <c r="I6" i="8" s="1"/>
  <c r="E6" i="8"/>
  <c r="D6" i="8"/>
  <c r="C68" i="2" l="1"/>
  <c r="C6" i="3" s="1"/>
  <c r="C13" i="3" s="1"/>
  <c r="C61" i="2"/>
  <c r="C5" i="3" s="1"/>
  <c r="C12" i="3" s="1"/>
  <c r="E52" i="3" l="1"/>
  <c r="E51" i="3"/>
  <c r="C47" i="3"/>
  <c r="C23" i="3"/>
  <c r="C152" i="2"/>
  <c r="C153" i="2" s="1"/>
  <c r="C157" i="2" s="1"/>
  <c r="D50" i="3" s="1"/>
  <c r="E50" i="3" s="1"/>
  <c r="C129" i="2"/>
  <c r="C102" i="2"/>
  <c r="C101" i="2"/>
  <c r="C100" i="2"/>
  <c r="C93" i="2"/>
  <c r="C92" i="2"/>
  <c r="C91" i="2"/>
  <c r="C90" i="2"/>
  <c r="C89" i="2"/>
  <c r="C88" i="2"/>
  <c r="C87" i="2"/>
  <c r="C86" i="2"/>
  <c r="C84" i="2"/>
  <c r="C83" i="2"/>
  <c r="C60" i="2"/>
  <c r="E44" i="2"/>
  <c r="E43" i="2"/>
  <c r="E42" i="2"/>
  <c r="D38" i="2"/>
  <c r="D45" i="2" s="1"/>
  <c r="D166" i="2" s="1"/>
  <c r="C38" i="2"/>
  <c r="C45" i="2" s="1"/>
  <c r="C166" i="2" s="1"/>
  <c r="C167" i="2" s="1"/>
  <c r="D28" i="2"/>
  <c r="C28" i="2"/>
  <c r="E27" i="2"/>
  <c r="E26" i="2"/>
  <c r="C12" i="2"/>
  <c r="C85" i="2" l="1"/>
  <c r="C4" i="3"/>
  <c r="C130" i="2"/>
  <c r="D103" i="2"/>
  <c r="E28" i="2"/>
  <c r="F28" i="2" s="1"/>
  <c r="D92" i="2" s="1"/>
  <c r="C69" i="2"/>
  <c r="C94" i="2" s="1"/>
  <c r="C46" i="3"/>
  <c r="C24" i="3"/>
  <c r="D167" i="2"/>
  <c r="D169" i="2" s="1"/>
  <c r="C131" i="2"/>
  <c r="D27" i="3"/>
  <c r="E27" i="3" s="1"/>
  <c r="E45" i="2"/>
  <c r="E47" i="2"/>
  <c r="C103" i="2"/>
  <c r="C133" i="2"/>
  <c r="C7" i="3" l="1"/>
  <c r="C14" i="3" s="1"/>
  <c r="C11" i="3"/>
  <c r="D88" i="2"/>
  <c r="E88" i="2" s="1"/>
  <c r="D91" i="2"/>
  <c r="F91" i="2" s="1"/>
  <c r="C132" i="2"/>
  <c r="F92" i="2"/>
  <c r="E92" i="2"/>
  <c r="C118" i="2"/>
  <c r="D118" i="2" s="1"/>
  <c r="C135" i="2"/>
  <c r="F45" i="2"/>
  <c r="E166" i="2"/>
  <c r="C114" i="2" l="1"/>
  <c r="D114" i="2" s="1"/>
  <c r="F88" i="2"/>
  <c r="E91" i="2"/>
  <c r="C117" i="2"/>
  <c r="D117" i="2" s="1"/>
  <c r="E167" i="2"/>
  <c r="C169" i="2"/>
  <c r="E169" i="2" s="1"/>
  <c r="E170" i="2" s="1"/>
  <c r="C137" i="2"/>
  <c r="C136" i="2"/>
  <c r="F118" i="2"/>
  <c r="E118" i="2"/>
  <c r="F114" i="2"/>
  <c r="D87" i="2"/>
  <c r="E46" i="2"/>
  <c r="F46" i="2" s="1"/>
  <c r="D90" i="2"/>
  <c r="D89" i="2"/>
  <c r="E114" i="2" l="1"/>
  <c r="F117" i="2"/>
  <c r="E117" i="2"/>
  <c r="C113" i="2"/>
  <c r="D113" i="2" s="1"/>
  <c r="D93" i="2"/>
  <c r="F87" i="2"/>
  <c r="E87" i="2"/>
  <c r="D83" i="2"/>
  <c r="D86" i="2"/>
  <c r="D84" i="2"/>
  <c r="D26" i="3"/>
  <c r="E26" i="3" s="1"/>
  <c r="D49" i="3"/>
  <c r="E49" i="3" s="1"/>
  <c r="F89" i="2"/>
  <c r="E89" i="2"/>
  <c r="C115" i="2"/>
  <c r="D115" i="2" s="1"/>
  <c r="C138" i="2"/>
  <c r="C116" i="2"/>
  <c r="D116" i="2" s="1"/>
  <c r="E90" i="2"/>
  <c r="F90" i="2"/>
  <c r="F115" i="2" l="1"/>
  <c r="E115" i="2"/>
  <c r="D85" i="2"/>
  <c r="F83" i="2"/>
  <c r="E83" i="2"/>
  <c r="C109" i="2"/>
  <c r="D109" i="2" s="1"/>
  <c r="F116" i="2"/>
  <c r="E116" i="2"/>
  <c r="C119" i="2"/>
  <c r="F93" i="2"/>
  <c r="E93" i="2"/>
  <c r="C110" i="2"/>
  <c r="D110" i="2" s="1"/>
  <c r="F84" i="2"/>
  <c r="E84" i="2"/>
  <c r="D119" i="2"/>
  <c r="F113" i="2"/>
  <c r="E113" i="2"/>
  <c r="F86" i="2"/>
  <c r="E86" i="2"/>
  <c r="C112" i="2"/>
  <c r="D112" i="2" s="1"/>
  <c r="D6" i="3" l="1"/>
  <c r="D5" i="3"/>
  <c r="F5" i="3" s="1"/>
  <c r="F6" i="3"/>
  <c r="D13" i="3"/>
  <c r="E6" i="3"/>
  <c r="F110" i="2"/>
  <c r="E110" i="2"/>
  <c r="F112" i="2"/>
  <c r="E112" i="2"/>
  <c r="F119" i="2"/>
  <c r="E119" i="2"/>
  <c r="D111" i="2"/>
  <c r="F109" i="2"/>
  <c r="E109" i="2"/>
  <c r="D94" i="2"/>
  <c r="C111" i="2"/>
  <c r="F85" i="2"/>
  <c r="E85" i="2"/>
  <c r="E5" i="3" l="1"/>
  <c r="D12" i="3"/>
  <c r="D23" i="3" s="1"/>
  <c r="E23" i="3" s="1"/>
  <c r="D4" i="3"/>
  <c r="F4" i="3" s="1"/>
  <c r="D7" i="3"/>
  <c r="D11" i="3"/>
  <c r="E111" i="2"/>
  <c r="D120" i="2"/>
  <c r="F111" i="2"/>
  <c r="C139" i="2"/>
  <c r="E13" i="3"/>
  <c r="F13" i="3"/>
  <c r="D24" i="3"/>
  <c r="E24" i="3" s="1"/>
  <c r="D47" i="3"/>
  <c r="E47" i="3" s="1"/>
  <c r="D46" i="3"/>
  <c r="E46" i="3" s="1"/>
  <c r="F12" i="3"/>
  <c r="E12" i="3"/>
  <c r="F94" i="2"/>
  <c r="C120" i="2"/>
  <c r="E94" i="2"/>
  <c r="E4" i="3" l="1"/>
  <c r="D14" i="3"/>
  <c r="F7" i="3"/>
  <c r="E7" i="3"/>
  <c r="D22" i="3"/>
  <c r="D45" i="3"/>
  <c r="E120" i="2"/>
  <c r="F120" i="2"/>
  <c r="C45" i="3" l="1"/>
  <c r="E44" i="3" s="1"/>
  <c r="E21" i="3"/>
  <c r="C22" i="3"/>
  <c r="E22" i="3" s="1"/>
  <c r="F11" i="3"/>
  <c r="E11" i="3"/>
  <c r="E14" i="3" l="1"/>
  <c r="F14" i="3"/>
  <c r="E45" i="3"/>
  <c r="D48" i="3"/>
  <c r="E25" i="3"/>
  <c r="E28" i="3" s="1"/>
  <c r="E48" i="3" l="1"/>
  <c r="E53" i="3"/>
</calcChain>
</file>

<file path=xl/sharedStrings.xml><?xml version="1.0" encoding="utf-8"?>
<sst xmlns="http://schemas.openxmlformats.org/spreadsheetml/2006/main" count="292" uniqueCount="206">
  <si>
    <t>Code couleur</t>
  </si>
  <si>
    <t>Référence</t>
  </si>
  <si>
    <t>Variable issue d'un autre secteur PTEF</t>
  </si>
  <si>
    <t>Données initiales Externes</t>
  </si>
  <si>
    <t>Hypothèse emploi externe</t>
  </si>
  <si>
    <t>Hypothèse emploi PTEF</t>
  </si>
  <si>
    <t>Résultat de calcul</t>
  </si>
  <si>
    <t>Sources principales</t>
  </si>
  <si>
    <t>Les hypothèses issues d'autres secteurs du PTEF viennent principalement du rapport "La transition bas carbone, une opportunité pour l'industrie automobile française ?", The Shift Project, novembre 2021, https://ilnousfautunplan.fr/</t>
  </si>
  <si>
    <t>Unités principales</t>
  </si>
  <si>
    <t>L'unité principale pertinente pour quantifier la mobilité du parc automobile est le véhicule-kilomètre (v.km) :  1 v.km correspond au déplacement d'un véhicule sur 1 km, ou 2 véhicules sur 500 m, etc.</t>
  </si>
  <si>
    <t xml:space="preserve">L'emploi est quantifié en ETP, ou "équivalent temps plein", correspondant au travail d'une personne à temps plein, sur une année. Selon les données disponibles, l'emploi est parfois exprimé en effectifs (nombre de personnes employées) : cela est alors précisé dans la colonne "Source" du tableau correspondant. Dans les calculs, les effectifs sont assimilés à des données en ETP. </t>
  </si>
  <si>
    <t>Précision : chiffres significatifs et influence du point de départ</t>
  </si>
  <si>
    <t>Comme dans le reste du PTEF, les calculs effectués ici sont destinés à donner les meilleurs ordres de grandeur possibles.</t>
  </si>
  <si>
    <t>On a considéré que conserver 2 chiffres significatifs donnait l'approximation la plus pertinente du niveau de précision obtenu.</t>
  </si>
  <si>
    <t>La situation "actuelle" est fondée sur les chiffres 2018, les plus récents disponibles de manière homogène à la date initiale de rédaction du rapport ; l'influence du point de départ est limitée car les ratios changent très peu au cours du temps.</t>
  </si>
  <si>
    <t>Avertissement : écarts à la publication "L'emploi : moteur de la transformation bas carbone" de 2021</t>
  </si>
  <si>
    <t>"L'emploi : moteur de la transformation bas carbone" (The Shift Project, 2021) a été publié avant la finalisation de l'ensemble des travaux du Plan de transformation de l'économie française. Le présent document tient compte des hypothèses prises dans la version finale du PTEF, et des corrections ont été apportées dans ce sens. Cela explique des écarts pouvant exister entre les résultats présentés dans ce tableur et la publication de décembre 2021. Ces écarts sont pour la plupart mineurs, et ne remettent pas en cause les conclusions du rapport.</t>
  </si>
  <si>
    <r>
      <t>En ce qui concerne la relocalisation de la production automobile,</t>
    </r>
    <r>
      <rPr>
        <b/>
        <sz val="10"/>
        <color theme="1"/>
        <rFont val="Arial"/>
        <family val="2"/>
      </rPr>
      <t xml:space="preserve"> </t>
    </r>
    <r>
      <rPr>
        <sz val="10"/>
        <color theme="1"/>
        <rFont val="Arial"/>
        <family val="2"/>
      </rPr>
      <t>la mise à jour des hypothèses conduit à une évaluation à près de 50 000 emplois supplémentaires à 2050, contre 32 000 mentionnés dans le rapport.</t>
    </r>
  </si>
  <si>
    <t>Périmètre</t>
  </si>
  <si>
    <t>Le périmètre inclut les véhicules utilitaires légers (VUL) et les véhicules particuliers (VP). Les deux-roues sont hors périmètre.</t>
  </si>
  <si>
    <t>Description du secteur actuel</t>
  </si>
  <si>
    <t>Données de marché</t>
  </si>
  <si>
    <t xml:space="preserve">Sources : </t>
  </si>
  <si>
    <t>Exportations de l'industrie automobile (Mds €)</t>
  </si>
  <si>
    <t>Données des Douanes 2018 traitées par le CCFA. Périmètre : VP neufs + VUL neufs + véhicules industriels neufs + pièces et moteurs</t>
  </si>
  <si>
    <t>Importations de l'industrie automobile (Mds €)</t>
  </si>
  <si>
    <t>CA HT de la construction automobile (Mds €)</t>
  </si>
  <si>
    <t>CCFA 2019 p.88, chiffres ESANE</t>
  </si>
  <si>
    <t>CA intérieur de la construction automobile (Mds €)</t>
  </si>
  <si>
    <t>CA à l'export de la construction automobile (Mds €)</t>
  </si>
  <si>
    <t>Description du secteur avant et après transformation</t>
  </si>
  <si>
    <t>Description physique de la mobilité automobile actuelle et projetée dans le PTEF</t>
  </si>
  <si>
    <t>Sources :</t>
  </si>
  <si>
    <t>La description de la mobilité du parc automobile après transformation, soit à horizon 2050, rend compte des objectifs du Plan pour le secteur Industrie Automobile, séparément pour les véhicules particuliers (VP) et les véhicules utilitaires légers (VUL), sur la base des usages exprimés par les secteurs de la mobilité quotidienne et longue distance. Pour plus de détails sur les objectifs de mobilité et d'électrification, se référer au rapport "La transition bas carbone, une opportunité pour l'industrie automobile française ?" (The Shift Project, novembre 2021)</t>
  </si>
  <si>
    <t>Hypothèse d'évolution de la mobilité du parc automobile</t>
  </si>
  <si>
    <t>Véhicules particuliers (VP)</t>
  </si>
  <si>
    <t>Véhicules utilitaires légers (VUL)</t>
  </si>
  <si>
    <t>Evolution 2020-2050</t>
  </si>
  <si>
    <t>VP</t>
  </si>
  <si>
    <t>VUL</t>
  </si>
  <si>
    <t>Total</t>
  </si>
  <si>
    <t>Évolution</t>
  </si>
  <si>
    <t>Avant transformation</t>
  </si>
  <si>
    <t>Mobilité du parc
(milliards de véhicule-km/an)</t>
  </si>
  <si>
    <t>-</t>
  </si>
  <si>
    <t>Taille du parc automobile en France (millions de véhicules)</t>
  </si>
  <si>
    <t>Après transformation</t>
  </si>
  <si>
    <t>Mobilité du parc (milliards de véhicule-km/an)</t>
  </si>
  <si>
    <t>Description du marché et de la production française actuels et projetés dans le PTEF</t>
  </si>
  <si>
    <r>
      <rPr>
        <b/>
        <sz val="10"/>
        <color theme="1"/>
        <rFont val="Arial"/>
      </rPr>
      <t>Sources</t>
    </r>
    <r>
      <rPr>
        <sz val="10"/>
        <color theme="1"/>
        <rFont val="Arial"/>
      </rPr>
      <t xml:space="preserve"> : La description du secteur après transformation, soit à horizon 2050, rend compte des objectifs du Plan pour le secteur Industrie Automobile, séparément pour les VP et les VUL, sur la base des usages exprimés par les secteurs de la mobilité quotidienne et longue distance. Pour plus de détails sur les objectifs de mobilité et d'électrification, se référer au rapport "La transition bas carbone, une opportunité pour l'industrie automobile française ?" (The Shift Project, novembre 2021)</t>
    </r>
  </si>
  <si>
    <r>
      <rPr>
        <b/>
        <sz val="10"/>
        <color theme="1"/>
        <rFont val="Arial"/>
      </rPr>
      <t>Hypothèses</t>
    </r>
    <r>
      <rPr>
        <sz val="10"/>
        <color theme="1"/>
        <rFont val="Arial"/>
      </rPr>
      <t xml:space="preserve"> : </t>
    </r>
  </si>
  <si>
    <t>- L’évolution des marchés d'export de la production automobile française est proportionnelle à l'évolution du marché français (autrement dit, les pays qui importent des voitures françaises réduisent dans la même mesure que la France la place de la voiture dans leur mobilité) ;
- La répartition de la production française entre la part destinée au marché national et celle destinée à l'exportation ne varie pas.
Cela revient à faire l'hypothèse que la production automobile française évolue proportionnellement au marché national.</t>
  </si>
  <si>
    <t>On fait l'hypothèse que le marché automobile se contracte proportionnellement à la mobilité du parc.</t>
  </si>
  <si>
    <t>On considère que l'électrification du marché actuel (2020) est négligeable.</t>
  </si>
  <si>
    <t>Hypothèse d'évolution du marché automobile</t>
  </si>
  <si>
    <t>Évolution 2020-2050</t>
  </si>
  <si>
    <t>Marché du neuf (millions de véhicules vendus par an)</t>
  </si>
  <si>
    <t>Production automobile en valeur (CA HT de la construction automobile en Mds €)</t>
  </si>
  <si>
    <t>Électrification du marché (%)</t>
  </si>
  <si>
    <t>N/A</t>
  </si>
  <si>
    <t>On vise une électrification de 100 % des VP et 90 % des VUL (80% BEV et 10% PHEV) vendus en 2050, date à laquelle les 1,8 millions de véhicules produits annuellement seront composés de 1,4 M de VP et de 0,4 M de VUL. On fait également l'hypohèse que le taux d'électrification de la production automobile française est égal au taux d'électrification du marché national (L'hypothèse sous jacente est que l'on considère que ce qui est vendu en France est produit en France, en volumes et en motorisations).</t>
  </si>
  <si>
    <t>Emploi actuel de la filière automobile</t>
  </si>
  <si>
    <r>
      <rPr>
        <b/>
        <sz val="10"/>
        <color theme="1"/>
        <rFont val="Arial"/>
      </rPr>
      <t xml:space="preserve">Périmètre </t>
    </r>
    <r>
      <rPr>
        <sz val="10"/>
        <color theme="1"/>
        <rFont val="Arial"/>
      </rPr>
      <t>:
- L'emploi actuel de la filière automobile prend ici en compte l'emploi salarié et intérimaire de la construction automobile et des équipementiers, l'emploi de l'amont de la filière (fournisseurs des constructeurs et équipementiers), ainsi que l'emploi salarié et indépendant de la majeure partie de l'aval de la filière.
- Les activités de l'aval de la filière hors périmètre sont les activités d'assurance et de financement, ainsi que celles des démolisseurs et recycleurs, du sport automobile, de la presse spécialisée, etc.</t>
    </r>
  </si>
  <si>
    <r>
      <rPr>
        <b/>
        <sz val="10"/>
        <color theme="1"/>
        <rFont val="Arial"/>
      </rPr>
      <t>Sources</t>
    </r>
    <r>
      <rPr>
        <sz val="10"/>
        <color theme="1"/>
        <rFont val="Arial"/>
      </rPr>
      <t xml:space="preserve"> : </t>
    </r>
  </si>
  <si>
    <t>Insee, Esane 2018, Caractéristiques comptables, financières et d'emploi des entreprises - Principales caractéristiques au niveau sous-classe, https://www.insee.fr/fr/statistiques/4654467?sommaire=4654487</t>
  </si>
  <si>
    <t>Insee, Les revenus d’activité des non-salariés en 2018, https://www.insee.fr/fr/statistiques/4768202</t>
  </si>
  <si>
    <t>CCFA, L'industrie automobile française, Analyse et statistiques Edition 2019</t>
  </si>
  <si>
    <t>CCFA, L'industrie automobile française, Analyse et statistiques Edition 2020</t>
  </si>
  <si>
    <t>Activité</t>
  </si>
  <si>
    <t>Emploi actuel (ETP)</t>
  </si>
  <si>
    <t>Sources</t>
  </si>
  <si>
    <t>Industrie automobile : Construction de véhicules automobiles, Fabrication de carrosseries et remorques, Fabrication d'équipements automobiles</t>
  </si>
  <si>
    <t>Esane 2018 (NAF 29)</t>
  </si>
  <si>
    <t>Intérimaires de l'industrie automobile</t>
  </si>
  <si>
    <t>CCFA 2019 p.24 (Source : DARES 2015)</t>
  </si>
  <si>
    <r>
      <t xml:space="preserve">Total emplois directs </t>
    </r>
    <r>
      <rPr>
        <sz val="10"/>
        <color theme="1"/>
        <rFont val="Arial"/>
      </rPr>
      <t>(salariés de l'industrie automobile et intérimaires)</t>
    </r>
  </si>
  <si>
    <r>
      <t xml:space="preserve">Amont de la filière </t>
    </r>
    <r>
      <rPr>
        <sz val="10"/>
        <color theme="1"/>
        <rFont val="Arial"/>
      </rPr>
      <t>(industrie manufacturière, énergie et services, hors intérimaires)</t>
    </r>
  </si>
  <si>
    <t>CCFA 2020 p.68 (Sources : CCFA, DGE, INSEE, SDES, FNTP, URF, CNPA. Données 2019)</t>
  </si>
  <si>
    <t xml:space="preserve">Commerce de véhicules automobiles </t>
  </si>
  <si>
    <t>Esane 2018 (NAF 45.1)</t>
  </si>
  <si>
    <t xml:space="preserve">Entretien et réparation de véhicules automobiles </t>
  </si>
  <si>
    <t>Esane 2018 (NAF 45.2)</t>
  </si>
  <si>
    <t>Commerce et réparation d'automobiles - Indépendants</t>
  </si>
  <si>
    <t xml:space="preserve">Commerce (de gros et de détail) d'équipements automobiles </t>
  </si>
  <si>
    <t>Esane 2018 (NAF 45.3)</t>
  </si>
  <si>
    <t>Location et location-bail de véhicules automobiles (dont location longue durée)</t>
  </si>
  <si>
    <t>Esane 2018 (NAF 77.1)</t>
  </si>
  <si>
    <t xml:space="preserve">Contrôle technique automobile </t>
  </si>
  <si>
    <t>Esane 2018 (NAF 71.20A)</t>
  </si>
  <si>
    <r>
      <t xml:space="preserve">Total emplois en aval de la filière </t>
    </r>
    <r>
      <rPr>
        <sz val="10"/>
        <color theme="1"/>
        <rFont val="Arial"/>
      </rPr>
      <t>(commerce de gros et de détail, location et location-bail, entretien, réparation et contrôle technique - hors assurance et financement)</t>
    </r>
  </si>
  <si>
    <t>TOTAL</t>
  </si>
  <si>
    <t>Évolution du besoin en emploi dans le cadre de la décarbonation du secteur telle que proposée dans le PTEF</t>
  </si>
  <si>
    <t>Évolution de la productivité du travail</t>
  </si>
  <si>
    <r>
      <rPr>
        <b/>
        <sz val="10"/>
        <color theme="1"/>
        <rFont val="Arial"/>
      </rPr>
      <t>Hypothèse</t>
    </r>
    <r>
      <rPr>
        <sz val="10"/>
        <color theme="1"/>
        <rFont val="Arial"/>
      </rPr>
      <t xml:space="preserve"> : Une potentielle évolution de la productivité du travail (la productivité apparente du travail, correspondant au rapport de la valeur ajoutée sur le volume de travail i.e. sur le nombre d'ETP), ne sont pas pris en compte ici. En effet, la tendance de long terme à la croissance de la productivité en raison de l’automatisation de la production pourrait être plus que contrebalancée à échéance 2050 par la contrainte énergétique (et matières). Cette hypothèse de stabilité globale de la productivité permet également de faire apparaître les évolutions qui dépendent directement des leviers de décarbonation, indépendamment de leurs effets éventuels sur la productivité.
On matérialise cette hypothèse </t>
    </r>
    <r>
      <rPr>
        <i/>
        <sz val="10"/>
        <color theme="1"/>
        <rFont val="Arial"/>
      </rPr>
      <t xml:space="preserve">via </t>
    </r>
    <r>
      <rPr>
        <sz val="10"/>
        <color theme="1"/>
        <rFont val="Arial"/>
      </rPr>
      <t>le paramètre ci-dessous, appliqué à l'industrie automobile (constructeurs et équipementiers). L'utilisation de ce paramètre suppose par ailleurs que la part de la valeur ajoutée dans le chiffre d'affaires est constante (soit 16,3 % en 2016 d'après INSEE, Tableaux de l'économie française - Industrie automobile, édition 2019).</t>
    </r>
  </si>
  <si>
    <t>Croissance annuelle de la productivité apparente du travail dans la construction et les équipements automobiles</t>
  </si>
  <si>
    <t>Nombre d'années de la transformation (2020-2050)</t>
  </si>
  <si>
    <t>Effet volume - Évolution des volumes de production, de la mobilité du parc et de la taille de marché</t>
  </si>
  <si>
    <r>
      <rPr>
        <b/>
        <sz val="10"/>
        <color theme="1"/>
        <rFont val="Arial"/>
      </rPr>
      <t>Hypothèses</t>
    </r>
    <r>
      <rPr>
        <sz val="10"/>
        <color theme="1"/>
        <rFont val="Arial"/>
      </rPr>
      <t xml:space="preserve"> : 
- Le volume d'activité en ETP dans l'industrie automobile (constructeurs automobiles et équipementiers, dont R&amp;D) est supposé proportionnel à la production de la construction automobile nationale en valeur (€), cette dernière dépendant des hypothèses de marché explicitées ci-dessus. 
- Les activités afférentes à l’industrie automobile (aval de la filière) sont supposées proportionnelles à la mobilité du parc (pour l'entretien, la maintenance, la location, le contrôle technique) ou au marché (pour le commerce).</t>
    </r>
  </si>
  <si>
    <r>
      <t xml:space="preserve">Emploi après transformation - 2050 (ETP) - </t>
    </r>
    <r>
      <rPr>
        <b/>
        <i/>
        <sz val="10"/>
        <color theme="1"/>
        <rFont val="Arial"/>
      </rPr>
      <t>Effet volume</t>
    </r>
  </si>
  <si>
    <t>Évolution (ETP)</t>
  </si>
  <si>
    <t>Évolution (%)</t>
  </si>
  <si>
    <t>Effet de l'électrification</t>
  </si>
  <si>
    <r>
      <rPr>
        <b/>
        <sz val="10"/>
        <rFont val="Arial"/>
      </rPr>
      <t xml:space="preserve">Hypothèses </t>
    </r>
    <r>
      <rPr>
        <sz val="10"/>
        <rFont val="Arial"/>
      </rPr>
      <t>: On ajoute à l'effet volume les effets d'électrification du marché et du parc automobiles :
- On anticipe une baisse du besoin de main-d'œuvre pour les constructeurs et équipementiers automobiles
- On anticipe une réduction du volume d'activité pour la maintenance de véhicules électriques, par rapport à celle des véhicules thermiques.
Les effets macroéconomiques de l'électrification du parc, dont notamment la diminution du besoin de carburants pétroliers (et donc des importations) qui pourrait être bénéfique pour l'emploi, ne sont pas pris en compte ici.</t>
    </r>
  </si>
  <si>
    <t xml:space="preserve">Hypothèse d'évolution du volume d'activité pour la production d'un véhicule électrique par rapport à un véhicule thermique </t>
  </si>
  <si>
    <t>Part des effectifs  (source : CCFA 2019)</t>
  </si>
  <si>
    <t>Source :</t>
  </si>
  <si>
    <t>Constructeurs ou motoristes</t>
  </si>
  <si>
    <t>UBS Evidence Lab, "Electric Car Teardown" (2017), cité par FTI, "Impact of electrically chargeable vehicles on jobs and growth in the EU" (5 May 2018)</t>
  </si>
  <si>
    <t>Equipementiers</t>
  </si>
  <si>
    <t>Carossiers ou aménageurs</t>
  </si>
  <si>
    <t>Total Industrie automobile</t>
  </si>
  <si>
    <t>Hypothèse d'évolution du volume d'activité pour la maintenance d'un véhicule électrique par rapport à un véhicule thermique</t>
  </si>
  <si>
    <t>Source : UBS Evidence Lab, "Electric Car Teardown" (2017), cité par FTI, "Impact of electrically chargeable vehicles on jobs and growth in the EU" (5 May 2018)</t>
  </si>
  <si>
    <r>
      <t xml:space="preserve">Emploi après transformation - 2050 (ETP) </t>
    </r>
    <r>
      <rPr>
        <b/>
        <i/>
        <sz val="10"/>
        <color theme="1"/>
        <rFont val="Arial"/>
      </rPr>
      <t>Effet volume + électrification</t>
    </r>
  </si>
  <si>
    <t>Évolution (ETP) - Effet électrification net</t>
  </si>
  <si>
    <t>Évolution (%) - Effet électrification net</t>
  </si>
  <si>
    <t>Effet potentiel de relocalisation</t>
  </si>
  <si>
    <r>
      <t>Hypothèses</t>
    </r>
    <r>
      <rPr>
        <sz val="10"/>
        <color theme="1"/>
        <rFont val="Arial"/>
      </rPr>
      <t xml:space="preserve"> : On fait ici l'hypothèse que la production automobile française pourrait devenir équivalente à la consommation française, soit à la taille du marché français (ce qui n’empêcherait pas des proportions potentiellement importantes d’exportations comme d’importations).</t>
    </r>
  </si>
  <si>
    <r>
      <t>Méthode</t>
    </r>
    <r>
      <rPr>
        <sz val="10"/>
        <color theme="1"/>
        <rFont val="Arial"/>
      </rPr>
      <t xml:space="preserve"> :
- On construit un ratio d'emploi (direct et indirect) par véhicule produit sur le territoire français, et on y applique l'effet de l'électrification, au regard du taux d'électrification du marché en 2050.
- Ce ratio appliqué à la taille du marché français après transformation (en 2050) donne un ordre de grandeur du volume d'emploi total que cela représenterait de produire autant de véhicules que le nombre de véhicules achetés en France. On en déduit ainsi le volume d'emploi supplémentaire par rapport à un scénario sans relocalisation.</t>
    </r>
  </si>
  <si>
    <t>Production française de VP en 2018 (unités)</t>
  </si>
  <si>
    <t>CCFA 2019, p. 70</t>
  </si>
  <si>
    <t>Production française de VUL en 2018 (unités)</t>
  </si>
  <si>
    <t>Production automobile française totale (unités)</t>
  </si>
  <si>
    <t>Ecart au marché</t>
  </si>
  <si>
    <t>Emplois directs actuel (dont intérim) par véhicule produit (ETP par véhicule)</t>
  </si>
  <si>
    <t>Emplois directs (dont intérim) par véhicule produit, effet électrification inclus (ETP par véhicule)</t>
  </si>
  <si>
    <t>Emplois amont par véhicule produit (ETP par véhicule)</t>
  </si>
  <si>
    <t>Nombre de véhicules produits en France en 2050 si l'on produisait l'équivalent de notre consommation (unités)</t>
  </si>
  <si>
    <t>Emploi direct associé (ETP)</t>
  </si>
  <si>
    <t>Emploi amont associé (ETP)</t>
  </si>
  <si>
    <t>Emploi total associé (ETP)</t>
  </si>
  <si>
    <t>Emploi supplémentaire par rapport à un scénario sans relocalisation (ETP)</t>
  </si>
  <si>
    <t>Besoin en emploi pour le déploiement d'un système voiture électrique : bornes de recharge et industrie des batteries</t>
  </si>
  <si>
    <t>Bornes de recharge</t>
  </si>
  <si>
    <r>
      <t>Source principale</t>
    </r>
    <r>
      <rPr>
        <sz val="10"/>
        <color theme="1"/>
        <rFont val="Arial"/>
      </rPr>
      <t xml:space="preserve"> : Ademe, "Conséquences sur l'emploi et approches métiers et filières des scénarios d'actualisation du master plan pour la TRI/REV3 en Hauts-de-France", juin 2018.</t>
    </r>
  </si>
  <si>
    <t>L'étude Ademe Hauts-de-France estime que la pose de près de deux millions de bornes de recharge dans les espaces privés (résidentiel et entreprises) et publics (voirie et parkings publics) représenterait un besoin de 3 800 ETP en 2050, dont 1 000 pour la fabrication de bornes nouvelles ou en remplacement des anciennes (si elles sont fabriquées en France), 300 pour leur pose, et 2 500 pour la maintenance et l'exploitation du parc. On projette dans le cadre du PTEF qu'il faudra environ 10 millions de bornes de 7 à 2 kW, ainsi que 25 000 bornes de recharge ultra rapide sur autoroute. En s'appuyant sur les données de l'Ademe, on estime donc que la fabrication, la pose et la maintenance des bornes de recharge devraient représenter pour l'ensemble de la France métropolitaine environ 20 000 ETP, dont un quart d'emplois industriels, en supposant que la filière reste localisée en France.</t>
  </si>
  <si>
    <t>Données étude Ademe Hauts-de-France</t>
  </si>
  <si>
    <t>Nombre de bornes (millions)</t>
  </si>
  <si>
    <t>Le chiffre a été arrondi à la centaine de milliers.</t>
  </si>
  <si>
    <t>Emplois directs de la pose et du remplacement de bornes</t>
  </si>
  <si>
    <t>Emplois directs de la maintenance, contrôle technique et gestion</t>
  </si>
  <si>
    <t>Emploi total</t>
  </si>
  <si>
    <t>Emploi par million de bornes</t>
  </si>
  <si>
    <t>Besoin en emploi dans le PTEF</t>
  </si>
  <si>
    <t>Nombre de bornes en 2050 (millions)</t>
  </si>
  <si>
    <t>Emploi total pour les bornes de recharge</t>
  </si>
  <si>
    <t>Industrie des batteries</t>
  </si>
  <si>
    <r>
      <t>Méthode</t>
    </r>
    <r>
      <rPr>
        <sz val="10"/>
        <color theme="1"/>
        <rFont val="Arial"/>
      </rPr>
      <t xml:space="preserve"> : on calcule un ratio d'emploi par volume de batteries produit (en GWh), à partir du nombre d'emplois directs réels ou projetés pour différentes gigafactories en Europe.</t>
    </r>
    <r>
      <rPr>
        <b/>
        <sz val="10"/>
        <color theme="1"/>
        <rFont val="Arial"/>
      </rPr>
      <t xml:space="preserve"> </t>
    </r>
    <r>
      <rPr>
        <sz val="10"/>
        <color theme="1"/>
        <rFont val="Arial"/>
      </rPr>
      <t>On applique ce ratio aux projections de production de batteries en France établies pour le PTEF.</t>
    </r>
  </si>
  <si>
    <t>Emplois/GWhc</t>
  </si>
  <si>
    <t>VP 2050</t>
  </si>
  <si>
    <t>VUL 2050</t>
  </si>
  <si>
    <t>Marché (millions)</t>
  </si>
  <si>
    <t>dont Véhicules électriques avec batteries (BEV - millions)</t>
  </si>
  <si>
    <t>Capacité unitaire par batterie (kWh)</t>
  </si>
  <si>
    <t>Capacité globale (GWh)</t>
  </si>
  <si>
    <t>Emplois</t>
  </si>
  <si>
    <t>Filière batterie - Emplois et investissements</t>
  </si>
  <si>
    <t>Site production</t>
  </si>
  <si>
    <t>UK gigafactory</t>
  </si>
  <si>
    <t>Samsung SDI Hungary Plant 1</t>
  </si>
  <si>
    <t>SK Innovation Plant 1</t>
  </si>
  <si>
    <t>LG Chem Poland</t>
  </si>
  <si>
    <t>CATL Germany</t>
  </si>
  <si>
    <t>Syndex-FNH</t>
  </si>
  <si>
    <t>Moyenne</t>
  </si>
  <si>
    <t>Production (GWhc)</t>
  </si>
  <si>
    <t>Production (batteries)</t>
  </si>
  <si>
    <t>Capacité moyenne d'une batterie (kWhc)</t>
  </si>
  <si>
    <t>Coût total (G€)</t>
  </si>
  <si>
    <t>Coût (G€/GWhc)</t>
  </si>
  <si>
    <t>Nombre emplois</t>
  </si>
  <si>
    <t>Emplois (emplois/GWhc)</t>
  </si>
  <si>
    <t>Source</t>
  </si>
  <si>
    <t>Sources - Emplois</t>
  </si>
  <si>
    <t>Nom</t>
  </si>
  <si>
    <t>Reference</t>
  </si>
  <si>
    <t>The Guardian</t>
  </si>
  <si>
    <t>https://www.theguardian.com/business/2020/may/20/uk-first-car-battery-gigafactory-amte-power-britishvolt</t>
  </si>
  <si>
    <t>EU factories</t>
  </si>
  <si>
    <t>https://www.automotive-iq.com/electrics-electronics/articles/top-five-ev-battery-factories-in-europe</t>
  </si>
  <si>
    <t>Syndex, FNH (2021). Electrification de l'automobile et emploi en France - Etude pour la Fondation pour la Nature et l'Homme. https://www.fnh.org/automobile-notre-scenario-pour-transition-juste/</t>
  </si>
  <si>
    <t>Besoin en emploi de la filière automobile traditionnelle - Hors relocalisation, bornes de recharge et batteries</t>
  </si>
  <si>
    <t>Emploi après transformation - 2050 (ETP)</t>
  </si>
  <si>
    <t>Emplois directs</t>
  </si>
  <si>
    <t>Emplois indirects (amont de la filière)</t>
  </si>
  <si>
    <r>
      <t xml:space="preserve">Emplois en aval de la filière </t>
    </r>
    <r>
      <rPr>
        <sz val="10"/>
        <color theme="1"/>
        <rFont val="Arial"/>
      </rPr>
      <t>(commerce, location, entretien, réparation et contrôle technique)</t>
    </r>
  </si>
  <si>
    <t>Besoin en emploi du système automobile - Dont relocalisation, bornes de recharge et batteries</t>
  </si>
  <si>
    <t>Emploi actuel</t>
  </si>
  <si>
    <t>Emploi après transformation</t>
  </si>
  <si>
    <t>Actuel</t>
  </si>
  <si>
    <t>Construction</t>
  </si>
  <si>
    <t>Amont</t>
  </si>
  <si>
    <t>Aval</t>
  </si>
  <si>
    <t>Relocalisation</t>
  </si>
  <si>
    <t>Batteries</t>
  </si>
  <si>
    <t>Recharge</t>
  </si>
  <si>
    <t>Après transformation (2050)</t>
  </si>
  <si>
    <t>Besoin en emploi pour passer d'un système automobile à un système vélo</t>
  </si>
  <si>
    <t>Automobile</t>
  </si>
  <si>
    <t>Vélo</t>
  </si>
  <si>
    <t>Industrie</t>
  </si>
  <si>
    <t>Source : voir le modèle Vélo du PTEF</t>
  </si>
  <si>
    <t>Bilan Annuel des Transports, SDES</t>
  </si>
  <si>
    <r>
      <rPr>
        <b/>
        <sz val="10"/>
        <rFont val="Arial"/>
      </rPr>
      <t>Unités</t>
    </r>
    <r>
      <rPr>
        <sz val="10"/>
        <rFont val="Arial"/>
      </rPr>
      <t xml:space="preserve"> : Par défaut, le volume d'emploi est exprimé en </t>
    </r>
    <r>
      <rPr>
        <i/>
        <sz val="10"/>
        <rFont val="Arial"/>
      </rPr>
      <t>équivalents temps plein</t>
    </r>
    <r>
      <rPr>
        <sz val="10"/>
        <rFont val="Arial"/>
      </rPr>
      <t xml:space="preserve"> (ETP). Lorsqu'il est exprimé en </t>
    </r>
    <r>
      <rPr>
        <i/>
        <sz val="10"/>
        <rFont val="Arial"/>
      </rPr>
      <t>emplois</t>
    </r>
    <r>
      <rPr>
        <sz val="10"/>
        <rFont val="Arial"/>
      </rPr>
      <t xml:space="preserve"> dans les données disponibles, cela est précisé dans la colonne "Source". Dans les calculs, ces données sont assimilées à des données en ETP. </t>
    </r>
  </si>
  <si>
    <t>Insee 2018 (Indépendants - exprimé en nombre de personnes)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</si>
</sst>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 #,##0.00\ ;\ * \(#,##0.00\);\ * \-#\ ;\ @\ "/>
    <numFmt numFmtId="166" formatCode="#,##0.00\ [$€-40C];[Red]\-#,##0.00\ [$€-40C]"/>
    <numFmt numFmtId="167" formatCode="_-* #,##0\ _€_-;\-* #,##0\ _€_-;_-* &quot;-&quot;??\ _€_-;_-@_-"/>
    <numFmt numFmtId="168" formatCode="0.0%"/>
    <numFmt numFmtId="169" formatCode="_-* #,##0.0\ _€_-;\-* #,##0.0\ _€_-;_-* &quot;-&quot;??\ _€_-;_-@_-"/>
    <numFmt numFmtId="170" formatCode="0.0"/>
  </numFmts>
  <fonts count="45" x14ac:knownFonts="1">
    <font>
      <sz val="11"/>
      <color theme="1"/>
      <name val="Calibri"/>
      <scheme val="minor"/>
    </font>
    <font>
      <b/>
      <i/>
      <sz val="16"/>
      <name val="MS Sans Serif"/>
    </font>
    <font>
      <sz val="10"/>
      <name val="MS Sans Serif"/>
    </font>
    <font>
      <b/>
      <i/>
      <u/>
      <sz val="10"/>
      <name val="MS Sans Serif"/>
    </font>
    <font>
      <sz val="10"/>
      <color theme="1"/>
      <name val="Arial"/>
    </font>
    <font>
      <sz val="11"/>
      <color theme="0"/>
      <name val="Arial"/>
    </font>
    <font>
      <sz val="10"/>
      <color indexed="64"/>
      <name val="Arial"/>
    </font>
    <font>
      <sz val="10"/>
      <color theme="0"/>
      <name val="Arial"/>
    </font>
    <font>
      <b/>
      <sz val="10"/>
      <name val="Arial"/>
    </font>
    <font>
      <sz val="10"/>
      <name val="Arial"/>
    </font>
    <font>
      <b/>
      <sz val="11"/>
      <color theme="0"/>
      <name val="Arial"/>
    </font>
    <font>
      <sz val="9"/>
      <color theme="1"/>
      <name val="Arial"/>
    </font>
    <font>
      <b/>
      <sz val="10"/>
      <color theme="0"/>
      <name val="Arial"/>
    </font>
    <font>
      <b/>
      <sz val="10"/>
      <color theme="1"/>
      <name val="Arial"/>
    </font>
    <font>
      <i/>
      <sz val="10"/>
      <color theme="4"/>
      <name val="Arial"/>
    </font>
    <font>
      <i/>
      <sz val="10"/>
      <color rgb="FFC00000"/>
      <name val="Arial"/>
    </font>
    <font>
      <b/>
      <sz val="11"/>
      <color theme="1"/>
      <name val="Calibri"/>
      <scheme val="minor"/>
    </font>
    <font>
      <b/>
      <i/>
      <sz val="9"/>
      <color theme="1"/>
      <name val="Arial"/>
    </font>
    <font>
      <i/>
      <sz val="9"/>
      <color theme="1"/>
      <name val="Arial"/>
    </font>
    <font>
      <i/>
      <sz val="9"/>
      <name val="Arial"/>
    </font>
    <font>
      <i/>
      <sz val="10"/>
      <color theme="1"/>
      <name val="Arial"/>
    </font>
    <font>
      <i/>
      <sz val="10"/>
      <name val="Arial"/>
    </font>
    <font>
      <sz val="10"/>
      <color rgb="FF00B050"/>
      <name val="Arial"/>
    </font>
    <font>
      <sz val="9"/>
      <color theme="0"/>
      <name val="Arial"/>
    </font>
    <font>
      <b/>
      <sz val="9"/>
      <color theme="1"/>
      <name val="Arial"/>
    </font>
    <font>
      <sz val="10"/>
      <color rgb="FFC00000"/>
      <name val="Arial"/>
    </font>
    <font>
      <b/>
      <sz val="10"/>
      <color indexed="2"/>
      <name val="Arial"/>
    </font>
    <font>
      <sz val="11"/>
      <name val="Arial"/>
    </font>
    <font>
      <b/>
      <sz val="10"/>
      <color theme="3"/>
      <name val="Arial"/>
    </font>
    <font>
      <b/>
      <i/>
      <sz val="10"/>
      <color theme="1"/>
      <name val="Arial"/>
    </font>
    <font>
      <sz val="11"/>
      <color theme="1"/>
      <name val="Calibri"/>
      <scheme val="minor"/>
    </font>
    <font>
      <sz val="10"/>
      <color theme="1"/>
      <name val="Arial"/>
      <family val="2"/>
    </font>
    <font>
      <sz val="10"/>
      <name val="Arial"/>
      <family val="2"/>
    </font>
    <font>
      <sz val="11"/>
      <color theme="0"/>
      <name val="Arial"/>
      <family val="2"/>
    </font>
    <font>
      <sz val="10"/>
      <color theme="0"/>
      <name val="Arial"/>
      <family val="2"/>
    </font>
    <font>
      <b/>
      <sz val="10"/>
      <color theme="1"/>
      <name val="Arial"/>
      <family val="2"/>
    </font>
    <font>
      <sz val="11"/>
      <name val="Arial"/>
      <family val="2"/>
    </font>
    <font>
      <i/>
      <sz val="10"/>
      <color theme="1"/>
      <name val="Arial"/>
      <family val="2"/>
    </font>
    <font>
      <sz val="11"/>
      <name val="Calibri"/>
      <family val="2"/>
      <scheme val="minor"/>
    </font>
    <font>
      <b/>
      <sz val="11"/>
      <name val="Calibri"/>
      <family val="2"/>
      <scheme val="minor"/>
    </font>
    <font>
      <b/>
      <sz val="11"/>
      <color rgb="FFFFFFFF"/>
      <name val="Calibri"/>
      <family val="2"/>
    </font>
    <font>
      <sz val="11"/>
      <color rgb="FF000000"/>
      <name val="Calibri"/>
      <family val="2"/>
    </font>
    <font>
      <sz val="11"/>
      <name val="Calibri"/>
      <family val="2"/>
    </font>
    <font>
      <u/>
      <sz val="11"/>
      <color rgb="FF0000FF"/>
      <name val="Calibri"/>
      <family val="2"/>
    </font>
    <font>
      <u/>
      <sz val="11"/>
      <color rgb="FF1155CC"/>
      <name val="Calibri"/>
      <family val="2"/>
    </font>
  </fonts>
  <fills count="25">
    <fill>
      <patternFill patternType="none"/>
    </fill>
    <fill>
      <patternFill patternType="gray125"/>
    </fill>
    <fill>
      <patternFill patternType="solid">
        <fgColor theme="4"/>
      </patternFill>
    </fill>
    <fill>
      <patternFill patternType="solid">
        <fgColor theme="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patternFill>
    </fill>
    <fill>
      <patternFill patternType="solid">
        <fgColor theme="9"/>
      </patternFill>
    </fill>
    <fill>
      <patternFill patternType="solid">
        <fgColor theme="7" tint="0.79998168889431442"/>
        <bgColor indexed="65"/>
      </patternFill>
    </fill>
    <fill>
      <patternFill patternType="solid">
        <fgColor theme="6"/>
      </patternFill>
    </fill>
    <fill>
      <patternFill patternType="solid">
        <fgColor theme="0"/>
      </patternFill>
    </fill>
    <fill>
      <patternFill patternType="solid">
        <fgColor theme="8" tint="0.79998168889431442"/>
        <bgColor indexed="65"/>
      </patternFill>
    </fill>
    <fill>
      <patternFill patternType="solid">
        <fgColor theme="0" tint="-0.14999847407452621"/>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4"/>
        <bgColor indexed="64"/>
      </patternFill>
    </fill>
    <fill>
      <patternFill patternType="solid">
        <fgColor rgb="FF375623"/>
        <bgColor rgb="FF000000"/>
      </patternFill>
    </fill>
    <fill>
      <patternFill patternType="solid">
        <fgColor rgb="FF548235"/>
        <bgColor rgb="FF70AD47"/>
      </patternFill>
    </fill>
    <fill>
      <patternFill patternType="solid">
        <fgColor rgb="FFA9D08E"/>
        <bgColor rgb="FF70AD47"/>
      </patternFill>
    </fill>
    <fill>
      <patternFill patternType="solid">
        <fgColor rgb="FF375623"/>
        <bgColor rgb="FF70AD47"/>
      </patternFill>
    </fill>
    <fill>
      <patternFill patternType="solid">
        <fgColor rgb="FFE2EFDA"/>
        <bgColor rgb="FFA8D08D"/>
      </patternFill>
    </fill>
    <fill>
      <patternFill patternType="solid">
        <fgColor rgb="FFD9D9D9"/>
        <bgColor rgb="FF000000"/>
      </patternFill>
    </fill>
    <fill>
      <patternFill patternType="solid">
        <fgColor rgb="FFC9C9C9"/>
        <bgColor rgb="FF000000"/>
      </patternFill>
    </fill>
    <fill>
      <patternFill patternType="solid">
        <fgColor rgb="FFC6E0B4"/>
        <bgColor rgb="FF000000"/>
      </patternFill>
    </fill>
  </fills>
  <borders count="31">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s>
  <cellStyleXfs count="9">
    <xf numFmtId="0" fontId="0" fillId="0" borderId="0"/>
    <xf numFmtId="0" fontId="1" fillId="0" borderId="0" applyNumberFormat="0" applyFill="0" applyBorder="0" applyProtection="0">
      <alignment horizontal="center"/>
    </xf>
    <xf numFmtId="164" fontId="30" fillId="0" borderId="0" applyFont="0" applyFill="0" applyBorder="0" applyProtection="0"/>
    <xf numFmtId="165" fontId="2" fillId="0" borderId="0" applyFill="0" applyBorder="0" applyProtection="0"/>
    <xf numFmtId="0" fontId="2" fillId="0" borderId="0"/>
    <xf numFmtId="9" fontId="30" fillId="0" borderId="0" applyFont="0" applyFill="0" applyBorder="0" applyProtection="0"/>
    <xf numFmtId="0" fontId="3" fillId="0" borderId="0" applyNumberFormat="0" applyFill="0" applyBorder="0" applyProtection="0"/>
    <xf numFmtId="166" fontId="3" fillId="0" borderId="0" applyFill="0" applyBorder="0" applyProtection="0"/>
    <xf numFmtId="0" fontId="1" fillId="0" borderId="0" applyNumberFormat="0" applyFill="0" applyBorder="0" applyProtection="0">
      <alignment horizontal="center" textRotation="90"/>
    </xf>
  </cellStyleXfs>
  <cellXfs count="301">
    <xf numFmtId="0" fontId="0" fillId="0" borderId="0" xfId="0"/>
    <xf numFmtId="0" fontId="4" fillId="0" borderId="0" xfId="0" applyFont="1"/>
    <xf numFmtId="0" fontId="5" fillId="2" borderId="0" xfId="0" applyFont="1" applyFill="1"/>
    <xf numFmtId="0" fontId="7" fillId="2" borderId="0" xfId="0" applyFont="1" applyFill="1"/>
    <xf numFmtId="0" fontId="4" fillId="0" borderId="0" xfId="0" applyFont="1" applyAlignment="1">
      <alignment vertical="center"/>
    </xf>
    <xf numFmtId="0" fontId="10" fillId="7" borderId="0" xfId="0" applyFont="1" applyFill="1" applyAlignment="1">
      <alignment vertical="center"/>
    </xf>
    <xf numFmtId="0" fontId="7" fillId="7" borderId="0" xfId="0" applyFont="1" applyFill="1" applyAlignment="1">
      <alignment vertical="center"/>
    </xf>
    <xf numFmtId="0" fontId="11" fillId="0" borderId="0" xfId="0" applyFont="1" applyAlignment="1">
      <alignment vertical="center"/>
    </xf>
    <xf numFmtId="0" fontId="12" fillId="8" borderId="0" xfId="0" applyFont="1" applyFill="1" applyAlignment="1">
      <alignment vertical="center"/>
    </xf>
    <xf numFmtId="0" fontId="9" fillId="0" borderId="0" xfId="0" applyFont="1"/>
    <xf numFmtId="0" fontId="13" fillId="0" borderId="0" xfId="0" applyFont="1"/>
    <xf numFmtId="0" fontId="4" fillId="0" borderId="1" xfId="0" applyFont="1" applyBorder="1"/>
    <xf numFmtId="0" fontId="4" fillId="9" borderId="2" xfId="0" applyFont="1" applyFill="1" applyBorder="1"/>
    <xf numFmtId="0" fontId="11" fillId="0" borderId="0" xfId="0" applyFont="1"/>
    <xf numFmtId="0" fontId="14" fillId="0" borderId="0" xfId="0" applyFont="1"/>
    <xf numFmtId="0" fontId="4" fillId="9" borderId="3" xfId="0" applyFont="1" applyFill="1" applyBorder="1"/>
    <xf numFmtId="1" fontId="4" fillId="9" borderId="3" xfId="0" applyNumberFormat="1" applyFont="1" applyFill="1" applyBorder="1"/>
    <xf numFmtId="0" fontId="15" fillId="0" borderId="0" xfId="0" applyFont="1"/>
    <xf numFmtId="0" fontId="13" fillId="0" borderId="1" xfId="0" applyFont="1" applyBorder="1" applyAlignment="1">
      <alignment wrapText="1"/>
    </xf>
    <xf numFmtId="0" fontId="13" fillId="0" borderId="4" xfId="0" applyFont="1" applyBorder="1"/>
    <xf numFmtId="0" fontId="13" fillId="0" borderId="2" xfId="0" applyFont="1" applyBorder="1"/>
    <xf numFmtId="9" fontId="9" fillId="10" borderId="3" xfId="0" applyNumberFormat="1" applyFont="1" applyFill="1" applyBorder="1"/>
    <xf numFmtId="0" fontId="16" fillId="0" borderId="0" xfId="0" applyFont="1"/>
    <xf numFmtId="0" fontId="8" fillId="0" borderId="0" xfId="0" applyFont="1"/>
    <xf numFmtId="0" fontId="4" fillId="0" borderId="5" xfId="0" applyFont="1" applyBorder="1"/>
    <xf numFmtId="0" fontId="4" fillId="0" borderId="2" xfId="0" applyFont="1" applyBorder="1"/>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1" fontId="9" fillId="9" borderId="4" xfId="0" applyNumberFormat="1" applyFont="1" applyFill="1" applyBorder="1" applyAlignment="1">
      <alignment horizontal="right" vertical="center" wrapText="1"/>
    </xf>
    <xf numFmtId="1" fontId="8" fillId="0" borderId="4" xfId="0" applyNumberFormat="1" applyFont="1" applyBorder="1" applyAlignment="1">
      <alignment horizontal="right" vertical="center" wrapText="1"/>
    </xf>
    <xf numFmtId="0" fontId="18" fillId="0" borderId="2" xfId="0" applyFont="1" applyBorder="1" applyAlignment="1">
      <alignment horizontal="right" vertical="center"/>
    </xf>
    <xf numFmtId="0" fontId="9" fillId="0" borderId="3" xfId="0" applyFont="1" applyBorder="1" applyAlignment="1">
      <alignment horizontal="left" vertical="center" wrapText="1"/>
    </xf>
    <xf numFmtId="0" fontId="18" fillId="0" borderId="3" xfId="0" applyFont="1" applyBorder="1" applyAlignment="1">
      <alignment horizontal="right" vertical="center"/>
    </xf>
    <xf numFmtId="1" fontId="9" fillId="11" borderId="6" xfId="0" applyNumberFormat="1" applyFont="1" applyFill="1" applyBorder="1" applyAlignment="1">
      <alignment vertical="center"/>
    </xf>
    <xf numFmtId="1" fontId="8" fillId="0" borderId="6" xfId="0" applyNumberFormat="1" applyFont="1" applyBorder="1" applyAlignment="1">
      <alignment vertical="center"/>
    </xf>
    <xf numFmtId="9" fontId="4" fillId="0" borderId="3" xfId="0" applyNumberFormat="1" applyFont="1" applyBorder="1"/>
    <xf numFmtId="9" fontId="9" fillId="0" borderId="0" xfId="0" applyNumberFormat="1" applyFont="1"/>
    <xf numFmtId="9" fontId="4" fillId="0" borderId="0" xfId="0" applyNumberFormat="1" applyFont="1"/>
    <xf numFmtId="0" fontId="4" fillId="0" borderId="5" xfId="0" applyFont="1" applyBorder="1" applyAlignment="1">
      <alignment vertical="center"/>
    </xf>
    <xf numFmtId="0" fontId="4" fillId="0" borderId="2" xfId="0" applyFont="1" applyBorder="1" applyAlignment="1">
      <alignment vertical="center"/>
    </xf>
    <xf numFmtId="0" fontId="8" fillId="0" borderId="4" xfId="0" applyFont="1" applyBorder="1" applyAlignment="1">
      <alignment horizontal="left" vertical="center" wrapText="1"/>
    </xf>
    <xf numFmtId="1" fontId="17" fillId="0" borderId="2" xfId="0" applyNumberFormat="1" applyFont="1" applyBorder="1" applyAlignment="1">
      <alignment vertical="center"/>
    </xf>
    <xf numFmtId="2" fontId="9" fillId="9" borderId="4" xfId="0" applyNumberFormat="1" applyFont="1" applyFill="1" applyBorder="1" applyAlignment="1">
      <alignment horizontal="right" vertical="center" wrapText="1"/>
    </xf>
    <xf numFmtId="2" fontId="8" fillId="0" borderId="4" xfId="0" applyNumberFormat="1" applyFont="1" applyBorder="1" applyAlignment="1">
      <alignment horizontal="right" vertical="center" wrapText="1"/>
    </xf>
    <xf numFmtId="0" fontId="20" fillId="0" borderId="2" xfId="0" applyFont="1" applyBorder="1" applyAlignment="1">
      <alignment horizontal="right" vertical="center"/>
    </xf>
    <xf numFmtId="0" fontId="13" fillId="0" borderId="0" xfId="0" applyFont="1" applyAlignment="1">
      <alignment vertical="center"/>
    </xf>
    <xf numFmtId="1" fontId="4" fillId="0" borderId="0" xfId="0" applyNumberFormat="1" applyFont="1" applyAlignment="1">
      <alignment vertical="center"/>
    </xf>
    <xf numFmtId="1" fontId="13" fillId="9" borderId="0" xfId="0" applyNumberFormat="1" applyFont="1" applyFill="1" applyAlignment="1">
      <alignment vertical="center"/>
    </xf>
    <xf numFmtId="0" fontId="9" fillId="0" borderId="3" xfId="0" applyFont="1" applyBorder="1" applyAlignment="1">
      <alignment vertical="center" wrapText="1"/>
    </xf>
    <xf numFmtId="0" fontId="20" fillId="0" borderId="3" xfId="0" applyFont="1" applyBorder="1" applyAlignment="1">
      <alignment horizontal="right" vertical="center"/>
    </xf>
    <xf numFmtId="2" fontId="9" fillId="0" borderId="0" xfId="0" applyNumberFormat="1" applyFont="1" applyAlignment="1">
      <alignment vertical="center"/>
    </xf>
    <xf numFmtId="9" fontId="20" fillId="0" borderId="3" xfId="5" applyFont="1" applyBorder="1" applyAlignment="1">
      <alignment horizontal="right" vertical="center"/>
    </xf>
    <xf numFmtId="2" fontId="9" fillId="0" borderId="4" xfId="0" applyNumberFormat="1" applyFont="1" applyBorder="1" applyAlignment="1">
      <alignment vertical="center"/>
    </xf>
    <xf numFmtId="2" fontId="8" fillId="0" borderId="4" xfId="0" applyNumberFormat="1" applyFont="1" applyBorder="1" applyAlignment="1">
      <alignment vertical="center"/>
    </xf>
    <xf numFmtId="9" fontId="21" fillId="0" borderId="2" xfId="5" applyFont="1" applyBorder="1" applyAlignment="1">
      <alignment vertical="center"/>
    </xf>
    <xf numFmtId="1" fontId="8" fillId="0" borderId="0" xfId="0" applyNumberFormat="1" applyFont="1" applyAlignment="1">
      <alignment vertical="center"/>
    </xf>
    <xf numFmtId="0" fontId="22" fillId="0" borderId="0" xfId="0" applyFont="1" applyAlignment="1">
      <alignment vertical="center"/>
    </xf>
    <xf numFmtId="0" fontId="9" fillId="0" borderId="0" xfId="0" applyFont="1" applyAlignment="1">
      <alignment wrapText="1"/>
    </xf>
    <xf numFmtId="9" fontId="9" fillId="0" borderId="0" xfId="5" applyFont="1"/>
    <xf numFmtId="9" fontId="20" fillId="0" borderId="0" xfId="5" applyFont="1"/>
    <xf numFmtId="9" fontId="8" fillId="0" borderId="0" xfId="5" applyFont="1"/>
    <xf numFmtId="0" fontId="23" fillId="7" borderId="0" xfId="0" applyFont="1" applyFill="1" applyAlignment="1">
      <alignment vertical="center"/>
    </xf>
    <xf numFmtId="0" fontId="8" fillId="0" borderId="0" xfId="0" applyFont="1" applyAlignment="1">
      <alignment vertical="center"/>
    </xf>
    <xf numFmtId="0" fontId="4" fillId="0" borderId="5" xfId="0" applyFont="1" applyBorder="1" applyAlignment="1">
      <alignment vertical="center" wrapText="1"/>
    </xf>
    <xf numFmtId="167" fontId="4" fillId="9" borderId="1" xfId="2" applyNumberFormat="1" applyFont="1" applyFill="1" applyBorder="1" applyAlignment="1">
      <alignment vertical="center"/>
    </xf>
    <xf numFmtId="167" fontId="11"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vertical="center" wrapText="1"/>
    </xf>
    <xf numFmtId="0" fontId="13" fillId="0" borderId="0" xfId="0" applyFont="1" applyAlignment="1">
      <alignment vertical="center" wrapText="1"/>
    </xf>
    <xf numFmtId="167" fontId="13" fillId="0" borderId="0" xfId="2" applyNumberFormat="1" applyFont="1" applyAlignment="1">
      <alignment vertical="center"/>
    </xf>
    <xf numFmtId="0" fontId="13" fillId="0" borderId="0" xfId="0" applyFont="1" applyAlignment="1">
      <alignment wrapText="1"/>
    </xf>
    <xf numFmtId="167" fontId="13" fillId="0" borderId="0" xfId="2" applyNumberFormat="1" applyFont="1"/>
    <xf numFmtId="9" fontId="9" fillId="0" borderId="0" xfId="0" quotePrefix="1" applyNumberFormat="1" applyFont="1" applyAlignment="1">
      <alignment vertical="center"/>
    </xf>
    <xf numFmtId="9" fontId="21" fillId="0" borderId="0" xfId="0" quotePrefix="1" applyNumberFormat="1" applyFont="1" applyAlignment="1">
      <alignment wrapText="1"/>
    </xf>
    <xf numFmtId="0" fontId="4" fillId="0" borderId="1" xfId="0" applyFont="1" applyBorder="1" applyAlignment="1">
      <alignment vertical="center" wrapText="1"/>
    </xf>
    <xf numFmtId="168" fontId="9" fillId="12" borderId="2" xfId="0" applyNumberFormat="1" applyFont="1" applyFill="1" applyBorder="1" applyAlignment="1">
      <alignment vertical="center" wrapText="1"/>
    </xf>
    <xf numFmtId="9" fontId="9" fillId="0" borderId="0" xfId="0" applyNumberFormat="1" applyFont="1" applyAlignment="1">
      <alignment vertical="center"/>
    </xf>
    <xf numFmtId="0" fontId="22" fillId="0" borderId="0" xfId="0" applyFont="1"/>
    <xf numFmtId="167" fontId="9" fillId="12" borderId="3" xfId="2" applyNumberFormat="1" applyFont="1" applyFill="1" applyBorder="1" applyAlignment="1">
      <alignment vertical="center" wrapText="1"/>
    </xf>
    <xf numFmtId="9" fontId="25" fillId="0" borderId="0" xfId="0" applyNumberFormat="1" applyFont="1"/>
    <xf numFmtId="0" fontId="21" fillId="0" borderId="0" xfId="0" applyFont="1"/>
    <xf numFmtId="0" fontId="8" fillId="0" borderId="1" xfId="0" applyFont="1" applyBorder="1" applyAlignment="1">
      <alignment vertical="center" wrapText="1"/>
    </xf>
    <xf numFmtId="0" fontId="13" fillId="0" borderId="6" xfId="0" applyFont="1" applyBorder="1" applyAlignment="1">
      <alignment vertical="center" wrapText="1"/>
    </xf>
    <xf numFmtId="167" fontId="4" fillId="0" borderId="1" xfId="2" applyNumberFormat="1" applyFont="1" applyBorder="1" applyAlignment="1">
      <alignment vertical="center"/>
    </xf>
    <xf numFmtId="3" fontId="11" fillId="0" borderId="4" xfId="2" applyNumberFormat="1" applyFont="1" applyBorder="1" applyAlignment="1">
      <alignment vertical="center"/>
    </xf>
    <xf numFmtId="9" fontId="18" fillId="0" borderId="2" xfId="5" applyFont="1" applyBorder="1" applyAlignment="1">
      <alignment vertical="center"/>
    </xf>
    <xf numFmtId="3" fontId="11" fillId="0" borderId="0" xfId="2" applyNumberFormat="1" applyFont="1" applyAlignment="1">
      <alignment vertical="center"/>
    </xf>
    <xf numFmtId="9" fontId="17" fillId="0" borderId="3" xfId="5" applyFont="1" applyBorder="1" applyAlignment="1">
      <alignment vertical="center"/>
    </xf>
    <xf numFmtId="3" fontId="24" fillId="0" borderId="6" xfId="2" applyNumberFormat="1" applyFont="1" applyBorder="1" applyAlignment="1">
      <alignment vertical="center"/>
    </xf>
    <xf numFmtId="0" fontId="13" fillId="0" borderId="6" xfId="0" applyFont="1" applyBorder="1" applyAlignment="1">
      <alignment horizontal="center" vertical="center" wrapText="1"/>
    </xf>
    <xf numFmtId="9" fontId="4" fillId="9" borderId="5" xfId="5" applyFont="1" applyFill="1" applyBorder="1"/>
    <xf numFmtId="9" fontId="4" fillId="13" borderId="2" xfId="5" applyFont="1" applyFill="1" applyBorder="1"/>
    <xf numFmtId="9" fontId="4" fillId="0" borderId="0" xfId="5" applyFont="1"/>
    <xf numFmtId="9" fontId="9" fillId="0" borderId="3" xfId="5" applyFont="1" applyBorder="1"/>
    <xf numFmtId="9" fontId="13" fillId="0" borderId="0" xfId="5" applyFont="1"/>
    <xf numFmtId="9" fontId="4" fillId="0" borderId="0" xfId="5" applyFont="1" applyAlignment="1">
      <alignment vertical="center"/>
    </xf>
    <xf numFmtId="9" fontId="26" fillId="0" borderId="0" xfId="0" applyNumberFormat="1" applyFont="1"/>
    <xf numFmtId="0" fontId="27" fillId="0" borderId="0" xfId="0" applyFont="1"/>
    <xf numFmtId="3" fontId="11" fillId="0" borderId="4" xfId="0" applyNumberFormat="1" applyFont="1" applyBorder="1" applyAlignment="1">
      <alignment vertical="center"/>
    </xf>
    <xf numFmtId="3" fontId="11" fillId="0" borderId="0" xfId="0" applyNumberFormat="1" applyFont="1" applyAlignment="1">
      <alignment vertical="center"/>
    </xf>
    <xf numFmtId="3" fontId="24" fillId="0" borderId="6" xfId="0" applyNumberFormat="1" applyFont="1" applyBorder="1" applyAlignment="1">
      <alignment vertical="center"/>
    </xf>
    <xf numFmtId="0" fontId="13" fillId="0" borderId="0" xfId="0" applyFont="1" applyAlignment="1">
      <alignment horizontal="left" vertical="center" wrapText="1"/>
    </xf>
    <xf numFmtId="0" fontId="20" fillId="0" borderId="0" xfId="0" applyFont="1"/>
    <xf numFmtId="0" fontId="4" fillId="0" borderId="1" xfId="0" applyFont="1" applyBorder="1" applyAlignment="1">
      <alignment vertical="center"/>
    </xf>
    <xf numFmtId="167" fontId="4" fillId="9" borderId="2" xfId="2" applyNumberFormat="1" applyFont="1" applyFill="1" applyBorder="1" applyAlignment="1">
      <alignment vertical="center"/>
    </xf>
    <xf numFmtId="0" fontId="20" fillId="0" borderId="0" xfId="0" applyFont="1" applyAlignment="1">
      <alignment vertical="center"/>
    </xf>
    <xf numFmtId="164" fontId="4" fillId="0" borderId="0" xfId="2" applyFont="1" applyAlignment="1">
      <alignment vertical="center"/>
    </xf>
    <xf numFmtId="164" fontId="13" fillId="0" borderId="3" xfId="2" applyFont="1" applyBorder="1" applyAlignment="1">
      <alignment vertical="center"/>
    </xf>
    <xf numFmtId="167" fontId="13" fillId="0" borderId="0" xfId="0" applyNumberFormat="1" applyFont="1" applyAlignment="1">
      <alignment vertical="center"/>
    </xf>
    <xf numFmtId="0" fontId="28" fillId="15" borderId="0" xfId="0" applyFont="1" applyFill="1" applyAlignment="1">
      <alignment vertical="center"/>
    </xf>
    <xf numFmtId="0" fontId="12" fillId="15" borderId="0" xfId="0" applyFont="1" applyFill="1" applyAlignment="1">
      <alignment vertical="center"/>
    </xf>
    <xf numFmtId="0" fontId="4" fillId="0" borderId="0" xfId="0" applyFont="1" applyAlignment="1">
      <alignment vertical="center" wrapText="1"/>
    </xf>
    <xf numFmtId="167" fontId="4" fillId="0" borderId="0" xfId="0" applyNumberFormat="1" applyFont="1" applyAlignment="1">
      <alignment vertical="center"/>
    </xf>
    <xf numFmtId="169" fontId="4" fillId="9" borderId="1" xfId="0" applyNumberFormat="1" applyFont="1" applyFill="1" applyBorder="1" applyAlignment="1">
      <alignment vertical="center"/>
    </xf>
    <xf numFmtId="167" fontId="4" fillId="10" borderId="1" xfId="0" applyNumberFormat="1" applyFont="1" applyFill="1" applyBorder="1" applyAlignment="1">
      <alignment vertical="center"/>
    </xf>
    <xf numFmtId="0" fontId="4" fillId="0" borderId="6" xfId="0" applyFont="1" applyBorder="1"/>
    <xf numFmtId="2" fontId="4" fillId="0" borderId="0" xfId="0" applyNumberFormat="1" applyFont="1"/>
    <xf numFmtId="0" fontId="4" fillId="10" borderId="0" xfId="0" applyFont="1" applyFill="1"/>
    <xf numFmtId="170" fontId="4" fillId="0" borderId="0" xfId="0" applyNumberFormat="1" applyFont="1"/>
    <xf numFmtId="3" fontId="24" fillId="0" borderId="0" xfId="0" applyNumberFormat="1" applyFont="1" applyAlignment="1">
      <alignment vertical="center"/>
    </xf>
    <xf numFmtId="9" fontId="17" fillId="0" borderId="0" xfId="5" applyFont="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wrapText="1"/>
    </xf>
    <xf numFmtId="0" fontId="29" fillId="0" borderId="6" xfId="0" applyFont="1" applyBorder="1"/>
    <xf numFmtId="0" fontId="4" fillId="0" borderId="5" xfId="0" applyFont="1" applyBorder="1" applyAlignment="1">
      <alignment wrapText="1"/>
    </xf>
    <xf numFmtId="167" fontId="4" fillId="0" borderId="4" xfId="2" applyNumberFormat="1" applyFont="1" applyBorder="1"/>
    <xf numFmtId="167" fontId="4" fillId="0" borderId="2" xfId="0" applyNumberFormat="1" applyFont="1" applyBorder="1"/>
    <xf numFmtId="167" fontId="4" fillId="0" borderId="0" xfId="2" applyNumberFormat="1" applyFont="1"/>
    <xf numFmtId="167" fontId="4" fillId="0" borderId="3" xfId="0" applyNumberFormat="1" applyFont="1" applyBorder="1"/>
    <xf numFmtId="167" fontId="29" fillId="0" borderId="6" xfId="2" applyNumberFormat="1" applyFont="1" applyBorder="1"/>
    <xf numFmtId="167" fontId="0" fillId="0" borderId="0" xfId="0" applyNumberFormat="1"/>
    <xf numFmtId="167" fontId="4" fillId="10" borderId="4" xfId="2" applyNumberFormat="1" applyFont="1" applyFill="1" applyBorder="1"/>
    <xf numFmtId="167" fontId="20" fillId="0" borderId="6" xfId="2" applyNumberFormat="1" applyFont="1" applyBorder="1"/>
    <xf numFmtId="164" fontId="4" fillId="0" borderId="0" xfId="0" applyNumberFormat="1" applyFont="1" applyAlignment="1">
      <alignment vertical="center"/>
    </xf>
    <xf numFmtId="0" fontId="31" fillId="10" borderId="0" xfId="0" applyFont="1" applyFill="1"/>
    <xf numFmtId="2" fontId="31" fillId="0" borderId="0" xfId="0" applyNumberFormat="1" applyFont="1"/>
    <xf numFmtId="0" fontId="32" fillId="0" borderId="0" xfId="0" applyFont="1" applyAlignment="1">
      <alignment vertical="center"/>
    </xf>
    <xf numFmtId="0" fontId="13" fillId="0" borderId="0" xfId="0" quotePrefix="1" applyFont="1"/>
    <xf numFmtId="0" fontId="33" fillId="16" borderId="0" xfId="0" applyFont="1" applyFill="1"/>
    <xf numFmtId="0" fontId="34" fillId="16" borderId="0" xfId="0" applyFont="1" applyFill="1"/>
    <xf numFmtId="0" fontId="31" fillId="0" borderId="0" xfId="0" applyFont="1"/>
    <xf numFmtId="0" fontId="36" fillId="0" borderId="0" xfId="0" quotePrefix="1" applyFont="1" applyAlignment="1">
      <alignment vertical="center"/>
    </xf>
    <xf numFmtId="0" fontId="37" fillId="0" borderId="8" xfId="0" applyFont="1" applyBorder="1" applyAlignment="1">
      <alignment vertical="center"/>
    </xf>
    <xf numFmtId="9" fontId="31" fillId="0" borderId="0" xfId="5" applyFont="1" applyFill="1"/>
    <xf numFmtId="9" fontId="37" fillId="0" borderId="15" xfId="5" applyFont="1" applyBorder="1"/>
    <xf numFmtId="0" fontId="38" fillId="0" borderId="0" xfId="0" applyFont="1"/>
    <xf numFmtId="0" fontId="39" fillId="0" borderId="0" xfId="0" quotePrefix="1" applyFont="1"/>
    <xf numFmtId="0" fontId="40" fillId="18" borderId="17" xfId="0" applyFont="1" applyFill="1" applyBorder="1" applyAlignment="1">
      <alignment horizontal="center" wrapText="1"/>
    </xf>
    <xf numFmtId="0" fontId="41" fillId="19" borderId="18" xfId="0" applyFont="1" applyFill="1" applyBorder="1" applyAlignment="1">
      <alignment horizontal="center" wrapText="1"/>
    </xf>
    <xf numFmtId="0" fontId="40" fillId="20" borderId="18" xfId="0" applyFont="1" applyFill="1" applyBorder="1" applyAlignment="1">
      <alignment horizontal="center" wrapText="1"/>
    </xf>
    <xf numFmtId="0" fontId="41" fillId="21" borderId="19" xfId="0" applyFont="1" applyFill="1" applyBorder="1" applyAlignment="1">
      <alignment vertical="center" wrapText="1"/>
    </xf>
    <xf numFmtId="0" fontId="41" fillId="0" borderId="20" xfId="0" applyFont="1" applyBorder="1" applyAlignment="1">
      <alignment vertical="center" wrapText="1"/>
    </xf>
    <xf numFmtId="0" fontId="41" fillId="0" borderId="21" xfId="0" applyFont="1" applyBorder="1" applyAlignment="1">
      <alignment vertical="center"/>
    </xf>
    <xf numFmtId="0" fontId="41" fillId="0" borderId="21" xfId="0" applyFont="1" applyBorder="1" applyAlignment="1">
      <alignment vertical="center" wrapText="1"/>
    </xf>
    <xf numFmtId="0" fontId="41" fillId="0" borderId="22" xfId="0" applyFont="1" applyBorder="1" applyAlignment="1">
      <alignment vertical="center" wrapText="1"/>
    </xf>
    <xf numFmtId="0" fontId="41" fillId="22" borderId="22" xfId="0" applyFont="1" applyFill="1" applyBorder="1" applyAlignment="1">
      <alignment vertical="center" wrapText="1"/>
    </xf>
    <xf numFmtId="0" fontId="41" fillId="22" borderId="23" xfId="0" applyFont="1" applyFill="1" applyBorder="1" applyAlignment="1">
      <alignment vertical="center" wrapText="1"/>
    </xf>
    <xf numFmtId="0" fontId="41" fillId="0" borderId="17" xfId="0" applyFont="1" applyBorder="1" applyAlignment="1">
      <alignment vertical="center"/>
    </xf>
    <xf numFmtId="0" fontId="41" fillId="0" borderId="17" xfId="0" applyFont="1" applyBorder="1" applyAlignment="1">
      <alignment vertical="center" wrapText="1"/>
    </xf>
    <xf numFmtId="0" fontId="41" fillId="22" borderId="19" xfId="0" applyFont="1" applyFill="1" applyBorder="1" applyAlignment="1">
      <alignment vertical="center" wrapText="1"/>
    </xf>
    <xf numFmtId="0" fontId="41" fillId="22" borderId="23" xfId="0" applyFont="1" applyFill="1" applyBorder="1" applyAlignment="1">
      <alignment vertical="center"/>
    </xf>
    <xf numFmtId="0" fontId="41" fillId="22" borderId="17" xfId="0" applyFont="1" applyFill="1" applyBorder="1" applyAlignment="1">
      <alignment vertical="center"/>
    </xf>
    <xf numFmtId="1" fontId="40" fillId="17" borderId="15" xfId="0" applyNumberFormat="1" applyFont="1" applyFill="1" applyBorder="1" applyAlignment="1">
      <alignment horizontal="right" vertical="center" wrapText="1"/>
    </xf>
    <xf numFmtId="170" fontId="41" fillId="0" borderId="23" xfId="0" applyNumberFormat="1" applyFont="1" applyBorder="1" applyAlignment="1">
      <alignment vertical="center" wrapText="1"/>
    </xf>
    <xf numFmtId="170" fontId="41" fillId="0" borderId="17" xfId="0" applyNumberFormat="1" applyFont="1" applyBorder="1" applyAlignment="1">
      <alignment vertical="center"/>
    </xf>
    <xf numFmtId="170" fontId="41" fillId="0" borderId="17" xfId="0" applyNumberFormat="1" applyFont="1" applyBorder="1" applyAlignment="1">
      <alignment vertical="center" wrapText="1"/>
    </xf>
    <xf numFmtId="170" fontId="41" fillId="0" borderId="19" xfId="0" applyNumberFormat="1" applyFont="1" applyBorder="1" applyAlignment="1">
      <alignment vertical="center" wrapText="1"/>
    </xf>
    <xf numFmtId="170" fontId="41" fillId="22" borderId="19" xfId="0" applyNumberFormat="1" applyFont="1" applyFill="1" applyBorder="1" applyAlignment="1">
      <alignment vertical="center" wrapText="1"/>
    </xf>
    <xf numFmtId="170" fontId="41" fillId="0" borderId="23" xfId="0" applyNumberFormat="1" applyFont="1" applyBorder="1" applyAlignment="1">
      <alignment vertical="center"/>
    </xf>
    <xf numFmtId="170" fontId="41" fillId="0" borderId="19" xfId="0" applyNumberFormat="1" applyFont="1" applyBorder="1" applyAlignment="1">
      <alignment vertical="center"/>
    </xf>
    <xf numFmtId="170" fontId="41" fillId="22" borderId="19" xfId="0" applyNumberFormat="1" applyFont="1" applyFill="1" applyBorder="1" applyAlignment="1">
      <alignment vertical="center"/>
    </xf>
    <xf numFmtId="0" fontId="41" fillId="0" borderId="23" xfId="0" applyFont="1" applyBorder="1" applyAlignment="1">
      <alignment vertical="center" wrapText="1"/>
    </xf>
    <xf numFmtId="0" fontId="41" fillId="22" borderId="17" xfId="0" applyFont="1" applyFill="1" applyBorder="1" applyAlignment="1">
      <alignment vertical="center" wrapText="1"/>
    </xf>
    <xf numFmtId="0" fontId="41" fillId="0" borderId="19" xfId="0" applyFont="1" applyBorder="1" applyAlignment="1">
      <alignment vertical="center" wrapText="1"/>
    </xf>
    <xf numFmtId="1" fontId="41" fillId="0" borderId="24" xfId="0" applyNumberFormat="1" applyFont="1" applyBorder="1" applyAlignment="1">
      <alignment vertical="center" wrapText="1"/>
    </xf>
    <xf numFmtId="0" fontId="41" fillId="22" borderId="25" xfId="0" applyFont="1" applyFill="1" applyBorder="1" applyAlignment="1">
      <alignment vertical="center" wrapText="1"/>
    </xf>
    <xf numFmtId="1" fontId="41" fillId="0" borderId="25" xfId="0" applyNumberFormat="1" applyFont="1" applyBorder="1" applyAlignment="1">
      <alignment vertical="center" wrapText="1"/>
    </xf>
    <xf numFmtId="1" fontId="40" fillId="17" borderId="3" xfId="0" applyNumberFormat="1" applyFont="1" applyFill="1" applyBorder="1" applyAlignment="1">
      <alignment wrapText="1"/>
    </xf>
    <xf numFmtId="0" fontId="41" fillId="21" borderId="17" xfId="0" applyFont="1" applyFill="1" applyBorder="1" applyAlignment="1">
      <alignment vertical="center" wrapText="1"/>
    </xf>
    <xf numFmtId="0" fontId="41" fillId="0" borderId="26" xfId="0" applyFont="1" applyBorder="1" applyAlignment="1">
      <alignment horizontal="center" wrapText="1"/>
    </xf>
    <xf numFmtId="0" fontId="42" fillId="0" borderId="7" xfId="0" applyFont="1" applyBorder="1" applyAlignment="1">
      <alignment horizontal="center"/>
    </xf>
    <xf numFmtId="0" fontId="41" fillId="0" borderId="0" xfId="0" applyFont="1" applyAlignment="1">
      <alignment wrapText="1"/>
    </xf>
    <xf numFmtId="0" fontId="41" fillId="24" borderId="6" xfId="0" applyFont="1" applyFill="1" applyBorder="1" applyAlignment="1">
      <alignment vertical="center"/>
    </xf>
    <xf numFmtId="0" fontId="41" fillId="24" borderId="11" xfId="0" applyFont="1" applyFill="1" applyBorder="1" applyAlignment="1">
      <alignment vertical="center"/>
    </xf>
    <xf numFmtId="0" fontId="41" fillId="0" borderId="17" xfId="0" applyFont="1" applyBorder="1"/>
    <xf numFmtId="0" fontId="43" fillId="0" borderId="17" xfId="0" applyFont="1" applyBorder="1"/>
    <xf numFmtId="0" fontId="44" fillId="0" borderId="17" xfId="0" applyFont="1" applyBorder="1"/>
    <xf numFmtId="0" fontId="42" fillId="0" borderId="17" xfId="0" applyFont="1" applyBorder="1" applyAlignment="1">
      <alignment vertical="center"/>
    </xf>
    <xf numFmtId="0" fontId="4" fillId="0" borderId="7" xfId="0" applyFont="1" applyBorder="1"/>
    <xf numFmtId="2" fontId="4" fillId="0" borderId="8" xfId="0" applyNumberFormat="1" applyFont="1" applyBorder="1"/>
    <xf numFmtId="0" fontId="4" fillId="0" borderId="8" xfId="0" applyFont="1" applyBorder="1"/>
    <xf numFmtId="167" fontId="4" fillId="0" borderId="7" xfId="0" applyNumberFormat="1" applyFont="1" applyBorder="1"/>
    <xf numFmtId="2" fontId="4" fillId="0" borderId="1" xfId="0" applyNumberFormat="1" applyFont="1" applyBorder="1"/>
    <xf numFmtId="0" fontId="4" fillId="0" borderId="9" xfId="0" applyFont="1" applyBorder="1"/>
    <xf numFmtId="0" fontId="40" fillId="0" borderId="28" xfId="0" applyFont="1" applyBorder="1" applyAlignment="1">
      <alignment vertical="center"/>
    </xf>
    <xf numFmtId="0" fontId="13" fillId="0" borderId="4" xfId="0" applyFont="1" applyBorder="1" applyAlignment="1">
      <alignment wrapText="1"/>
    </xf>
    <xf numFmtId="0" fontId="13" fillId="0" borderId="2" xfId="0" applyFont="1" applyBorder="1" applyAlignment="1">
      <alignment wrapText="1"/>
    </xf>
    <xf numFmtId="0" fontId="4" fillId="0" borderId="0" xfId="0" applyFont="1" applyAlignment="1">
      <alignment vertical="top"/>
    </xf>
    <xf numFmtId="0" fontId="31" fillId="0" borderId="0" xfId="0" applyFont="1" applyAlignment="1">
      <alignment vertical="center"/>
    </xf>
    <xf numFmtId="0" fontId="6" fillId="3" borderId="7" xfId="0" applyFont="1" applyFill="1" applyBorder="1"/>
    <xf numFmtId="0" fontId="6" fillId="4" borderId="7" xfId="0" applyFont="1" applyFill="1" applyBorder="1"/>
    <xf numFmtId="0" fontId="6" fillId="5" borderId="7" xfId="0" applyFont="1" applyFill="1" applyBorder="1"/>
    <xf numFmtId="0" fontId="6" fillId="6" borderId="7" xfId="0" applyFont="1" applyFill="1" applyBorder="1"/>
    <xf numFmtId="0" fontId="6" fillId="0" borderId="7" xfId="0" applyFont="1" applyBorder="1"/>
    <xf numFmtId="1" fontId="4" fillId="9" borderId="15" xfId="0" applyNumberFormat="1" applyFont="1" applyFill="1" applyBorder="1"/>
    <xf numFmtId="1" fontId="4" fillId="0" borderId="15" xfId="0" applyNumberFormat="1" applyFont="1" applyBorder="1"/>
    <xf numFmtId="9" fontId="9" fillId="10" borderId="14" xfId="0" applyNumberFormat="1" applyFont="1" applyFill="1" applyBorder="1"/>
    <xf numFmtId="0" fontId="8" fillId="0" borderId="10" xfId="0" applyFont="1" applyBorder="1" applyAlignment="1">
      <alignment horizontal="left" vertical="center" wrapText="1"/>
    </xf>
    <xf numFmtId="1" fontId="17" fillId="0" borderId="11" xfId="0" applyNumberFormat="1" applyFont="1" applyBorder="1"/>
    <xf numFmtId="1" fontId="9" fillId="9" borderId="14" xfId="0" applyNumberFormat="1" applyFont="1" applyFill="1" applyBorder="1" applyAlignment="1">
      <alignment horizontal="right" vertical="center" wrapText="1"/>
    </xf>
    <xf numFmtId="1" fontId="8" fillId="0" borderId="14"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9" fillId="0" borderId="11" xfId="0" applyFont="1" applyBorder="1" applyAlignment="1">
      <alignment vertical="center" wrapText="1"/>
    </xf>
    <xf numFmtId="9" fontId="19" fillId="0" borderId="11" xfId="5" applyFont="1" applyBorder="1" applyAlignment="1">
      <alignment vertical="center"/>
    </xf>
    <xf numFmtId="9" fontId="9" fillId="0" borderId="14" xfId="0" applyNumberFormat="1" applyFont="1" applyBorder="1"/>
    <xf numFmtId="0" fontId="9" fillId="0" borderId="15" xfId="0" applyFont="1" applyBorder="1" applyAlignment="1">
      <alignment horizontal="left" vertical="center" wrapText="1"/>
    </xf>
    <xf numFmtId="0" fontId="20" fillId="0" borderId="15" xfId="0" applyFont="1" applyBorder="1" applyAlignment="1">
      <alignment horizontal="right" vertical="center"/>
    </xf>
    <xf numFmtId="9" fontId="4" fillId="0" borderId="14" xfId="5" applyFont="1" applyBorder="1" applyAlignment="1">
      <alignment vertical="center"/>
    </xf>
    <xf numFmtId="9" fontId="13" fillId="0" borderId="14" xfId="5" applyFont="1" applyBorder="1" applyAlignment="1">
      <alignment vertical="center"/>
    </xf>
    <xf numFmtId="9" fontId="21" fillId="0" borderId="15" xfId="5" applyFont="1" applyBorder="1" applyAlignment="1">
      <alignment vertical="center"/>
    </xf>
    <xf numFmtId="9" fontId="9" fillId="10" borderId="14" xfId="5" applyFont="1" applyFill="1" applyBorder="1" applyAlignment="1">
      <alignment vertical="center"/>
    </xf>
    <xf numFmtId="9" fontId="9" fillId="10" borderId="14" xfId="0" applyNumberFormat="1" applyFont="1" applyFill="1" applyBorder="1" applyAlignment="1">
      <alignment vertical="center"/>
    </xf>
    <xf numFmtId="9" fontId="8" fillId="0" borderId="14" xfId="5" applyFont="1" applyBorder="1" applyAlignment="1">
      <alignment vertical="center"/>
    </xf>
    <xf numFmtId="0" fontId="8" fillId="0" borderId="10" xfId="0" applyFont="1" applyBorder="1" applyAlignment="1">
      <alignment vertical="center"/>
    </xf>
    <xf numFmtId="0" fontId="8" fillId="0" borderId="7" xfId="0" applyFont="1" applyBorder="1" applyAlignment="1">
      <alignment vertical="center" wrapText="1"/>
    </xf>
    <xf numFmtId="0" fontId="4" fillId="0" borderId="12" xfId="0" applyFont="1" applyBorder="1" applyAlignment="1">
      <alignment vertical="center"/>
    </xf>
    <xf numFmtId="167" fontId="4" fillId="9" borderId="8" xfId="2" applyNumberFormat="1" applyFont="1" applyFill="1" applyBorder="1" applyAlignment="1">
      <alignment vertical="center"/>
    </xf>
    <xf numFmtId="0" fontId="13" fillId="0" borderId="13" xfId="0" applyFont="1" applyBorder="1" applyAlignment="1">
      <alignment vertical="center" wrapText="1"/>
    </xf>
    <xf numFmtId="167" fontId="13" fillId="0" borderId="9" xfId="2" applyNumberFormat="1" applyFont="1" applyBorder="1" applyAlignment="1">
      <alignment vertical="center"/>
    </xf>
    <xf numFmtId="0" fontId="13" fillId="0" borderId="10" xfId="0" applyFont="1" applyBorder="1" applyAlignment="1">
      <alignment vertical="center" wrapText="1"/>
    </xf>
    <xf numFmtId="167" fontId="13" fillId="9" borderId="7" xfId="2" applyNumberFormat="1" applyFont="1" applyFill="1" applyBorder="1" applyAlignment="1">
      <alignment vertical="center"/>
    </xf>
    <xf numFmtId="0" fontId="4" fillId="0" borderId="12" xfId="0" applyFont="1" applyBorder="1" applyAlignment="1">
      <alignment vertical="center" wrapText="1"/>
    </xf>
    <xf numFmtId="0" fontId="17" fillId="0" borderId="11" xfId="0" applyFont="1" applyBorder="1" applyAlignment="1">
      <alignment vertical="center" wrapText="1"/>
    </xf>
    <xf numFmtId="167" fontId="4" fillId="0" borderId="8" xfId="2" applyNumberFormat="1" applyFont="1" applyBorder="1" applyAlignment="1">
      <alignment vertical="center"/>
    </xf>
    <xf numFmtId="9" fontId="18" fillId="0" borderId="15" xfId="5" applyFont="1" applyBorder="1" applyAlignment="1">
      <alignment vertical="center"/>
    </xf>
    <xf numFmtId="3" fontId="24" fillId="0" borderId="14" xfId="2" applyNumberFormat="1" applyFont="1" applyBorder="1" applyAlignment="1">
      <alignment vertical="center"/>
    </xf>
    <xf numFmtId="167" fontId="13" fillId="0" borderId="7" xfId="2" applyNumberFormat="1" applyFont="1" applyBorder="1" applyAlignment="1">
      <alignment vertical="center"/>
    </xf>
    <xf numFmtId="9" fontId="17" fillId="0" borderId="11" xfId="5" applyFont="1" applyBorder="1" applyAlignment="1">
      <alignment vertical="center"/>
    </xf>
    <xf numFmtId="0" fontId="13" fillId="0" borderId="7" xfId="0" applyFont="1" applyBorder="1" applyAlignment="1">
      <alignment wrapText="1"/>
    </xf>
    <xf numFmtId="0" fontId="13" fillId="0" borderId="11" xfId="0" applyFont="1" applyBorder="1" applyAlignment="1">
      <alignment horizontal="center" vertical="center" wrapText="1"/>
    </xf>
    <xf numFmtId="0" fontId="9" fillId="0" borderId="8" xfId="0" applyFont="1" applyBorder="1"/>
    <xf numFmtId="9" fontId="4" fillId="9" borderId="12" xfId="5" applyFont="1" applyFill="1" applyBorder="1"/>
    <xf numFmtId="9" fontId="4" fillId="13" borderId="15" xfId="5" applyFont="1" applyFill="1" applyBorder="1"/>
    <xf numFmtId="9" fontId="4" fillId="14" borderId="15" xfId="5" applyFont="1" applyFill="1" applyBorder="1"/>
    <xf numFmtId="0" fontId="9" fillId="0" borderId="9" xfId="0" applyFont="1" applyBorder="1"/>
    <xf numFmtId="9" fontId="4" fillId="0" borderId="13" xfId="5" applyFont="1" applyBorder="1"/>
    <xf numFmtId="0" fontId="8" fillId="0" borderId="10" xfId="0" applyFont="1" applyBorder="1" applyAlignment="1">
      <alignment vertical="center" wrapText="1"/>
    </xf>
    <xf numFmtId="9" fontId="9" fillId="0" borderId="11" xfId="0" applyNumberFormat="1" applyFont="1" applyBorder="1" applyAlignment="1">
      <alignment vertical="center"/>
    </xf>
    <xf numFmtId="3" fontId="24" fillId="0" borderId="14" xfId="0" applyNumberFormat="1" applyFont="1" applyBorder="1" applyAlignment="1">
      <alignment vertical="center"/>
    </xf>
    <xf numFmtId="0" fontId="4" fillId="0" borderId="8" xfId="0" applyFont="1" applyBorder="1" applyAlignment="1">
      <alignment vertical="center"/>
    </xf>
    <xf numFmtId="167" fontId="4" fillId="9" borderId="15" xfId="2" applyNumberFormat="1" applyFont="1" applyFill="1" applyBorder="1" applyAlignment="1">
      <alignment vertical="center"/>
    </xf>
    <xf numFmtId="167" fontId="4" fillId="0" borderId="15" xfId="2" applyNumberFormat="1" applyFont="1" applyBorder="1" applyAlignment="1">
      <alignment vertical="center"/>
    </xf>
    <xf numFmtId="0" fontId="4" fillId="0" borderId="8" xfId="0" applyFont="1" applyBorder="1" applyAlignment="1">
      <alignment vertical="center" wrapText="1"/>
    </xf>
    <xf numFmtId="164" fontId="4" fillId="0" borderId="15" xfId="2" applyFont="1" applyBorder="1" applyAlignment="1">
      <alignment vertical="center"/>
    </xf>
    <xf numFmtId="0" fontId="13" fillId="0" borderId="8" xfId="0" applyFont="1" applyBorder="1" applyAlignment="1">
      <alignment vertical="center" wrapText="1"/>
    </xf>
    <xf numFmtId="164" fontId="13" fillId="0" borderId="15" xfId="2" applyFont="1" applyBorder="1" applyAlignment="1">
      <alignment vertical="center"/>
    </xf>
    <xf numFmtId="0" fontId="13" fillId="0" borderId="9" xfId="0" applyFont="1" applyBorder="1" applyAlignment="1">
      <alignment vertical="center" wrapText="1"/>
    </xf>
    <xf numFmtId="167" fontId="4" fillId="0" borderId="8" xfId="0" applyNumberFormat="1" applyFont="1" applyBorder="1" applyAlignment="1">
      <alignment vertical="center"/>
    </xf>
    <xf numFmtId="167" fontId="13" fillId="0" borderId="9" xfId="0" applyNumberFormat="1" applyFont="1" applyBorder="1" applyAlignment="1">
      <alignment vertical="center"/>
    </xf>
    <xf numFmtId="0" fontId="4" fillId="0" borderId="9" xfId="0" applyFont="1" applyBorder="1" applyAlignment="1">
      <alignment vertical="center" wrapText="1"/>
    </xf>
    <xf numFmtId="167" fontId="4" fillId="9" borderId="8" xfId="0" applyNumberFormat="1" applyFont="1" applyFill="1" applyBorder="1" applyAlignment="1">
      <alignment vertical="center"/>
    </xf>
    <xf numFmtId="167" fontId="4" fillId="0" borderId="9" xfId="0" applyNumberFormat="1" applyFont="1" applyBorder="1" applyAlignment="1">
      <alignment vertical="center"/>
    </xf>
    <xf numFmtId="0" fontId="38" fillId="0" borderId="10" xfId="0" applyFont="1" applyBorder="1"/>
    <xf numFmtId="167" fontId="38" fillId="6" borderId="11" xfId="2" applyNumberFormat="1" applyFont="1" applyFill="1" applyBorder="1"/>
    <xf numFmtId="0" fontId="4" fillId="0" borderId="10" xfId="0" applyFont="1" applyBorder="1"/>
    <xf numFmtId="0" fontId="4" fillId="0" borderId="8" xfId="0" applyFont="1" applyBorder="1" applyAlignment="1">
      <alignment wrapText="1"/>
    </xf>
    <xf numFmtId="0" fontId="0" fillId="0" borderId="10" xfId="0" applyBorder="1"/>
    <xf numFmtId="0" fontId="4" fillId="0" borderId="11" xfId="0" applyFont="1" applyBorder="1" applyAlignment="1">
      <alignment vertical="center"/>
    </xf>
    <xf numFmtId="0" fontId="29" fillId="0" borderId="10" xfId="0" applyFont="1" applyBorder="1" applyAlignment="1">
      <alignment horizontal="right"/>
    </xf>
    <xf numFmtId="167" fontId="29" fillId="0" borderId="11" xfId="0" applyNumberFormat="1" applyFont="1" applyBorder="1"/>
    <xf numFmtId="0" fontId="4" fillId="0" borderId="12" xfId="0" applyFont="1" applyBorder="1" applyAlignment="1">
      <alignment wrapText="1"/>
    </xf>
    <xf numFmtId="167" fontId="4" fillId="0" borderId="15" xfId="0" applyNumberFormat="1" applyFont="1" applyBorder="1"/>
    <xf numFmtId="0" fontId="4" fillId="0" borderId="13" xfId="0" applyFont="1" applyBorder="1" applyAlignment="1">
      <alignment wrapText="1"/>
    </xf>
    <xf numFmtId="167" fontId="20" fillId="0" borderId="14" xfId="2" applyNumberFormat="1" applyFont="1" applyBorder="1"/>
    <xf numFmtId="167" fontId="4" fillId="0" borderId="14" xfId="2" applyNumberFormat="1" applyFont="1" applyBorder="1"/>
    <xf numFmtId="0" fontId="29" fillId="0" borderId="10" xfId="0" quotePrefix="1" applyFont="1" applyBorder="1" applyAlignment="1">
      <alignment horizontal="right" wrapText="1"/>
    </xf>
    <xf numFmtId="167" fontId="4" fillId="10" borderId="14" xfId="2" applyNumberFormat="1" applyFont="1" applyFill="1" applyBorder="1"/>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13" fillId="0" borderId="0" xfId="0" applyFont="1" applyAlignment="1">
      <alignment horizontal="left" vertical="center" wrapText="1"/>
    </xf>
    <xf numFmtId="0" fontId="31" fillId="0" borderId="0" xfId="0" quotePrefix="1" applyFont="1" applyAlignment="1">
      <alignment horizontal="left" vertical="center" wrapText="1"/>
    </xf>
    <xf numFmtId="0" fontId="4" fillId="0" borderId="0" xfId="0" quotePrefix="1" applyFont="1" applyAlignment="1">
      <alignment horizontal="left" vertical="center" wrapText="1"/>
    </xf>
    <xf numFmtId="0" fontId="32" fillId="0" borderId="0" xfId="0" applyFont="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1" fillId="0" borderId="0" xfId="0" applyFont="1" applyAlignment="1">
      <alignment horizontal="left"/>
    </xf>
    <xf numFmtId="0" fontId="4" fillId="0" borderId="0" xfId="0" applyFont="1" applyAlignment="1">
      <alignment horizontal="left"/>
    </xf>
    <xf numFmtId="0" fontId="31" fillId="0" borderId="0" xfId="0" applyFont="1" applyAlignment="1">
      <alignment horizontal="left" vertical="center" wrapText="1"/>
    </xf>
    <xf numFmtId="0" fontId="40" fillId="17" borderId="16" xfId="0" applyFont="1" applyFill="1" applyBorder="1" applyAlignment="1">
      <alignment horizontal="center"/>
    </xf>
    <xf numFmtId="0" fontId="41" fillId="23" borderId="1" xfId="0" applyFont="1" applyFill="1" applyBorder="1" applyAlignment="1">
      <alignment horizontal="center" wrapText="1"/>
    </xf>
    <xf numFmtId="0" fontId="41" fillId="23" borderId="9" xfId="0" applyFont="1" applyFill="1" applyBorder="1" applyAlignment="1">
      <alignment horizontal="center" wrapText="1"/>
    </xf>
    <xf numFmtId="0" fontId="41" fillId="23" borderId="8" xfId="0" applyFont="1" applyFill="1" applyBorder="1" applyAlignment="1">
      <alignment horizontal="center" wrapText="1"/>
    </xf>
    <xf numFmtId="0" fontId="41" fillId="0" borderId="27" xfId="0" applyFont="1" applyBorder="1" applyAlignment="1">
      <alignment horizontal="center"/>
    </xf>
    <xf numFmtId="0" fontId="42" fillId="0" borderId="16" xfId="0" applyFont="1" applyBorder="1" applyAlignment="1">
      <alignment horizontal="center"/>
    </xf>
    <xf numFmtId="0" fontId="40" fillId="20" borderId="29" xfId="0" applyFont="1" applyFill="1" applyBorder="1" applyAlignment="1">
      <alignment horizontal="center" vertical="center"/>
    </xf>
    <xf numFmtId="0" fontId="40" fillId="20" borderId="30" xfId="0" applyFont="1" applyFill="1" applyBorder="1" applyAlignment="1">
      <alignment horizontal="center" vertical="center"/>
    </xf>
  </cellXfs>
  <cellStyles count="9">
    <cellStyle name="En-tête" xfId="1" xr:uid="{00000000-0005-0000-0000-000000000000}"/>
    <cellStyle name="Milliers" xfId="2" builtinId="3"/>
    <cellStyle name="Milliers 2" xfId="3" xr:uid="{00000000-0005-0000-0000-000003000000}"/>
    <cellStyle name="Normal" xfId="0" builtinId="0"/>
    <cellStyle name="Normal 2" xfId="4" xr:uid="{00000000-0005-0000-0000-000005000000}"/>
    <cellStyle name="Pourcentage" xfId="5" builtinId="5"/>
    <cellStyle name="Résultat" xfId="6" xr:uid="{00000000-0005-0000-0000-000009000000}"/>
    <cellStyle name="Résultat2" xfId="7" xr:uid="{00000000-0005-0000-0000-00000A000000}"/>
    <cellStyle name="Titre1"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2"/>
                </a:solidFill>
                <a:latin typeface="Arial"/>
                <a:ea typeface="+mn-ea"/>
                <a:cs typeface="Arial"/>
              </a:defRPr>
            </a:pPr>
            <a:r>
              <a:rPr lang="fr-FR"/>
              <a:t>Évolution du besoin en emploi dans la décarbonation de la filière automobile traditionnelle </a:t>
            </a:r>
          </a:p>
        </c:rich>
      </c:tx>
      <c:overlay val="0"/>
      <c:spPr>
        <a:prstGeom prst="rect">
          <a:avLst/>
        </a:prstGeom>
        <a:noFill/>
        <a:ln>
          <a:noFill/>
        </a:ln>
        <a:effectLst/>
      </c:spPr>
    </c:title>
    <c:autoTitleDeleted val="0"/>
    <c:plotArea>
      <c:layout/>
      <c:barChart>
        <c:barDir val="col"/>
        <c:grouping val="stacked"/>
        <c:varyColors val="0"/>
        <c:ser>
          <c:idx val="0"/>
          <c:order val="0"/>
          <c:tx>
            <c:strRef>
              <c:f>Visualisation!$B$11</c:f>
              <c:strCache>
                <c:ptCount val="1"/>
                <c:pt idx="0">
                  <c:v>Emplois directs</c:v>
                </c:pt>
              </c:strCache>
            </c:strRef>
          </c:tx>
          <c:spPr>
            <a:prstGeom prst="rect">
              <a:avLst/>
            </a:prstGeom>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baseline="0">
                    <a:solidFill>
                      <a:schemeClr val="bg1"/>
                    </a:solidFill>
                    <a:latin typeface="Arial"/>
                    <a:ea typeface="+mn-ea"/>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Visualisation!$C$10:$D$10</c:f>
              <c:strCache>
                <c:ptCount val="2"/>
                <c:pt idx="0">
                  <c:v>Emploi actuel (ETP)</c:v>
                </c:pt>
                <c:pt idx="1">
                  <c:v>Emploi après transformation - 2050 (ETP)</c:v>
                </c:pt>
              </c:strCache>
            </c:strRef>
          </c:cat>
          <c:val>
            <c:numRef>
              <c:f>Visualisation!$C$11:$D$11</c:f>
              <c:numCache>
                <c:formatCode>#,##0</c:formatCode>
                <c:ptCount val="2"/>
                <c:pt idx="0" formatCode="_-* #\ ##0\ _€_-;\-* #\ ##0\ _€_-;_-* &quot;-&quot;??\ _€_-;_-@_-">
                  <c:v>240000</c:v>
                </c:pt>
                <c:pt idx="1">
                  <c:v>120000</c:v>
                </c:pt>
              </c:numCache>
            </c:numRef>
          </c:val>
          <c:extLst>
            <c:ext xmlns:c16="http://schemas.microsoft.com/office/drawing/2014/chart" uri="{C3380CC4-5D6E-409C-BE32-E72D297353CC}">
              <c16:uniqueId val="{00000000-5CE1-4AEF-A13D-80D3A1CC3FAB}"/>
            </c:ext>
          </c:extLst>
        </c:ser>
        <c:ser>
          <c:idx val="1"/>
          <c:order val="1"/>
          <c:tx>
            <c:strRef>
              <c:f>Visualisation!$B$12</c:f>
              <c:strCache>
                <c:ptCount val="1"/>
                <c:pt idx="0">
                  <c:v>Emplois indirects (amont de la filière)</c:v>
                </c:pt>
              </c:strCache>
            </c:strRef>
          </c:tx>
          <c:spPr>
            <a:prstGeom prst="rect">
              <a:avLst/>
            </a:prstGeom>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baseline="0">
                    <a:solidFill>
                      <a:schemeClr val="tx2"/>
                    </a:solidFill>
                    <a:latin typeface="Arial"/>
                    <a:ea typeface="+mn-ea"/>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Visualisation!$C$10:$D$10</c:f>
              <c:strCache>
                <c:ptCount val="2"/>
                <c:pt idx="0">
                  <c:v>Emploi actuel (ETP)</c:v>
                </c:pt>
                <c:pt idx="1">
                  <c:v>Emploi après transformation - 2050 (ETP)</c:v>
                </c:pt>
              </c:strCache>
            </c:strRef>
          </c:cat>
          <c:val>
            <c:numRef>
              <c:f>Visualisation!$C$12:$D$12</c:f>
              <c:numCache>
                <c:formatCode>#,##0</c:formatCode>
                <c:ptCount val="2"/>
                <c:pt idx="0" formatCode="_-* #\ ##0\ _€_-;\-* #\ ##0\ _€_-;_-* &quot;-&quot;??\ _€_-;_-@_-">
                  <c:v>220000</c:v>
                </c:pt>
                <c:pt idx="1">
                  <c:v>140000</c:v>
                </c:pt>
              </c:numCache>
            </c:numRef>
          </c:val>
          <c:extLst>
            <c:ext xmlns:c16="http://schemas.microsoft.com/office/drawing/2014/chart" uri="{C3380CC4-5D6E-409C-BE32-E72D297353CC}">
              <c16:uniqueId val="{00000001-5CE1-4AEF-A13D-80D3A1CC3FAB}"/>
            </c:ext>
          </c:extLst>
        </c:ser>
        <c:ser>
          <c:idx val="2"/>
          <c:order val="2"/>
          <c:tx>
            <c:strRef>
              <c:f>Visualisation!$B$13</c:f>
              <c:strCache>
                <c:ptCount val="1"/>
                <c:pt idx="0">
                  <c:v>Emplois en aval de la filière (commerce, location, entretien, réparation et contrôle technique)</c:v>
                </c:pt>
              </c:strCache>
            </c:strRef>
          </c:tx>
          <c:spPr>
            <a:prstGeom prst="rect">
              <a:avLst/>
            </a:prstGeom>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baseline="0">
                    <a:solidFill>
                      <a:schemeClr val="tx2"/>
                    </a:solidFill>
                    <a:latin typeface="Arial"/>
                    <a:ea typeface="+mn-ea"/>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Visualisation!$C$10:$D$10</c:f>
              <c:strCache>
                <c:ptCount val="2"/>
                <c:pt idx="0">
                  <c:v>Emploi actuel (ETP)</c:v>
                </c:pt>
                <c:pt idx="1">
                  <c:v>Emploi après transformation - 2050 (ETP)</c:v>
                </c:pt>
              </c:strCache>
            </c:strRef>
          </c:cat>
          <c:val>
            <c:numRef>
              <c:f>Visualisation!$C$13:$D$13</c:f>
              <c:numCache>
                <c:formatCode>#,##0</c:formatCode>
                <c:ptCount val="2"/>
                <c:pt idx="0" formatCode="_-* #\ ##0\ _€_-;\-* #\ ##0\ _€_-;_-* &quot;-&quot;??\ _€_-;_-@_-">
                  <c:v>410000</c:v>
                </c:pt>
                <c:pt idx="1">
                  <c:v>230000</c:v>
                </c:pt>
              </c:numCache>
            </c:numRef>
          </c:val>
          <c:extLst>
            <c:ext xmlns:c16="http://schemas.microsoft.com/office/drawing/2014/chart" uri="{C3380CC4-5D6E-409C-BE32-E72D297353CC}">
              <c16:uniqueId val="{00000002-5CE1-4AEF-A13D-80D3A1CC3FAB}"/>
            </c:ext>
          </c:extLst>
        </c:ser>
        <c:dLbls>
          <c:dLblPos val="ctr"/>
          <c:showLegendKey val="0"/>
          <c:showVal val="1"/>
          <c:showCatName val="0"/>
          <c:showSerName val="0"/>
          <c:showPercent val="0"/>
          <c:showBubbleSize val="0"/>
        </c:dLbls>
        <c:gapWidth val="150"/>
        <c:overlap val="100"/>
        <c:axId val="933709983"/>
        <c:axId val="933722879"/>
      </c:barChart>
      <c:catAx>
        <c:axId val="933709983"/>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2"/>
                </a:solidFill>
                <a:latin typeface="Arial"/>
                <a:ea typeface="+mn-ea"/>
                <a:cs typeface="Arial"/>
              </a:defRPr>
            </a:pPr>
            <a:endParaRPr lang="fr-FR"/>
          </a:p>
        </c:txPr>
        <c:crossAx val="933722879"/>
        <c:crosses val="autoZero"/>
        <c:auto val="1"/>
        <c:lblAlgn val="ctr"/>
        <c:lblOffset val="100"/>
        <c:noMultiLvlLbl val="0"/>
      </c:catAx>
      <c:valAx>
        <c:axId val="933722879"/>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2"/>
                </a:solidFill>
                <a:latin typeface="Arial"/>
                <a:ea typeface="+mn-ea"/>
                <a:cs typeface="Arial"/>
              </a:defRPr>
            </a:pPr>
            <a:endParaRPr lang="fr-FR"/>
          </a:p>
        </c:txPr>
        <c:crossAx val="933709983"/>
        <c:crosses val="autoZero"/>
        <c:crossBetween val="between"/>
      </c:valAx>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Arial"/>
              <a:ea typeface="+mn-ea"/>
              <a:cs typeface="Arial"/>
            </a:defRPr>
          </a:pPr>
          <a:endParaRPr lang="fr-FR"/>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solidFill>
            <a:schemeClr val="tx2"/>
          </a:solidFill>
          <a:latin typeface="Arial"/>
          <a:cs typeface="Arial"/>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_xlchart.v5.2</cx:f>
      </cx:strDim>
      <cx:numDim type="val">
        <cx:f>_xlchart.v5.3</cx:f>
      </cx:numDim>
    </cx:data>
  </cx:chartData>
  <cx:chart>
    <cx:title pos="t" align="ctr" overlay="0">
      <cx:tx>
        <cx:rich>
          <a:bodyPr spcFirstLastPara="1" vertOverflow="ellipsis" horzOverflow="overflow" wrap="square" lIns="0" tIns="0" rIns="0" bIns="0" anchor="ctr" anchorCtr="1"/>
          <a:lstStyle/>
          <a:p>
            <a:pPr algn="ctr" rtl="0">
              <a:defRPr/>
            </a:pPr>
            <a:r>
              <a:rPr lang="fr-FR"/>
              <a:t>Évolution du besoin en emploi dans la décarbonation du système automobile </a:t>
            </a:r>
            <a:endParaRPr lang="fr-FR" sz="1400" b="0" i="0" u="none" strike="noStrike" baseline="0">
              <a:solidFill>
                <a:srgbClr val="000000">
                  <a:lumMod val="65000"/>
                  <a:lumOff val="35000"/>
                </a:srgbClr>
              </a:solidFill>
              <a:latin typeface="Calibri"/>
              <a:cs typeface="Arial"/>
            </a:endParaRPr>
          </a:p>
        </cx:rich>
      </cx:tx>
    </cx:title>
    <cx:plotArea>
      <cx:plotAreaRegion>
        <cx:series layoutId="waterfall" uniqueId="{7AC33B75-F660-4354-B20F-FF2F9C0591F6}">
          <cx:dataPt idx="0">
            <cx:spPr>
              <a:solidFill>
                <a:srgbClr val="00005A"/>
              </a:solidFill>
            </cx:spPr>
          </cx:dataPt>
          <cx:dataPt idx="4">
            <cx:spPr>
              <a:pattFill prst="dkUpDiag">
                <a:fgClr>
                  <a:srgbClr val="FFDC23"/>
                </a:fgClr>
                <a:bgClr>
                  <a:srgbClr val="FFDC23">
                    <a:lumMod val="20000"/>
                    <a:lumOff val="80000"/>
                  </a:srgbClr>
                </a:bgClr>
              </a:pattFill>
            </cx:spPr>
          </cx:dataPt>
          <cx:dataLabels pos="outEnd">
            <cx:visibility seriesName="0" categoryName="0" value="1"/>
          </cx:dataLabels>
          <cx:dataId val="0"/>
          <cx:layoutPr>
            <cx:visibility connectorLines="1"/>
            <cx:subtotals>
              <cx:idx val="0"/>
              <cx:idx val="7"/>
            </cx:subtotals>
          </cx:layoutPr>
        </cx:series>
      </cx:plotAreaRegion>
      <cx:axis id="0">
        <cx:catScaling gapWidth="0.5"/>
        <cx:tickLabels/>
      </cx:axis>
      <cx:axis id="1">
        <cx:valScaling/>
        <cx:majorGridlines/>
        <cx:tickLabels/>
      </cx:axis>
    </cx:plotArea>
    <cx:legend pos="t" align="ctr" overlay="0">
      <cx:txPr>
        <a:bodyPr spcFirstLastPara="1" vertOverflow="ellipsis" horzOverflow="overflow" wrap="square" lIns="0" tIns="0" rIns="0" bIns="0" anchor="ctr" anchorCtr="1"/>
        <a:lstStyle/>
        <a:p>
          <a:pPr algn="ctr" rtl="0">
            <a:defRPr/>
          </a:pPr>
          <a:endParaRPr lang="fr-FR" sz="900" b="0" i="0" u="none" strike="noStrike" baseline="0">
            <a:solidFill>
              <a:srgbClr val="000000">
                <a:lumMod val="65000"/>
                <a:lumOff val="35000"/>
              </a:srgbClr>
            </a:solidFill>
            <a:latin typeface="Calibri"/>
            <a:cs typeface="Arial"/>
          </a:endParaRPr>
        </a:p>
      </cx:txPr>
    </cx:legend>
  </cx:chart>
  <cx:fmtOvrs>
    <cx:fmtOvr idx="1">
      <cx:spPr>
        <a:solidFill>
          <a:schemeClr val="accent6"/>
        </a:solidFill>
      </cx:spPr>
    </cx:fmtOvr>
    <cx:fmtOvr idx="0">
      <cx:spPr>
        <a:solidFill>
          <a:schemeClr val="accent4"/>
        </a:solidFill>
      </cx:spPr>
    </cx:fmtOvr>
    <cx:fmtOvr idx="2">
      <cx:spPr>
        <a:solidFill>
          <a:schemeClr val="accent2"/>
        </a:solidFill>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title pos="t" align="ctr" overlay="0">
      <cx:tx>
        <cx:rich>
          <a:bodyPr spcFirstLastPara="1" vertOverflow="ellipsis" horzOverflow="overflow" wrap="square" lIns="0" tIns="0" rIns="0" bIns="0" anchor="ctr" anchorCtr="1"/>
          <a:lstStyle/>
          <a:p>
            <a:pPr algn="ctr" rtl="0">
              <a:defRPr/>
            </a:pPr>
            <a:r>
              <a:rPr lang="fr-FR"/>
              <a:t>Évolution comparée de la demande de main-d’œuvre dans les filière automobile et vélo à 2050</a:t>
            </a:r>
            <a:endParaRPr lang="fr-FR" sz="1400" b="0" i="0" u="none" strike="noStrike" baseline="0">
              <a:solidFill>
                <a:srgbClr val="000000">
                  <a:lumMod val="65000"/>
                  <a:lumOff val="35000"/>
                </a:srgbClr>
              </a:solidFill>
              <a:latin typeface="Calibri"/>
              <a:cs typeface="Arial"/>
            </a:endParaRPr>
          </a:p>
        </cx:rich>
      </cx:tx>
    </cx:title>
    <cx:plotArea>
      <cx:plotAreaRegion>
        <cx:series layoutId="waterfall" uniqueId="{3FA2A797-D035-4D40-8032-65D7AA2C5F9C}">
          <cx:dataPt idx="0">
            <cx:spPr>
              <a:solidFill>
                <a:srgbClr val="00005A"/>
              </a:solidFill>
            </cx:spPr>
          </cx:dataPt>
          <cx:dataPt idx="4">
            <cx:spPr>
              <a:pattFill prst="dkUpDiag">
                <a:fgClr>
                  <a:srgbClr val="FFDC23"/>
                </a:fgClr>
                <a:bgClr>
                  <a:srgbClr val="FFDC23">
                    <a:lumMod val="20000"/>
                    <a:lumOff val="80000"/>
                  </a:srgbClr>
                </a:bgClr>
              </a:pattFill>
            </cx:spPr>
          </cx:dataPt>
          <cx:dataPt idx="7">
            <cx:spPr>
              <a:solidFill>
                <a:srgbClr val="00CAFE"/>
              </a:solidFill>
            </cx:spPr>
          </cx:dataPt>
          <cx:dataPt idx="8">
            <cx:spPr>
              <a:solidFill>
                <a:srgbClr val="00CAFE"/>
              </a:solidFill>
            </cx:spPr>
          </cx:dataPt>
          <cx:dataPt idx="9">
            <cx:spPr>
              <a:solidFill>
                <a:srgbClr val="FF8200"/>
              </a:solidFill>
            </cx:spPr>
          </cx:dataPt>
          <cx:dataLabels pos="outEnd">
            <cx:visibility seriesName="0" categoryName="0" value="1"/>
          </cx:dataLabels>
          <cx:dataId val="0"/>
          <cx:layoutPr>
            <cx:subtotals>
              <cx:idx val="0"/>
              <cx:idx val="9"/>
            </cx:subtotals>
          </cx:layoutPr>
        </cx:series>
      </cx:plotAreaRegion>
      <cx:axis id="0">
        <cx:catScaling gapWidth="0.5"/>
        <cx:tickLabels/>
      </cx:axis>
      <cx:axis id="1">
        <cx:valScaling/>
        <cx:majorGridlines/>
        <cx:tickLabels/>
      </cx:axis>
    </cx:plotArea>
    <cx:legend pos="t" align="ctr" overlay="0">
      <cx:txPr>
        <a:bodyPr spcFirstLastPara="1" vertOverflow="ellipsis" horzOverflow="overflow" wrap="square" lIns="0" tIns="0" rIns="0" bIns="0" anchor="ctr" anchorCtr="1"/>
        <a:lstStyle/>
        <a:p>
          <a:pPr algn="ctr" rtl="0">
            <a:defRPr/>
          </a:pPr>
          <a:endParaRPr lang="fr-FR" sz="900" b="0" i="0" u="none" strike="noStrike" baseline="0">
            <a:solidFill>
              <a:srgbClr val="000000">
                <a:lumMod val="65000"/>
                <a:lumOff val="35000"/>
              </a:srgbClr>
            </a:solidFill>
            <a:latin typeface="Calibri"/>
            <a:cs typeface="Arial"/>
          </a:endParaRPr>
        </a:p>
      </cx:txPr>
    </cx:legend>
  </cx:chart>
  <cx:fmtOvrs>
    <cx:fmtOvr idx="1">
      <cx:spPr>
        <a:solidFill>
          <a:schemeClr val="accent6"/>
        </a:solidFill>
      </cx:spPr>
    </cx:fmtOvr>
    <cx:fmtOvr idx="0">
      <cx:spPr>
        <a:solidFill>
          <a:schemeClr val="accent4"/>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344110</xdr:colOff>
      <xdr:row>2</xdr:row>
      <xdr:rowOff>188519</xdr:rowOff>
    </xdr:from>
    <xdr:to>
      <xdr:col>13</xdr:col>
      <xdr:colOff>582235</xdr:colOff>
      <xdr:row>14</xdr:row>
      <xdr:rowOff>35711</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768332</xdr:colOff>
      <xdr:row>19</xdr:row>
      <xdr:rowOff>86883</xdr:rowOff>
    </xdr:from>
    <xdr:to>
      <xdr:col>15</xdr:col>
      <xdr:colOff>205189</xdr:colOff>
      <xdr:row>38</xdr:row>
      <xdr:rowOff>4727</xdr:rowOff>
    </xdr:to>
    <mc:AlternateContent xmlns:mc="http://schemas.openxmlformats.org/markup-compatibility/2006">
      <mc:Choice xmlns:cx4="http://schemas.microsoft.com/office/drawing/2016/5/10/chartex" Requires="cx4">
        <xdr:graphicFrame macro="">
          <xdr:nvGraphicFramePr>
            <xdr:cNvPr id="3" name="Graphique 2">
              <a:extLst>
                <a:ext uri="{FF2B5EF4-FFF2-40B4-BE49-F238E27FC236}">
                  <a16:creationId xmlns:a16="http://schemas.microsoft.com/office/drawing/2014/main" id="{AC236D58-25E7-4469-8C3E-47901F7C3BE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448532" y="4931933"/>
              <a:ext cx="7806157" cy="3550044"/>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8</xdr:col>
      <xdr:colOff>93760</xdr:colOff>
      <xdr:row>42</xdr:row>
      <xdr:rowOff>300715</xdr:rowOff>
    </xdr:from>
    <xdr:to>
      <xdr:col>19</xdr:col>
      <xdr:colOff>753802</xdr:colOff>
      <xdr:row>66</xdr:row>
      <xdr:rowOff>20123</xdr:rowOff>
    </xdr:to>
    <mc:AlternateContent xmlns:mc="http://schemas.openxmlformats.org/markup-compatibility/2006">
      <mc:Choice xmlns:cx4="http://schemas.microsoft.com/office/drawing/2016/5/10/chartex" Requires="cx4">
        <xdr:graphicFrame macro="">
          <xdr:nvGraphicFramePr>
            <xdr:cNvPr id="5" name="Graphique 4">
              <a:extLst>
                <a:ext uri="{FF2B5EF4-FFF2-40B4-BE49-F238E27FC236}">
                  <a16:creationId xmlns:a16="http://schemas.microsoft.com/office/drawing/2014/main" id="{64EFE7C8-3FAB-4221-B77A-D8B01A8745C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9542560" y="9495515"/>
              <a:ext cx="9461142" cy="4272358"/>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theme/theme1.xml><?xml version="1.0" encoding="utf-8"?>
<a:theme xmlns:a="http://schemas.openxmlformats.org/drawingml/2006/main" name="Office Theme">
  <a:themeElements>
    <a:clrScheme name="TSP nouvelle charte">
      <a:dk1>
        <a:srgbClr val="000000"/>
      </a:dk1>
      <a:lt1>
        <a:srgbClr val="FFFFFF"/>
      </a:lt1>
      <a:dk2>
        <a:srgbClr val="00005A"/>
      </a:dk2>
      <a:lt2>
        <a:srgbClr val="FFFFFF"/>
      </a:lt2>
      <a:accent1>
        <a:srgbClr val="00005A"/>
      </a:accent1>
      <a:accent2>
        <a:srgbClr val="FF8200"/>
      </a:accent2>
      <a:accent3>
        <a:srgbClr val="FAB758"/>
      </a:accent3>
      <a:accent4>
        <a:srgbClr val="FFDC23"/>
      </a:accent4>
      <a:accent5>
        <a:srgbClr val="00CAFE"/>
      </a:accent5>
      <a:accent6>
        <a:srgbClr val="0028DC"/>
      </a:accent6>
      <a:hlink>
        <a:srgbClr val="FF8200"/>
      </a:hlink>
      <a:folHlink>
        <a:srgbClr val="FF8200"/>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automotive-iq.com/electrics-electronics/articles/top-five-ev-battery-factories-in-europe" TargetMode="External"/><Relationship Id="rId1" Type="http://schemas.openxmlformats.org/officeDocument/2006/relationships/hyperlink" Target="https://www.theguardian.com/business/2020/may/20/uk-first-car-battery-gigafactory-amte-power-britishvol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workbookViewId="0">
      <selection activeCell="A7" sqref="A7"/>
    </sheetView>
  </sheetViews>
  <sheetFormatPr baseColWidth="10" defaultColWidth="10.81640625" defaultRowHeight="12.5" x14ac:dyDescent="0.25"/>
  <cols>
    <col min="1" max="1" width="19.7265625" style="1" customWidth="1"/>
    <col min="2" max="2" width="38.81640625" style="1" customWidth="1"/>
    <col min="3" max="16384" width="10.81640625" style="1"/>
  </cols>
  <sheetData>
    <row r="1" spans="1:10" ht="14" x14ac:dyDescent="0.3">
      <c r="A1" s="2" t="s">
        <v>0</v>
      </c>
      <c r="B1" s="2" t="s">
        <v>1</v>
      </c>
      <c r="C1" s="3"/>
      <c r="D1" s="3"/>
      <c r="E1" s="3"/>
      <c r="F1" s="3"/>
      <c r="G1" s="3"/>
      <c r="H1" s="3"/>
      <c r="I1" s="3"/>
      <c r="J1" s="3"/>
    </row>
    <row r="2" spans="1:10" x14ac:dyDescent="0.25">
      <c r="A2" s="199"/>
      <c r="B2" s="1" t="s">
        <v>2</v>
      </c>
    </row>
    <row r="3" spans="1:10" x14ac:dyDescent="0.25">
      <c r="A3" s="200"/>
      <c r="B3" s="1" t="s">
        <v>3</v>
      </c>
    </row>
    <row r="4" spans="1:10" x14ac:dyDescent="0.25">
      <c r="A4" s="201"/>
      <c r="B4" s="1" t="s">
        <v>4</v>
      </c>
    </row>
    <row r="5" spans="1:10" x14ac:dyDescent="0.25">
      <c r="A5" s="202"/>
      <c r="B5" s="1" t="s">
        <v>5</v>
      </c>
    </row>
    <row r="6" spans="1:10" x14ac:dyDescent="0.25">
      <c r="A6" s="203"/>
      <c r="B6" s="1" t="s">
        <v>6</v>
      </c>
    </row>
    <row r="8" spans="1:10" ht="14" x14ac:dyDescent="0.3">
      <c r="A8" s="2" t="s">
        <v>7</v>
      </c>
      <c r="B8" s="3"/>
      <c r="C8" s="3"/>
      <c r="D8" s="3"/>
      <c r="E8" s="3"/>
      <c r="F8" s="3"/>
      <c r="G8" s="3"/>
      <c r="H8" s="3"/>
      <c r="I8" s="3"/>
      <c r="J8" s="3"/>
    </row>
    <row r="9" spans="1:10" ht="29.5" customHeight="1" x14ac:dyDescent="0.25">
      <c r="A9" s="292" t="s">
        <v>8</v>
      </c>
      <c r="B9" s="292"/>
      <c r="C9" s="292"/>
      <c r="D9" s="292"/>
      <c r="E9" s="292"/>
      <c r="F9" s="292"/>
      <c r="G9" s="292"/>
      <c r="H9" s="292"/>
      <c r="I9" s="292"/>
      <c r="J9" s="292"/>
    </row>
    <row r="11" spans="1:10" ht="14" x14ac:dyDescent="0.3">
      <c r="A11" s="2" t="s">
        <v>9</v>
      </c>
      <c r="B11" s="3"/>
      <c r="C11" s="3"/>
      <c r="D11" s="3"/>
      <c r="E11" s="3"/>
      <c r="F11" s="3"/>
      <c r="G11" s="3"/>
      <c r="H11" s="3"/>
      <c r="I11" s="3"/>
      <c r="J11" s="3"/>
    </row>
    <row r="12" spans="1:10" ht="27" customHeight="1" x14ac:dyDescent="0.25">
      <c r="A12" s="292" t="s">
        <v>10</v>
      </c>
      <c r="B12" s="292"/>
      <c r="C12" s="292"/>
      <c r="D12" s="292"/>
      <c r="E12" s="292"/>
      <c r="F12" s="292"/>
      <c r="G12" s="292"/>
      <c r="H12" s="292"/>
      <c r="I12" s="292"/>
      <c r="J12" s="292"/>
    </row>
    <row r="13" spans="1:10" ht="44.15" customHeight="1" x14ac:dyDescent="0.25">
      <c r="A13" s="292" t="s">
        <v>11</v>
      </c>
      <c r="B13" s="292"/>
      <c r="C13" s="292"/>
      <c r="D13" s="292"/>
      <c r="E13" s="292"/>
      <c r="F13" s="292"/>
      <c r="G13" s="292"/>
      <c r="H13" s="292"/>
      <c r="I13" s="292"/>
      <c r="J13" s="292"/>
    </row>
    <row r="15" spans="1:10" ht="14" x14ac:dyDescent="0.3">
      <c r="A15" s="2" t="s">
        <v>12</v>
      </c>
      <c r="B15" s="3"/>
      <c r="C15" s="3"/>
      <c r="D15" s="3"/>
      <c r="E15" s="3"/>
      <c r="F15" s="3"/>
      <c r="G15" s="3"/>
      <c r="H15" s="3"/>
      <c r="I15" s="3"/>
      <c r="J15" s="3"/>
    </row>
    <row r="16" spans="1:10" x14ac:dyDescent="0.25">
      <c r="A16" s="1" t="s">
        <v>13</v>
      </c>
    </row>
    <row r="17" spans="1:10" x14ac:dyDescent="0.25">
      <c r="A17" s="1" t="s">
        <v>14</v>
      </c>
    </row>
    <row r="18" spans="1:10" x14ac:dyDescent="0.25">
      <c r="A18" s="1" t="s">
        <v>15</v>
      </c>
    </row>
    <row r="20" spans="1:10" s="140" customFormat="1" ht="14" x14ac:dyDescent="0.3">
      <c r="A20" s="138" t="s">
        <v>16</v>
      </c>
      <c r="B20" s="138"/>
      <c r="C20" s="139"/>
      <c r="D20" s="139"/>
      <c r="E20" s="139"/>
      <c r="F20" s="139"/>
      <c r="G20" s="139"/>
      <c r="H20" s="139"/>
      <c r="I20" s="139"/>
      <c r="J20" s="139"/>
    </row>
    <row r="21" spans="1:10" s="140" customFormat="1" ht="52" customHeight="1" x14ac:dyDescent="0.25">
      <c r="A21" s="292" t="s">
        <v>17</v>
      </c>
      <c r="B21" s="292"/>
      <c r="C21" s="292"/>
      <c r="D21" s="292"/>
      <c r="E21" s="292"/>
      <c r="F21" s="292"/>
      <c r="G21" s="292"/>
      <c r="H21" s="292"/>
      <c r="I21" s="292"/>
      <c r="J21" s="292"/>
    </row>
    <row r="22" spans="1:10" s="140" customFormat="1" ht="28.5" customHeight="1" x14ac:dyDescent="0.25">
      <c r="A22" s="292" t="s">
        <v>18</v>
      </c>
      <c r="B22" s="292"/>
      <c r="C22" s="292"/>
      <c r="D22" s="292"/>
      <c r="E22" s="292"/>
      <c r="F22" s="292"/>
      <c r="G22" s="292"/>
      <c r="H22" s="292"/>
      <c r="I22" s="292"/>
      <c r="J22" s="292"/>
    </row>
  </sheetData>
  <mergeCells count="5">
    <mergeCell ref="A21:J21"/>
    <mergeCell ref="A22:J22"/>
    <mergeCell ref="A9:J9"/>
    <mergeCell ref="A12:J12"/>
    <mergeCell ref="A13:J1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P193"/>
  <sheetViews>
    <sheetView topLeftCell="A46" zoomScale="69" zoomScaleNormal="110" workbookViewId="0">
      <selection activeCell="A7" sqref="A7"/>
    </sheetView>
  </sheetViews>
  <sheetFormatPr baseColWidth="10" defaultColWidth="8.81640625" defaultRowHeight="12.5" x14ac:dyDescent="0.25"/>
  <cols>
    <col min="1" max="1" width="15.54296875" style="1" customWidth="1"/>
    <col min="2" max="2" width="46.1796875" style="1" customWidth="1"/>
    <col min="3" max="7" width="20.1796875" style="1" customWidth="1"/>
    <col min="8" max="8" width="65.453125" style="1" customWidth="1"/>
    <col min="9" max="9" width="13.54296875" style="1" customWidth="1"/>
    <col min="10" max="10" width="22" style="1" customWidth="1"/>
    <col min="11" max="11" width="14.1796875" style="1" bestFit="1" customWidth="1"/>
    <col min="12" max="12" width="24.453125" style="1" customWidth="1"/>
    <col min="13" max="13" width="43.453125" style="1" customWidth="1"/>
    <col min="14" max="14" width="8.81640625" style="1"/>
    <col min="15" max="15" width="8.81640625" style="1" customWidth="1"/>
    <col min="16" max="17" width="8.81640625" style="1"/>
    <col min="18" max="18" width="26.81640625" style="1" customWidth="1"/>
    <col min="19" max="19" width="8.81640625" style="1"/>
    <col min="20" max="20" width="23.1796875" style="1" customWidth="1"/>
    <col min="21" max="16384" width="8.81640625" style="1"/>
  </cols>
  <sheetData>
    <row r="1" spans="1:16" s="4" customFormat="1" ht="20.149999999999999" customHeight="1" x14ac:dyDescent="0.35">
      <c r="A1" s="5" t="s">
        <v>19</v>
      </c>
      <c r="B1" s="6"/>
      <c r="C1" s="6"/>
      <c r="D1" s="6"/>
      <c r="E1" s="6"/>
      <c r="F1" s="6"/>
      <c r="G1" s="6"/>
      <c r="H1" s="6"/>
      <c r="I1" s="6"/>
      <c r="J1" s="6"/>
      <c r="K1" s="6"/>
      <c r="L1" s="6"/>
      <c r="M1" s="6"/>
      <c r="N1" s="6"/>
      <c r="O1" s="6"/>
      <c r="P1" s="6"/>
    </row>
    <row r="2" spans="1:16" x14ac:dyDescent="0.25">
      <c r="A2" s="1" t="s">
        <v>20</v>
      </c>
    </row>
    <row r="4" spans="1:16" s="4" customFormat="1" ht="20.149999999999999" customHeight="1" x14ac:dyDescent="0.35">
      <c r="A4" s="5" t="s">
        <v>21</v>
      </c>
      <c r="B4" s="6"/>
      <c r="C4" s="6"/>
      <c r="D4" s="6"/>
      <c r="E4" s="6"/>
      <c r="F4" s="6"/>
      <c r="G4" s="6"/>
      <c r="H4" s="6"/>
      <c r="I4" s="6"/>
      <c r="J4" s="6"/>
      <c r="K4" s="6"/>
      <c r="L4" s="6"/>
      <c r="M4" s="6"/>
      <c r="N4" s="6"/>
      <c r="O4" s="6"/>
      <c r="P4" s="6"/>
    </row>
    <row r="6" spans="1:16" s="7" customFormat="1" ht="13" x14ac:dyDescent="0.35">
      <c r="A6" s="8" t="s">
        <v>22</v>
      </c>
      <c r="B6" s="8"/>
      <c r="C6" s="8"/>
      <c r="D6" s="8"/>
      <c r="E6" s="8"/>
      <c r="F6" s="8"/>
      <c r="G6" s="8"/>
      <c r="H6" s="8"/>
      <c r="I6" s="8"/>
      <c r="J6" s="8"/>
      <c r="K6" s="8"/>
      <c r="L6" s="8"/>
      <c r="M6" s="8"/>
      <c r="N6" s="8"/>
      <c r="O6" s="8"/>
      <c r="P6" s="8"/>
    </row>
    <row r="7" spans="1:16" x14ac:dyDescent="0.25">
      <c r="A7" s="9"/>
    </row>
    <row r="8" spans="1:16" ht="13" x14ac:dyDescent="0.3">
      <c r="C8" s="10"/>
      <c r="D8" s="10" t="s">
        <v>23</v>
      </c>
      <c r="E8" s="10"/>
      <c r="F8" s="10"/>
    </row>
    <row r="9" spans="1:16" ht="13" x14ac:dyDescent="0.3">
      <c r="A9" s="10"/>
      <c r="B9" s="11" t="s">
        <v>24</v>
      </c>
      <c r="C9" s="12">
        <v>51.1</v>
      </c>
      <c r="D9" s="13" t="s">
        <v>25</v>
      </c>
      <c r="I9" s="14"/>
    </row>
    <row r="10" spans="1:16" ht="13" x14ac:dyDescent="0.3">
      <c r="A10" s="10"/>
      <c r="B10" s="193" t="s">
        <v>26</v>
      </c>
      <c r="C10" s="15">
        <v>63.3</v>
      </c>
      <c r="D10" s="13" t="s">
        <v>25</v>
      </c>
      <c r="I10" s="14"/>
    </row>
    <row r="11" spans="1:16" ht="13" x14ac:dyDescent="0.3">
      <c r="A11" s="10"/>
      <c r="B11" s="190" t="s">
        <v>27</v>
      </c>
      <c r="C11" s="204">
        <v>103</v>
      </c>
      <c r="D11" s="13" t="s">
        <v>28</v>
      </c>
      <c r="I11" s="14"/>
    </row>
    <row r="12" spans="1:16" ht="13" x14ac:dyDescent="0.3">
      <c r="A12" s="10"/>
      <c r="B12" s="190" t="s">
        <v>29</v>
      </c>
      <c r="C12" s="205">
        <f>C11-C13</f>
        <v>37</v>
      </c>
      <c r="D12" s="13"/>
      <c r="I12" s="14"/>
    </row>
    <row r="13" spans="1:16" ht="13" x14ac:dyDescent="0.3">
      <c r="A13" s="10"/>
      <c r="B13" s="193" t="s">
        <v>30</v>
      </c>
      <c r="C13" s="16">
        <v>66</v>
      </c>
      <c r="D13" s="13" t="s">
        <v>28</v>
      </c>
      <c r="I13" s="14"/>
    </row>
    <row r="14" spans="1:16" ht="13" x14ac:dyDescent="0.3">
      <c r="H14" s="17"/>
    </row>
    <row r="16" spans="1:16" s="4" customFormat="1" ht="20.149999999999999" customHeight="1" x14ac:dyDescent="0.35">
      <c r="A16" s="5" t="s">
        <v>31</v>
      </c>
      <c r="B16" s="6"/>
      <c r="C16" s="6"/>
      <c r="D16" s="6"/>
      <c r="E16" s="6"/>
      <c r="F16" s="6"/>
      <c r="G16" s="6"/>
      <c r="H16" s="6"/>
      <c r="I16" s="6"/>
      <c r="J16" s="6"/>
      <c r="K16" s="6"/>
      <c r="L16" s="6"/>
      <c r="M16" s="6"/>
      <c r="N16" s="6"/>
      <c r="O16" s="6"/>
      <c r="P16" s="6"/>
    </row>
    <row r="18" spans="1:16" s="7" customFormat="1" ht="13" x14ac:dyDescent="0.35">
      <c r="A18" s="8" t="s">
        <v>32</v>
      </c>
      <c r="B18" s="8"/>
      <c r="C18" s="8"/>
      <c r="D18" s="8"/>
      <c r="E18" s="8"/>
      <c r="F18" s="8"/>
      <c r="G18" s="8"/>
      <c r="H18" s="8"/>
      <c r="I18" s="8"/>
      <c r="J18" s="8"/>
      <c r="K18" s="8"/>
      <c r="L18" s="8"/>
      <c r="M18" s="8"/>
      <c r="N18" s="8"/>
      <c r="O18" s="8"/>
      <c r="P18" s="8"/>
    </row>
    <row r="19" spans="1:16" ht="61" customHeight="1" x14ac:dyDescent="0.25">
      <c r="A19" s="197" t="s">
        <v>33</v>
      </c>
      <c r="B19" s="278" t="s">
        <v>34</v>
      </c>
      <c r="C19" s="278"/>
      <c r="D19" s="278"/>
      <c r="E19" s="278"/>
      <c r="F19" s="278"/>
    </row>
    <row r="20" spans="1:16" x14ac:dyDescent="0.25">
      <c r="B20" s="1" t="s">
        <v>203</v>
      </c>
    </row>
    <row r="22" spans="1:16" customFormat="1" ht="26.5" x14ac:dyDescent="0.35">
      <c r="B22" s="18" t="s">
        <v>35</v>
      </c>
      <c r="C22" s="195" t="s">
        <v>36</v>
      </c>
      <c r="D22" s="196" t="s">
        <v>37</v>
      </c>
    </row>
    <row r="23" spans="1:16" customFormat="1" ht="14.5" x14ac:dyDescent="0.35">
      <c r="B23" s="193" t="s">
        <v>38</v>
      </c>
      <c r="C23" s="206">
        <v>-0.4</v>
      </c>
      <c r="D23" s="21">
        <v>-0.2</v>
      </c>
      <c r="E23" s="22"/>
    </row>
    <row r="24" spans="1:16" customFormat="1" ht="14.5" x14ac:dyDescent="0.35">
      <c r="A24" s="23"/>
    </row>
    <row r="25" spans="1:16" ht="13" x14ac:dyDescent="0.3">
      <c r="A25" s="24"/>
      <c r="B25" s="25"/>
      <c r="C25" s="207" t="s">
        <v>39</v>
      </c>
      <c r="D25" s="26" t="s">
        <v>40</v>
      </c>
      <c r="E25" s="26" t="s">
        <v>41</v>
      </c>
      <c r="F25" s="208" t="s">
        <v>42</v>
      </c>
      <c r="G25" s="10" t="s">
        <v>33</v>
      </c>
    </row>
    <row r="26" spans="1:16" ht="25" customHeight="1" x14ac:dyDescent="0.25">
      <c r="A26" s="280" t="s">
        <v>43</v>
      </c>
      <c r="B26" s="27" t="s">
        <v>44</v>
      </c>
      <c r="C26" s="28">
        <v>450</v>
      </c>
      <c r="D26" s="28">
        <v>120</v>
      </c>
      <c r="E26" s="29">
        <f>mob_VP_initial+mob_VUL_initial</f>
        <v>570</v>
      </c>
      <c r="F26" s="30" t="s">
        <v>45</v>
      </c>
      <c r="G26" s="1" t="str">
        <f>B20</f>
        <v>Bilan Annuel des Transports, SDES</v>
      </c>
    </row>
    <row r="27" spans="1:16" ht="25" x14ac:dyDescent="0.25">
      <c r="A27" s="282"/>
      <c r="B27" s="31" t="s">
        <v>46</v>
      </c>
      <c r="C27" s="209">
        <v>33</v>
      </c>
      <c r="D27" s="209">
        <v>6</v>
      </c>
      <c r="E27" s="210">
        <f t="shared" ref="E27" si="0">C27+D27</f>
        <v>39</v>
      </c>
      <c r="F27" s="32" t="s">
        <v>45</v>
      </c>
      <c r="G27" s="4"/>
    </row>
    <row r="28" spans="1:16" ht="25" x14ac:dyDescent="0.25">
      <c r="A28" s="211" t="s">
        <v>47</v>
      </c>
      <c r="B28" s="212" t="s">
        <v>48</v>
      </c>
      <c r="C28" s="33">
        <f>mob_VP_initial*(1+C23)</f>
        <v>270</v>
      </c>
      <c r="D28" s="33">
        <f>mob_VUL_initial*(1+D23)</f>
        <v>96</v>
      </c>
      <c r="E28" s="34">
        <f>mob_VP_final+mob_VUL_final</f>
        <v>366</v>
      </c>
      <c r="F28" s="213">
        <f>(mob_tot_final-mob_tot_initial)/(mob_tot_initial)</f>
        <v>-0.35789473684210527</v>
      </c>
    </row>
    <row r="30" spans="1:16" s="7" customFormat="1" ht="13" x14ac:dyDescent="0.35">
      <c r="A30" s="8" t="s">
        <v>49</v>
      </c>
      <c r="B30" s="8"/>
      <c r="C30" s="8"/>
      <c r="D30" s="8"/>
      <c r="E30" s="8"/>
      <c r="F30" s="8"/>
      <c r="G30" s="8"/>
      <c r="H30" s="8"/>
      <c r="I30" s="8"/>
      <c r="J30" s="8"/>
      <c r="K30" s="8"/>
      <c r="L30" s="8"/>
      <c r="M30" s="8"/>
      <c r="N30" s="8"/>
      <c r="O30" s="8"/>
      <c r="P30" s="8"/>
    </row>
    <row r="31" spans="1:16" ht="51.65" customHeight="1" x14ac:dyDescent="0.25">
      <c r="A31" s="278" t="s">
        <v>50</v>
      </c>
      <c r="B31" s="278"/>
      <c r="C31" s="278"/>
      <c r="D31" s="278"/>
      <c r="E31" s="278"/>
      <c r="F31" s="278"/>
    </row>
    <row r="32" spans="1:16" ht="13.5" customHeight="1" x14ac:dyDescent="0.25">
      <c r="A32" s="278" t="s">
        <v>51</v>
      </c>
      <c r="B32" s="278"/>
      <c r="C32" s="278"/>
      <c r="D32" s="278"/>
      <c r="E32" s="278"/>
      <c r="F32" s="278"/>
    </row>
    <row r="33" spans="1:11" ht="56.5" customHeight="1" x14ac:dyDescent="0.25">
      <c r="B33" s="286" t="s">
        <v>52</v>
      </c>
      <c r="C33" s="286"/>
      <c r="D33" s="286"/>
      <c r="E33" s="286"/>
      <c r="F33" s="286"/>
    </row>
    <row r="34" spans="1:11" x14ac:dyDescent="0.25">
      <c r="B34" s="285" t="s">
        <v>53</v>
      </c>
      <c r="C34" s="286"/>
      <c r="D34" s="286"/>
      <c r="E34" s="286"/>
      <c r="F34" s="286"/>
    </row>
    <row r="35" spans="1:11" x14ac:dyDescent="0.25">
      <c r="B35" s="290" t="s">
        <v>54</v>
      </c>
      <c r="C35" s="291"/>
      <c r="D35" s="291"/>
      <c r="E35" s="291"/>
      <c r="F35" s="291"/>
    </row>
    <row r="37" spans="1:11" ht="13" x14ac:dyDescent="0.3">
      <c r="B37" s="18" t="s">
        <v>55</v>
      </c>
      <c r="C37" s="19" t="s">
        <v>39</v>
      </c>
      <c r="D37" s="20" t="s">
        <v>40</v>
      </c>
    </row>
    <row r="38" spans="1:11" x14ac:dyDescent="0.25">
      <c r="B38" s="193" t="s">
        <v>56</v>
      </c>
      <c r="C38" s="214">
        <f>mob_VP_évolution</f>
        <v>-0.4</v>
      </c>
      <c r="D38" s="35">
        <f>mob_VUL_évolution</f>
        <v>-0.2</v>
      </c>
    </row>
    <row r="39" spans="1:11" x14ac:dyDescent="0.25">
      <c r="C39" s="36"/>
      <c r="D39" s="37"/>
    </row>
    <row r="41" spans="1:11" ht="13" x14ac:dyDescent="0.25">
      <c r="A41" s="38"/>
      <c r="B41" s="39"/>
      <c r="C41" s="40" t="s">
        <v>39</v>
      </c>
      <c r="D41" s="40" t="s">
        <v>40</v>
      </c>
      <c r="E41" s="40" t="s">
        <v>41</v>
      </c>
      <c r="F41" s="41" t="s">
        <v>42</v>
      </c>
      <c r="G41" s="4"/>
      <c r="H41" s="4"/>
      <c r="I41" s="4"/>
      <c r="J41" s="4"/>
      <c r="K41" s="4"/>
    </row>
    <row r="42" spans="1:11" ht="13" x14ac:dyDescent="0.25">
      <c r="A42" s="280" t="s">
        <v>43</v>
      </c>
      <c r="B42" s="27" t="s">
        <v>57</v>
      </c>
      <c r="C42" s="42">
        <v>2.2149999999999999</v>
      </c>
      <c r="D42" s="42">
        <v>0.47799999999999998</v>
      </c>
      <c r="E42" s="43">
        <f>marché_VP_initial+marché_VUL_initial</f>
        <v>2.6929999999999996</v>
      </c>
      <c r="F42" s="44" t="s">
        <v>45</v>
      </c>
      <c r="G42" s="45"/>
      <c r="H42" s="4"/>
      <c r="I42" s="4"/>
      <c r="J42" s="4"/>
      <c r="K42" s="4"/>
    </row>
    <row r="43" spans="1:11" ht="25" x14ac:dyDescent="0.25">
      <c r="A43" s="281"/>
      <c r="B43" s="215" t="s">
        <v>58</v>
      </c>
      <c r="C43" s="4"/>
      <c r="D43" s="46"/>
      <c r="E43" s="47">
        <f>CA_tot_constr_2018</f>
        <v>103</v>
      </c>
      <c r="F43" s="216" t="s">
        <v>45</v>
      </c>
      <c r="G43" s="4"/>
      <c r="H43" s="4"/>
      <c r="I43" s="4"/>
      <c r="J43" s="4"/>
      <c r="K43" s="4"/>
    </row>
    <row r="44" spans="1:11" ht="13" x14ac:dyDescent="0.25">
      <c r="A44" s="282"/>
      <c r="B44" s="48" t="s">
        <v>59</v>
      </c>
      <c r="C44" s="217">
        <v>0</v>
      </c>
      <c r="D44" s="217">
        <v>0</v>
      </c>
      <c r="E44" s="218">
        <f>SUM(C44,D44)</f>
        <v>0</v>
      </c>
      <c r="F44" s="49" t="s">
        <v>45</v>
      </c>
      <c r="G44" s="4"/>
      <c r="H44" s="4"/>
      <c r="I44" s="4"/>
      <c r="J44" s="4"/>
      <c r="K44" s="4"/>
    </row>
    <row r="45" spans="1:11" ht="13" x14ac:dyDescent="0.25">
      <c r="A45" s="280" t="s">
        <v>47</v>
      </c>
      <c r="B45" s="27" t="s">
        <v>57</v>
      </c>
      <c r="C45" s="52">
        <f>(1+marché_VP_évolution)*marché_VP_initial</f>
        <v>1.329</v>
      </c>
      <c r="D45" s="52">
        <f>(1+marché_VUL_évolution)*marché_VUL_initial</f>
        <v>0.38240000000000002</v>
      </c>
      <c r="E45" s="53">
        <f>marché_VP_final+marché_VUL_final</f>
        <v>1.7114</v>
      </c>
      <c r="F45" s="54">
        <f>(marché_tot_final-(marché_tot_initial))/(marché_tot_initial)</f>
        <v>-0.36450055699962858</v>
      </c>
      <c r="G45" s="4"/>
      <c r="H45" s="4"/>
      <c r="I45" s="4"/>
      <c r="J45" s="4"/>
      <c r="K45" s="4"/>
    </row>
    <row r="46" spans="1:11" ht="25" x14ac:dyDescent="0.25">
      <c r="A46" s="281"/>
      <c r="B46" s="215" t="s">
        <v>58</v>
      </c>
      <c r="C46" s="50"/>
      <c r="D46" s="4"/>
      <c r="E46" s="55">
        <f>(CA_tot_constr_2018)*(1+marché_tot_évolution)</f>
        <v>65.45644262903825</v>
      </c>
      <c r="F46" s="219">
        <f>(E46-E$43)/E$43</f>
        <v>-0.36450055699962863</v>
      </c>
      <c r="G46" s="277"/>
      <c r="H46" s="278"/>
      <c r="I46" s="278"/>
      <c r="J46" s="278"/>
      <c r="K46" s="278"/>
    </row>
    <row r="47" spans="1:11" ht="13" x14ac:dyDescent="0.25">
      <c r="A47" s="282"/>
      <c r="B47" s="48" t="s">
        <v>59</v>
      </c>
      <c r="C47" s="220">
        <v>1</v>
      </c>
      <c r="D47" s="221">
        <v>0.9</v>
      </c>
      <c r="E47" s="222">
        <f>(élec_VP_final*marché_VP_final+élec_VUL_final*marché_VUL_final)/(marché_VP_final+marché_VUL_final)</f>
        <v>0.97765572046277893</v>
      </c>
      <c r="F47" s="51" t="s">
        <v>60</v>
      </c>
      <c r="G47" s="136" t="s">
        <v>61</v>
      </c>
      <c r="H47" s="4"/>
      <c r="I47" s="4"/>
      <c r="J47" s="56"/>
      <c r="K47" s="4"/>
    </row>
    <row r="48" spans="1:11" ht="13" x14ac:dyDescent="0.3">
      <c r="B48" s="57"/>
      <c r="C48" s="58"/>
      <c r="D48" s="59"/>
      <c r="E48" s="58"/>
      <c r="F48" s="59"/>
      <c r="G48" s="60"/>
      <c r="H48" s="59"/>
    </row>
    <row r="49" spans="1:16" s="7" customFormat="1" ht="20.149999999999999" customHeight="1" x14ac:dyDescent="0.35">
      <c r="A49" s="5" t="s">
        <v>62</v>
      </c>
      <c r="B49" s="61"/>
      <c r="C49" s="61"/>
      <c r="D49" s="61"/>
      <c r="E49" s="61"/>
      <c r="F49" s="61"/>
      <c r="G49" s="61"/>
      <c r="H49" s="61"/>
      <c r="I49" s="61"/>
      <c r="J49" s="61"/>
      <c r="K49" s="61"/>
      <c r="L49" s="61"/>
      <c r="M49" s="61"/>
      <c r="N49" s="61"/>
      <c r="O49" s="61"/>
      <c r="P49" s="61"/>
    </row>
    <row r="50" spans="1:16" s="7" customFormat="1" ht="68.5" customHeight="1" x14ac:dyDescent="0.35">
      <c r="A50" s="278" t="s">
        <v>63</v>
      </c>
      <c r="B50" s="278"/>
      <c r="C50" s="278"/>
      <c r="D50" s="278"/>
      <c r="E50" s="278"/>
      <c r="F50" s="278"/>
    </row>
    <row r="51" spans="1:16" s="7" customFormat="1" ht="13" x14ac:dyDescent="0.35">
      <c r="A51" s="4" t="s">
        <v>64</v>
      </c>
      <c r="B51" s="198" t="s">
        <v>65</v>
      </c>
      <c r="C51" s="4"/>
    </row>
    <row r="52" spans="1:16" s="7" customFormat="1" x14ac:dyDescent="0.35">
      <c r="A52" s="4"/>
      <c r="B52" s="198" t="s">
        <v>66</v>
      </c>
      <c r="C52" s="4"/>
    </row>
    <row r="53" spans="1:16" s="7" customFormat="1" x14ac:dyDescent="0.35">
      <c r="A53" s="4"/>
      <c r="B53" s="198" t="s">
        <v>67</v>
      </c>
      <c r="C53" s="4"/>
    </row>
    <row r="54" spans="1:16" s="7" customFormat="1" x14ac:dyDescent="0.35">
      <c r="A54" s="4"/>
      <c r="B54" s="198" t="s">
        <v>68</v>
      </c>
      <c r="C54" s="4"/>
    </row>
    <row r="55" spans="1:16" s="7" customFormat="1" ht="29.5" customHeight="1" x14ac:dyDescent="0.35">
      <c r="A55" s="279" t="s">
        <v>204</v>
      </c>
      <c r="B55" s="279"/>
      <c r="C55" s="279"/>
      <c r="D55" s="279"/>
      <c r="E55" s="279"/>
      <c r="F55" s="279"/>
    </row>
    <row r="56" spans="1:16" s="7" customFormat="1" x14ac:dyDescent="0.25">
      <c r="A56" s="9"/>
      <c r="C56" s="4"/>
    </row>
    <row r="57" spans="1:16" s="7" customFormat="1" ht="13" x14ac:dyDescent="0.35">
      <c r="A57" s="4"/>
      <c r="B57" s="223" t="s">
        <v>69</v>
      </c>
      <c r="C57" s="224" t="s">
        <v>70</v>
      </c>
      <c r="D57" s="62" t="s">
        <v>71</v>
      </c>
    </row>
    <row r="58" spans="1:16" s="7" customFormat="1" ht="44.15" customHeight="1" x14ac:dyDescent="0.35">
      <c r="A58" s="4"/>
      <c r="B58" s="63" t="s">
        <v>72</v>
      </c>
      <c r="C58" s="64">
        <v>218000</v>
      </c>
      <c r="D58" s="7" t="s">
        <v>73</v>
      </c>
      <c r="G58" s="65"/>
    </row>
    <row r="59" spans="1:16" s="7" customFormat="1" x14ac:dyDescent="0.35">
      <c r="A59" s="4"/>
      <c r="B59" s="225" t="s">
        <v>74</v>
      </c>
      <c r="C59" s="226">
        <v>24200</v>
      </c>
      <c r="D59" s="7" t="s">
        <v>75</v>
      </c>
      <c r="G59" s="65"/>
    </row>
    <row r="60" spans="1:16" s="7" customFormat="1" ht="25.5" x14ac:dyDescent="0.35">
      <c r="A60" s="4"/>
      <c r="B60" s="227" t="s">
        <v>76</v>
      </c>
      <c r="C60" s="228">
        <f>SUM(C58:C59)</f>
        <v>242200</v>
      </c>
      <c r="D60" s="66"/>
      <c r="G60" s="65"/>
    </row>
    <row r="61" spans="1:16" s="7" customFormat="1" ht="25.5" x14ac:dyDescent="0.35">
      <c r="A61" s="4"/>
      <c r="B61" s="229" t="s">
        <v>77</v>
      </c>
      <c r="C61" s="230">
        <f>246000-C59</f>
        <v>221800</v>
      </c>
      <c r="D61" s="7" t="s">
        <v>78</v>
      </c>
      <c r="G61" s="65"/>
    </row>
    <row r="62" spans="1:16" s="7" customFormat="1" x14ac:dyDescent="0.35">
      <c r="A62" s="4"/>
      <c r="B62" s="63" t="s">
        <v>79</v>
      </c>
      <c r="C62" s="64">
        <v>167000</v>
      </c>
      <c r="D62" s="7" t="s">
        <v>80</v>
      </c>
      <c r="G62" s="65"/>
    </row>
    <row r="63" spans="1:16" s="7" customFormat="1" x14ac:dyDescent="0.35">
      <c r="A63" s="4"/>
      <c r="B63" s="231" t="s">
        <v>81</v>
      </c>
      <c r="C63" s="226">
        <v>98000</v>
      </c>
      <c r="D63" s="7" t="s">
        <v>82</v>
      </c>
      <c r="G63" s="65"/>
    </row>
    <row r="64" spans="1:16" s="7" customFormat="1" x14ac:dyDescent="0.35">
      <c r="A64" s="4"/>
      <c r="B64" s="231" t="s">
        <v>83</v>
      </c>
      <c r="C64" s="226">
        <v>47000</v>
      </c>
      <c r="D64" s="7" t="s">
        <v>205</v>
      </c>
      <c r="G64" s="65"/>
    </row>
    <row r="65" spans="1:16" s="7" customFormat="1" ht="25" x14ac:dyDescent="0.35">
      <c r="A65" s="4"/>
      <c r="B65" s="231" t="s">
        <v>84</v>
      </c>
      <c r="C65" s="226">
        <v>68000</v>
      </c>
      <c r="D65" s="7" t="s">
        <v>85</v>
      </c>
      <c r="G65" s="65"/>
    </row>
    <row r="66" spans="1:16" s="7" customFormat="1" ht="25" x14ac:dyDescent="0.35">
      <c r="A66" s="4"/>
      <c r="B66" s="231" t="s">
        <v>86</v>
      </c>
      <c r="C66" s="226">
        <v>21000</v>
      </c>
      <c r="D66" s="7" t="s">
        <v>87</v>
      </c>
      <c r="G66" s="65"/>
    </row>
    <row r="67" spans="1:16" s="7" customFormat="1" x14ac:dyDescent="0.35">
      <c r="A67" s="4"/>
      <c r="B67" s="231" t="s">
        <v>88</v>
      </c>
      <c r="C67" s="226">
        <v>10000</v>
      </c>
      <c r="D67" s="7" t="s">
        <v>89</v>
      </c>
      <c r="G67" s="65"/>
    </row>
    <row r="68" spans="1:16" s="7" customFormat="1" ht="50.5" x14ac:dyDescent="0.35">
      <c r="A68" s="4"/>
      <c r="B68" s="227" t="s">
        <v>90</v>
      </c>
      <c r="C68" s="228">
        <f>SUM(C62:C67)</f>
        <v>411000</v>
      </c>
      <c r="D68" s="67"/>
      <c r="G68" s="65"/>
    </row>
    <row r="69" spans="1:16" s="7" customFormat="1" ht="13" x14ac:dyDescent="0.35">
      <c r="A69" s="4"/>
      <c r="B69" s="227" t="s">
        <v>91</v>
      </c>
      <c r="C69" s="228">
        <f>SUM(C60,C61,C68)</f>
        <v>875000</v>
      </c>
      <c r="D69" s="67"/>
    </row>
    <row r="70" spans="1:16" s="7" customFormat="1" ht="13" x14ac:dyDescent="0.35">
      <c r="A70" s="4"/>
      <c r="B70" s="68"/>
      <c r="C70" s="69"/>
      <c r="D70" s="67"/>
    </row>
    <row r="71" spans="1:16" s="7" customFormat="1" ht="20.149999999999999" customHeight="1" x14ac:dyDescent="0.35">
      <c r="A71" s="5" t="s">
        <v>92</v>
      </c>
      <c r="B71" s="61"/>
      <c r="C71" s="61"/>
      <c r="D71" s="61"/>
      <c r="E71" s="61"/>
      <c r="F71" s="61"/>
      <c r="G71" s="61"/>
      <c r="H71" s="61"/>
      <c r="I71" s="61"/>
      <c r="J71" s="61"/>
      <c r="K71" s="61"/>
      <c r="L71" s="61"/>
      <c r="M71" s="61"/>
      <c r="N71" s="61"/>
      <c r="O71" s="61"/>
      <c r="P71" s="61"/>
    </row>
    <row r="72" spans="1:16" s="7" customFormat="1" ht="13" x14ac:dyDescent="0.3">
      <c r="A72" s="4"/>
      <c r="B72" s="70"/>
      <c r="C72" s="71"/>
      <c r="D72" s="70"/>
    </row>
    <row r="73" spans="1:16" s="7" customFormat="1" ht="13" x14ac:dyDescent="0.35">
      <c r="A73" s="8" t="s">
        <v>93</v>
      </c>
      <c r="B73" s="8"/>
      <c r="C73" s="8"/>
      <c r="D73" s="8"/>
      <c r="E73" s="8"/>
      <c r="F73" s="8"/>
      <c r="G73" s="8"/>
      <c r="H73" s="8"/>
      <c r="I73" s="8"/>
      <c r="J73" s="8"/>
      <c r="K73" s="8"/>
      <c r="L73" s="8"/>
      <c r="M73" s="8"/>
      <c r="N73" s="8"/>
      <c r="O73" s="8"/>
      <c r="P73" s="8"/>
    </row>
    <row r="74" spans="1:16" ht="84" customHeight="1" x14ac:dyDescent="0.25">
      <c r="A74" s="278" t="s">
        <v>94</v>
      </c>
      <c r="B74" s="278"/>
      <c r="C74" s="278"/>
      <c r="D74" s="278"/>
      <c r="E74" s="278"/>
      <c r="F74" s="278"/>
      <c r="G74" s="72"/>
      <c r="N74" s="9"/>
    </row>
    <row r="75" spans="1:16" ht="13" x14ac:dyDescent="0.3">
      <c r="B75" s="57"/>
      <c r="C75" s="36"/>
      <c r="D75" s="36"/>
      <c r="E75" s="57"/>
      <c r="F75" s="57"/>
      <c r="G75" s="73"/>
    </row>
    <row r="76" spans="1:16" ht="37.5" x14ac:dyDescent="0.3">
      <c r="B76" s="74" t="s">
        <v>95</v>
      </c>
      <c r="C76" s="75">
        <v>0</v>
      </c>
      <c r="D76" s="76"/>
      <c r="E76" s="57"/>
      <c r="F76" s="57"/>
      <c r="G76" s="73"/>
      <c r="N76" s="9"/>
    </row>
    <row r="77" spans="1:16" ht="13" x14ac:dyDescent="0.3">
      <c r="B77" s="193" t="s">
        <v>96</v>
      </c>
      <c r="C77" s="78">
        <v>30</v>
      </c>
      <c r="D77" s="79"/>
      <c r="E77" s="57"/>
      <c r="F77" s="57"/>
      <c r="G77" s="73"/>
      <c r="N77" s="77"/>
    </row>
    <row r="78" spans="1:16" ht="13" x14ac:dyDescent="0.3">
      <c r="C78" s="80"/>
      <c r="D78" s="36"/>
      <c r="E78" s="57"/>
      <c r="F78" s="57"/>
      <c r="G78" s="73"/>
      <c r="J78" s="77"/>
    </row>
    <row r="79" spans="1:16" s="7" customFormat="1" ht="13" x14ac:dyDescent="0.35">
      <c r="A79" s="8" t="s">
        <v>97</v>
      </c>
      <c r="B79" s="8"/>
      <c r="C79" s="8"/>
      <c r="D79" s="8"/>
      <c r="E79" s="8"/>
      <c r="F79" s="8"/>
      <c r="G79" s="8"/>
      <c r="H79" s="8"/>
      <c r="I79" s="8"/>
      <c r="J79" s="8"/>
      <c r="K79" s="8"/>
      <c r="L79" s="8"/>
      <c r="M79" s="8"/>
      <c r="N79" s="8"/>
      <c r="O79" s="8"/>
      <c r="P79" s="8"/>
    </row>
    <row r="80" spans="1:16" s="7" customFormat="1" ht="65.5" customHeight="1" x14ac:dyDescent="0.35">
      <c r="A80" s="278" t="s">
        <v>98</v>
      </c>
      <c r="B80" s="278"/>
      <c r="C80" s="278"/>
      <c r="D80" s="278"/>
      <c r="E80" s="278"/>
      <c r="F80" s="278"/>
    </row>
    <row r="81" spans="1:16" s="7" customFormat="1" ht="13" x14ac:dyDescent="0.3">
      <c r="A81" s="4"/>
      <c r="B81" s="70"/>
      <c r="C81" s="71"/>
    </row>
    <row r="82" spans="1:16" s="7" customFormat="1" ht="39" x14ac:dyDescent="0.35">
      <c r="A82" s="4"/>
      <c r="B82" s="223" t="s">
        <v>69</v>
      </c>
      <c r="C82" s="81" t="s">
        <v>70</v>
      </c>
      <c r="D82" s="82" t="s">
        <v>99</v>
      </c>
      <c r="E82" s="82" t="s">
        <v>100</v>
      </c>
      <c r="F82" s="232" t="s">
        <v>101</v>
      </c>
    </row>
    <row r="83" spans="1:16" s="7" customFormat="1" ht="37.5" x14ac:dyDescent="0.35">
      <c r="A83" s="4"/>
      <c r="B83" s="63" t="s">
        <v>72</v>
      </c>
      <c r="C83" s="83">
        <f t="shared" ref="C83:C94" si="1">C58</f>
        <v>218000</v>
      </c>
      <c r="D83" s="84">
        <f t="shared" ref="D83:D84" si="2">$C83*(1+prod_constr_évolution)*(1+croissance_prod)^(-nb_annees)</f>
        <v>138538.87857408094</v>
      </c>
      <c r="E83" s="84">
        <f t="shared" ref="E83:E94" si="3">$D83-$C83</f>
        <v>-79461.12142591906</v>
      </c>
      <c r="F83" s="85">
        <f t="shared" ref="F83:F94" si="4">($D83-$C83)/$C83</f>
        <v>-0.36450055699962869</v>
      </c>
    </row>
    <row r="84" spans="1:16" s="7" customFormat="1" x14ac:dyDescent="0.35">
      <c r="A84" s="4"/>
      <c r="B84" s="225" t="s">
        <v>74</v>
      </c>
      <c r="C84" s="233">
        <f t="shared" si="1"/>
        <v>24200</v>
      </c>
      <c r="D84" s="86">
        <f t="shared" si="2"/>
        <v>15379.086520608986</v>
      </c>
      <c r="E84" s="86">
        <f t="shared" si="3"/>
        <v>-8820.9134793910143</v>
      </c>
      <c r="F84" s="234">
        <f t="shared" si="4"/>
        <v>-0.36450055699962869</v>
      </c>
    </row>
    <row r="85" spans="1:16" s="7" customFormat="1" ht="25.5" x14ac:dyDescent="0.35">
      <c r="A85" s="4"/>
      <c r="B85" s="227" t="s">
        <v>76</v>
      </c>
      <c r="C85" s="228">
        <f t="shared" si="1"/>
        <v>242200</v>
      </c>
      <c r="D85" s="235">
        <f>SUM(D83:D84)</f>
        <v>153917.96509468992</v>
      </c>
      <c r="E85" s="235">
        <f t="shared" si="3"/>
        <v>-88282.03490531008</v>
      </c>
      <c r="F85" s="87">
        <f t="shared" si="4"/>
        <v>-0.36450055699962874</v>
      </c>
    </row>
    <row r="86" spans="1:16" s="7" customFormat="1" ht="25.5" x14ac:dyDescent="0.35">
      <c r="A86" s="4"/>
      <c r="B86" s="229" t="s">
        <v>77</v>
      </c>
      <c r="C86" s="236">
        <f t="shared" si="1"/>
        <v>221800</v>
      </c>
      <c r="D86" s="88">
        <f>$C86*(1+prod_constr_évolution)</f>
        <v>140953.77645748237</v>
      </c>
      <c r="E86" s="88">
        <f t="shared" si="3"/>
        <v>-80846.223542517633</v>
      </c>
      <c r="F86" s="237">
        <f t="shared" si="4"/>
        <v>-0.36450055699962863</v>
      </c>
    </row>
    <row r="87" spans="1:16" s="7" customFormat="1" x14ac:dyDescent="0.35">
      <c r="A87" s="4"/>
      <c r="B87" s="63" t="s">
        <v>79</v>
      </c>
      <c r="C87" s="83">
        <f t="shared" si="1"/>
        <v>167000</v>
      </c>
      <c r="D87" s="84">
        <f>$C87*(1+marché_tot_évolution)</f>
        <v>106128.40698106203</v>
      </c>
      <c r="E87" s="84">
        <f t="shared" si="3"/>
        <v>-60871.593018937972</v>
      </c>
      <c r="F87" s="85">
        <f t="shared" si="4"/>
        <v>-0.36450055699962858</v>
      </c>
    </row>
    <row r="88" spans="1:16" s="7" customFormat="1" x14ac:dyDescent="0.35">
      <c r="A88" s="4"/>
      <c r="B88" s="231" t="s">
        <v>81</v>
      </c>
      <c r="C88" s="233">
        <f t="shared" si="1"/>
        <v>98000</v>
      </c>
      <c r="D88" s="86">
        <f>$C88*(1+mob_tot_évolution)</f>
        <v>62926.315789473687</v>
      </c>
      <c r="E88" s="86">
        <f t="shared" si="3"/>
        <v>-35073.684210526313</v>
      </c>
      <c r="F88" s="234">
        <f t="shared" si="4"/>
        <v>-0.35789473684210521</v>
      </c>
    </row>
    <row r="89" spans="1:16" s="7" customFormat="1" x14ac:dyDescent="0.35">
      <c r="A89" s="4"/>
      <c r="B89" s="231" t="s">
        <v>83</v>
      </c>
      <c r="C89" s="233">
        <f t="shared" si="1"/>
        <v>47000</v>
      </c>
      <c r="D89" s="86">
        <f t="shared" ref="D89:D90" si="5">$C89*(1+marché_tot_évolution)</f>
        <v>29868.473821017458</v>
      </c>
      <c r="E89" s="86">
        <f t="shared" si="3"/>
        <v>-17131.526178982542</v>
      </c>
      <c r="F89" s="234">
        <f t="shared" si="4"/>
        <v>-0.36450055699962852</v>
      </c>
    </row>
    <row r="90" spans="1:16" s="7" customFormat="1" ht="25" x14ac:dyDescent="0.35">
      <c r="A90" s="4"/>
      <c r="B90" s="231" t="s">
        <v>84</v>
      </c>
      <c r="C90" s="233">
        <f t="shared" si="1"/>
        <v>68000</v>
      </c>
      <c r="D90" s="86">
        <f t="shared" si="5"/>
        <v>43213.96212402526</v>
      </c>
      <c r="E90" s="86">
        <f t="shared" si="3"/>
        <v>-24786.03787597474</v>
      </c>
      <c r="F90" s="234">
        <f t="shared" si="4"/>
        <v>-0.36450055699962852</v>
      </c>
    </row>
    <row r="91" spans="1:16" s="7" customFormat="1" ht="25" x14ac:dyDescent="0.35">
      <c r="A91" s="4"/>
      <c r="B91" s="231" t="s">
        <v>86</v>
      </c>
      <c r="C91" s="233">
        <f t="shared" si="1"/>
        <v>21000</v>
      </c>
      <c r="D91" s="86">
        <f t="shared" ref="D91:D92" si="6">$C91*(1+mob_tot_évolution)</f>
        <v>13484.21052631579</v>
      </c>
      <c r="E91" s="86">
        <f t="shared" si="3"/>
        <v>-7515.78947368421</v>
      </c>
      <c r="F91" s="234">
        <f t="shared" si="4"/>
        <v>-0.35789473684210521</v>
      </c>
    </row>
    <row r="92" spans="1:16" s="7" customFormat="1" x14ac:dyDescent="0.35">
      <c r="A92" s="4"/>
      <c r="B92" s="231" t="s">
        <v>88</v>
      </c>
      <c r="C92" s="233">
        <f t="shared" si="1"/>
        <v>10000</v>
      </c>
      <c r="D92" s="86">
        <f t="shared" si="6"/>
        <v>6421.0526315789475</v>
      </c>
      <c r="E92" s="86">
        <f t="shared" si="3"/>
        <v>-3578.9473684210525</v>
      </c>
      <c r="F92" s="234">
        <f t="shared" si="4"/>
        <v>-0.35789473684210527</v>
      </c>
    </row>
    <row r="93" spans="1:16" s="7" customFormat="1" ht="50.5" x14ac:dyDescent="0.35">
      <c r="A93" s="4"/>
      <c r="B93" s="227" t="s">
        <v>90</v>
      </c>
      <c r="C93" s="228">
        <f t="shared" si="1"/>
        <v>411000</v>
      </c>
      <c r="D93" s="235">
        <f>SUM(D87:D92)</f>
        <v>262042.42187347318</v>
      </c>
      <c r="E93" s="235">
        <f t="shared" si="3"/>
        <v>-148957.57812652682</v>
      </c>
      <c r="F93" s="87">
        <f t="shared" si="4"/>
        <v>-0.36242719738814311</v>
      </c>
    </row>
    <row r="94" spans="1:16" s="7" customFormat="1" ht="13" x14ac:dyDescent="0.35">
      <c r="A94" s="4"/>
      <c r="B94" s="227" t="s">
        <v>91</v>
      </c>
      <c r="C94" s="228">
        <f t="shared" si="1"/>
        <v>875000</v>
      </c>
      <c r="D94" s="235">
        <f>SUM(D85,D86,D93)</f>
        <v>556914.16342564544</v>
      </c>
      <c r="E94" s="235">
        <f t="shared" si="3"/>
        <v>-318085.83657435456</v>
      </c>
      <c r="F94" s="87">
        <f t="shared" si="4"/>
        <v>-0.36352667037069092</v>
      </c>
    </row>
    <row r="95" spans="1:16" s="7" customFormat="1" ht="13" x14ac:dyDescent="0.3">
      <c r="A95" s="4"/>
      <c r="B95" s="70"/>
      <c r="C95" s="71"/>
      <c r="D95" s="70"/>
    </row>
    <row r="96" spans="1:16" s="7" customFormat="1" ht="13" x14ac:dyDescent="0.35">
      <c r="A96" s="8" t="s">
        <v>102</v>
      </c>
      <c r="B96" s="8"/>
      <c r="C96" s="8"/>
      <c r="D96" s="8"/>
      <c r="E96" s="8"/>
      <c r="F96" s="8"/>
      <c r="G96" s="8"/>
      <c r="H96" s="8"/>
      <c r="I96" s="8"/>
      <c r="J96" s="8"/>
      <c r="K96" s="8"/>
      <c r="L96" s="8"/>
      <c r="M96" s="8"/>
      <c r="N96" s="8"/>
      <c r="O96" s="8"/>
      <c r="P96" s="8"/>
    </row>
    <row r="97" spans="1:6" s="7" customFormat="1" ht="67.5" customHeight="1" x14ac:dyDescent="0.35">
      <c r="A97" s="287" t="s">
        <v>103</v>
      </c>
      <c r="B97" s="279"/>
      <c r="C97" s="279"/>
      <c r="D97" s="279"/>
      <c r="E97" s="279"/>
      <c r="F97" s="279"/>
    </row>
    <row r="98" spans="1:6" s="7" customFormat="1" x14ac:dyDescent="0.25">
      <c r="A98" s="1"/>
      <c r="B98" s="9"/>
      <c r="C98" s="9"/>
      <c r="D98" s="9"/>
      <c r="E98" s="9"/>
      <c r="F98" s="9"/>
    </row>
    <row r="99" spans="1:6" s="7" customFormat="1" ht="39" x14ac:dyDescent="0.3">
      <c r="A99" s="1"/>
      <c r="B99" s="238" t="s">
        <v>104</v>
      </c>
      <c r="C99" s="89" t="s">
        <v>105</v>
      </c>
      <c r="D99" s="239" t="s">
        <v>42</v>
      </c>
      <c r="E99" s="68" t="s">
        <v>106</v>
      </c>
    </row>
    <row r="100" spans="1:6" s="7" customFormat="1" x14ac:dyDescent="0.25">
      <c r="A100" s="1"/>
      <c r="B100" s="240" t="s">
        <v>107</v>
      </c>
      <c r="C100" s="90">
        <f>126/(126+66+19)</f>
        <v>0.59715639810426535</v>
      </c>
      <c r="D100" s="91">
        <v>-0.17</v>
      </c>
      <c r="E100" s="92" t="s">
        <v>108</v>
      </c>
    </row>
    <row r="101" spans="1:6" s="7" customFormat="1" x14ac:dyDescent="0.25">
      <c r="A101" s="1"/>
      <c r="B101" s="240" t="s">
        <v>109</v>
      </c>
      <c r="C101" s="241">
        <f>66/(126+66+19)</f>
        <v>0.3127962085308057</v>
      </c>
      <c r="D101" s="242">
        <v>-0.38</v>
      </c>
      <c r="E101" s="92" t="s">
        <v>108</v>
      </c>
    </row>
    <row r="102" spans="1:6" s="7" customFormat="1" x14ac:dyDescent="0.25">
      <c r="A102" s="1"/>
      <c r="B102" s="240" t="s">
        <v>110</v>
      </c>
      <c r="C102" s="241">
        <f>19/(126+66+19)</f>
        <v>9.004739336492891E-2</v>
      </c>
      <c r="D102" s="243">
        <v>0</v>
      </c>
      <c r="E102" s="92"/>
    </row>
    <row r="103" spans="1:6" s="7" customFormat="1" ht="13" x14ac:dyDescent="0.3">
      <c r="A103" s="1"/>
      <c r="B103" s="244" t="s">
        <v>111</v>
      </c>
      <c r="C103" s="245">
        <f>SUM(C100:C102)</f>
        <v>1</v>
      </c>
      <c r="D103" s="93">
        <f>SUMPRODUCT(C100:C102,D100:D102)</f>
        <v>-0.22037914691943128</v>
      </c>
      <c r="E103" s="94"/>
    </row>
    <row r="104" spans="1:6" s="7" customFormat="1" x14ac:dyDescent="0.25">
      <c r="A104" s="1"/>
      <c r="B104" s="9"/>
      <c r="C104" s="92"/>
      <c r="D104" s="92"/>
      <c r="E104" s="92"/>
      <c r="F104" s="92"/>
    </row>
    <row r="105" spans="1:6" s="7" customFormat="1" ht="39" x14ac:dyDescent="0.25">
      <c r="A105" s="1"/>
      <c r="B105" s="246" t="s">
        <v>112</v>
      </c>
      <c r="C105" s="247">
        <v>-0.6</v>
      </c>
      <c r="D105" s="95" t="s">
        <v>113</v>
      </c>
    </row>
    <row r="106" spans="1:6" s="7" customFormat="1" ht="13" x14ac:dyDescent="0.3">
      <c r="A106" s="1"/>
      <c r="B106" s="57"/>
      <c r="C106" s="96"/>
      <c r="D106" s="36"/>
      <c r="E106" s="57"/>
      <c r="F106" s="9"/>
    </row>
    <row r="107" spans="1:6" s="7" customFormat="1" ht="14" x14ac:dyDescent="0.3">
      <c r="A107" s="97"/>
      <c r="B107" s="57"/>
      <c r="C107" s="36"/>
      <c r="D107" s="57"/>
      <c r="E107" s="57"/>
    </row>
    <row r="108" spans="1:6" s="7" customFormat="1" ht="69" customHeight="1" x14ac:dyDescent="0.35">
      <c r="A108" s="4"/>
      <c r="B108" s="223" t="s">
        <v>69</v>
      </c>
      <c r="C108" s="82" t="s">
        <v>99</v>
      </c>
      <c r="D108" s="82" t="s">
        <v>114</v>
      </c>
      <c r="E108" s="82" t="s">
        <v>115</v>
      </c>
      <c r="F108" s="232" t="s">
        <v>116</v>
      </c>
    </row>
    <row r="109" spans="1:6" s="7" customFormat="1" ht="37.5" x14ac:dyDescent="0.35">
      <c r="A109" s="4"/>
      <c r="B109" s="63" t="s">
        <v>72</v>
      </c>
      <c r="C109" s="83">
        <f t="shared" ref="C109:C120" si="7">D83</f>
        <v>138538.87857408094</v>
      </c>
      <c r="D109" s="98">
        <f>C109*(élec_tot_final*(1+effet_élec_indus)+(1-élec_tot_final))</f>
        <v>108689.99368205792</v>
      </c>
      <c r="E109" s="98">
        <f t="shared" ref="E109:E120" si="8">$D109-$C109</f>
        <v>-29848.884892023023</v>
      </c>
      <c r="F109" s="85">
        <f t="shared" ref="F109:F120" si="9">($D109-$C109)/$C109</f>
        <v>-0.21545493365648921</v>
      </c>
    </row>
    <row r="110" spans="1:6" s="7" customFormat="1" x14ac:dyDescent="0.35">
      <c r="A110" s="4"/>
      <c r="B110" s="225" t="s">
        <v>74</v>
      </c>
      <c r="C110" s="233">
        <f t="shared" si="7"/>
        <v>15379.086520608986</v>
      </c>
      <c r="D110" s="99">
        <f>C110*(élec_tot_final*(1+effet_élec_indus)+(1-élec_tot_final))</f>
        <v>12065.586454613771</v>
      </c>
      <c r="E110" s="99">
        <f t="shared" si="8"/>
        <v>-3313.5000659952148</v>
      </c>
      <c r="F110" s="234">
        <f t="shared" si="9"/>
        <v>-0.2154549336564891</v>
      </c>
    </row>
    <row r="111" spans="1:6" s="7" customFormat="1" ht="25.5" x14ac:dyDescent="0.35">
      <c r="A111" s="4"/>
      <c r="B111" s="227" t="s">
        <v>76</v>
      </c>
      <c r="C111" s="228">
        <f t="shared" si="7"/>
        <v>153917.96509468992</v>
      </c>
      <c r="D111" s="248">
        <f>SUM(D109:D110)</f>
        <v>120755.58013667169</v>
      </c>
      <c r="E111" s="248">
        <f t="shared" si="8"/>
        <v>-33162.384958018229</v>
      </c>
      <c r="F111" s="87">
        <f t="shared" si="9"/>
        <v>-0.21545493365648916</v>
      </c>
    </row>
    <row r="112" spans="1:6" s="7" customFormat="1" ht="25.5" x14ac:dyDescent="0.35">
      <c r="A112" s="4"/>
      <c r="B112" s="229" t="s">
        <v>77</v>
      </c>
      <c r="C112" s="236">
        <f t="shared" si="7"/>
        <v>140953.77645748237</v>
      </c>
      <c r="D112" s="100">
        <f>C112</f>
        <v>140953.77645748237</v>
      </c>
      <c r="E112" s="100">
        <f t="shared" si="8"/>
        <v>0</v>
      </c>
      <c r="F112" s="237">
        <f t="shared" si="9"/>
        <v>0</v>
      </c>
    </row>
    <row r="113" spans="1:16" s="7" customFormat="1" x14ac:dyDescent="0.35">
      <c r="A113" s="4"/>
      <c r="B113" s="63" t="s">
        <v>79</v>
      </c>
      <c r="C113" s="83">
        <f t="shared" si="7"/>
        <v>106128.40698106203</v>
      </c>
      <c r="D113" s="98">
        <f>C113</f>
        <v>106128.40698106203</v>
      </c>
      <c r="E113" s="98">
        <f t="shared" si="8"/>
        <v>0</v>
      </c>
      <c r="F113" s="85">
        <f t="shared" si="9"/>
        <v>0</v>
      </c>
    </row>
    <row r="114" spans="1:16" s="7" customFormat="1" x14ac:dyDescent="0.35">
      <c r="A114" s="4"/>
      <c r="B114" s="231" t="s">
        <v>81</v>
      </c>
      <c r="C114" s="233">
        <f t="shared" si="7"/>
        <v>62926.315789473687</v>
      </c>
      <c r="D114" s="99">
        <f>C114*(élec_tot_final*(1+effet_élec_maintenance)+(1-élec_tot_final))</f>
        <v>26014.152229937943</v>
      </c>
      <c r="E114" s="99">
        <f t="shared" si="8"/>
        <v>-36912.163559535744</v>
      </c>
      <c r="F114" s="234">
        <f t="shared" si="9"/>
        <v>-0.58659343227766736</v>
      </c>
    </row>
    <row r="115" spans="1:16" s="7" customFormat="1" x14ac:dyDescent="0.35">
      <c r="A115" s="4"/>
      <c r="B115" s="231" t="s">
        <v>83</v>
      </c>
      <c r="C115" s="233">
        <f t="shared" si="7"/>
        <v>29868.473821017458</v>
      </c>
      <c r="D115" s="99">
        <f>C115</f>
        <v>29868.473821017458</v>
      </c>
      <c r="E115" s="99">
        <f t="shared" si="8"/>
        <v>0</v>
      </c>
      <c r="F115" s="234">
        <f t="shared" si="9"/>
        <v>0</v>
      </c>
    </row>
    <row r="116" spans="1:16" s="7" customFormat="1" ht="25" x14ac:dyDescent="0.35">
      <c r="A116" s="4"/>
      <c r="B116" s="231" t="s">
        <v>84</v>
      </c>
      <c r="C116" s="233">
        <f t="shared" si="7"/>
        <v>43213.96212402526</v>
      </c>
      <c r="D116" s="99">
        <f>C116</f>
        <v>43213.96212402526</v>
      </c>
      <c r="E116" s="99">
        <f t="shared" si="8"/>
        <v>0</v>
      </c>
      <c r="F116" s="234">
        <f t="shared" si="9"/>
        <v>0</v>
      </c>
    </row>
    <row r="117" spans="1:16" s="7" customFormat="1" ht="25" x14ac:dyDescent="0.35">
      <c r="A117" s="4"/>
      <c r="B117" s="231" t="s">
        <v>86</v>
      </c>
      <c r="C117" s="233">
        <f t="shared" si="7"/>
        <v>13484.21052631579</v>
      </c>
      <c r="D117" s="99">
        <f>C117</f>
        <v>13484.21052631579</v>
      </c>
      <c r="E117" s="99">
        <f t="shared" si="8"/>
        <v>0</v>
      </c>
      <c r="F117" s="234">
        <f t="shared" si="9"/>
        <v>0</v>
      </c>
    </row>
    <row r="118" spans="1:16" s="7" customFormat="1" x14ac:dyDescent="0.35">
      <c r="A118" s="4"/>
      <c r="B118" s="231" t="s">
        <v>88</v>
      </c>
      <c r="C118" s="233">
        <f t="shared" si="7"/>
        <v>6421.0526315789475</v>
      </c>
      <c r="D118" s="99">
        <f>C118</f>
        <v>6421.0526315789475</v>
      </c>
      <c r="E118" s="99">
        <f t="shared" si="8"/>
        <v>0</v>
      </c>
      <c r="F118" s="234">
        <f t="shared" si="9"/>
        <v>0</v>
      </c>
    </row>
    <row r="119" spans="1:16" s="7" customFormat="1" ht="50.5" x14ac:dyDescent="0.35">
      <c r="A119" s="4"/>
      <c r="B119" s="227" t="s">
        <v>90</v>
      </c>
      <c r="C119" s="228">
        <f t="shared" si="7"/>
        <v>262042.42187347318</v>
      </c>
      <c r="D119" s="248">
        <f>SUM(D113:D118)</f>
        <v>225130.25831393743</v>
      </c>
      <c r="E119" s="248">
        <f t="shared" si="8"/>
        <v>-36912.163559535751</v>
      </c>
      <c r="F119" s="87">
        <f t="shared" si="9"/>
        <v>-0.14086331249586273</v>
      </c>
    </row>
    <row r="120" spans="1:16" s="7" customFormat="1" ht="13" x14ac:dyDescent="0.35">
      <c r="A120" s="4"/>
      <c r="B120" s="227" t="s">
        <v>91</v>
      </c>
      <c r="C120" s="228">
        <f t="shared" si="7"/>
        <v>556914.16342564544</v>
      </c>
      <c r="D120" s="248">
        <f>SUM(D111,D112,D119)</f>
        <v>486839.61490809149</v>
      </c>
      <c r="E120" s="248">
        <f t="shared" si="8"/>
        <v>-70074.548517553951</v>
      </c>
      <c r="F120" s="87">
        <f t="shared" si="9"/>
        <v>-0.12582647941025066</v>
      </c>
    </row>
    <row r="121" spans="1:16" s="4" customFormat="1" ht="13" x14ac:dyDescent="0.3">
      <c r="B121" s="70"/>
      <c r="C121" s="71"/>
      <c r="D121" s="70"/>
    </row>
    <row r="122" spans="1:16" s="4" customFormat="1" ht="13" x14ac:dyDescent="0.35">
      <c r="A122" s="8" t="s">
        <v>117</v>
      </c>
      <c r="B122" s="8"/>
      <c r="C122" s="8"/>
      <c r="D122" s="8"/>
      <c r="E122" s="8"/>
      <c r="F122" s="8"/>
      <c r="G122" s="8"/>
      <c r="H122" s="8"/>
      <c r="I122" s="8"/>
      <c r="J122" s="8"/>
      <c r="K122" s="8"/>
      <c r="L122" s="8"/>
      <c r="M122" s="8"/>
      <c r="N122" s="8"/>
      <c r="O122" s="8"/>
      <c r="P122" s="8"/>
    </row>
    <row r="123" spans="1:16" s="4" customFormat="1" ht="33.65" customHeight="1" x14ac:dyDescent="0.35">
      <c r="A123" s="284" t="s">
        <v>118</v>
      </c>
      <c r="B123" s="284"/>
      <c r="C123" s="284"/>
      <c r="D123" s="284"/>
      <c r="E123" s="284"/>
      <c r="F123" s="284"/>
    </row>
    <row r="124" spans="1:16" ht="86.15" customHeight="1" x14ac:dyDescent="0.25">
      <c r="A124" s="284" t="s">
        <v>119</v>
      </c>
      <c r="B124" s="284"/>
      <c r="C124" s="284"/>
      <c r="D124" s="284"/>
      <c r="E124" s="284"/>
      <c r="F124" s="284"/>
    </row>
    <row r="125" spans="1:16" ht="13" x14ac:dyDescent="0.3">
      <c r="D125" s="102"/>
    </row>
    <row r="126" spans="1:16" ht="13" x14ac:dyDescent="0.3">
      <c r="D126" s="102" t="s">
        <v>106</v>
      </c>
    </row>
    <row r="127" spans="1:16" ht="13" x14ac:dyDescent="0.25">
      <c r="B127" s="103" t="s">
        <v>120</v>
      </c>
      <c r="C127" s="104">
        <v>1763300</v>
      </c>
      <c r="D127" s="105" t="s">
        <v>121</v>
      </c>
    </row>
    <row r="128" spans="1:16" ht="13" x14ac:dyDescent="0.25">
      <c r="B128" s="249" t="s">
        <v>122</v>
      </c>
      <c r="C128" s="250">
        <v>506300</v>
      </c>
      <c r="D128" s="105" t="s">
        <v>121</v>
      </c>
    </row>
    <row r="129" spans="1:16" ht="13" x14ac:dyDescent="0.25">
      <c r="B129" s="249" t="s">
        <v>123</v>
      </c>
      <c r="C129" s="251">
        <f>C127+C128</f>
        <v>2269600</v>
      </c>
      <c r="D129" s="69"/>
      <c r="E129" s="140"/>
      <c r="F129" s="143"/>
    </row>
    <row r="130" spans="1:16" ht="13" x14ac:dyDescent="0.3">
      <c r="B130" s="142" t="s">
        <v>124</v>
      </c>
      <c r="C130" s="144">
        <f>(C129-marché_tot_initial*10^6)/(marché_tot_initial*10^6)</f>
        <v>-0.15722242851838084</v>
      </c>
      <c r="D130" s="69"/>
      <c r="E130" s="140"/>
      <c r="F130" s="143"/>
    </row>
    <row r="131" spans="1:16" ht="25" x14ac:dyDescent="0.25">
      <c r="B131" s="252" t="s">
        <v>125</v>
      </c>
      <c r="C131" s="253">
        <f>etp_constr_actu/$C$129</f>
        <v>0.10671483961931617</v>
      </c>
      <c r="D131" s="106"/>
    </row>
    <row r="132" spans="1:16" ht="26.15" customHeight="1" x14ac:dyDescent="0.25">
      <c r="B132" s="254" t="s">
        <v>126</v>
      </c>
      <c r="C132" s="255">
        <f>C131*(élec_tot_final*(1+effet_élec_indus)+(1-élec_tot_final))</f>
        <v>8.3722600928973531E-2</v>
      </c>
      <c r="D132" s="106"/>
    </row>
    <row r="133" spans="1:16" ht="26" x14ac:dyDescent="0.25">
      <c r="B133" s="256" t="s">
        <v>127</v>
      </c>
      <c r="C133" s="107">
        <f>etp_amont_actu/$C$129</f>
        <v>9.7726471624955943E-2</v>
      </c>
      <c r="D133" s="106"/>
    </row>
    <row r="134" spans="1:16" x14ac:dyDescent="0.25">
      <c r="B134" s="4"/>
      <c r="C134" s="4"/>
      <c r="D134" s="4"/>
    </row>
    <row r="135" spans="1:16" ht="25" x14ac:dyDescent="0.25">
      <c r="B135" s="74" t="s">
        <v>128</v>
      </c>
      <c r="C135" s="83">
        <f>marché_tot_final*10^6</f>
        <v>1711400</v>
      </c>
      <c r="D135" s="4"/>
    </row>
    <row r="136" spans="1:16" x14ac:dyDescent="0.25">
      <c r="B136" s="249" t="s">
        <v>129</v>
      </c>
      <c r="C136" s="233">
        <f t="shared" ref="C136:C137" si="10">$C$135*C132</f>
        <v>143282.85922984531</v>
      </c>
    </row>
    <row r="137" spans="1:16" s="4" customFormat="1" ht="13" x14ac:dyDescent="0.3">
      <c r="B137" s="252" t="s">
        <v>130</v>
      </c>
      <c r="C137" s="233">
        <f t="shared" si="10"/>
        <v>167249.08353894961</v>
      </c>
      <c r="D137" s="70"/>
    </row>
    <row r="138" spans="1:16" x14ac:dyDescent="0.25">
      <c r="B138" s="249" t="s">
        <v>131</v>
      </c>
      <c r="C138" s="257">
        <f>C136+C137</f>
        <v>310531.94276879495</v>
      </c>
    </row>
    <row r="139" spans="1:16" ht="26" x14ac:dyDescent="0.25">
      <c r="B139" s="256" t="s">
        <v>132</v>
      </c>
      <c r="C139" s="258">
        <f>C138-(D111+D112)</f>
        <v>48822.586174640892</v>
      </c>
      <c r="D139" s="141"/>
    </row>
    <row r="140" spans="1:16" ht="13" x14ac:dyDescent="0.25">
      <c r="B140" s="68"/>
      <c r="C140" s="108"/>
    </row>
    <row r="141" spans="1:16" ht="13" x14ac:dyDescent="0.25">
      <c r="B141" s="68"/>
      <c r="C141" s="108"/>
    </row>
    <row r="142" spans="1:16" s="4" customFormat="1" ht="13" x14ac:dyDescent="0.35">
      <c r="A142" s="8" t="s">
        <v>133</v>
      </c>
      <c r="B142" s="8"/>
      <c r="C142" s="8"/>
      <c r="D142" s="8"/>
      <c r="E142" s="8"/>
      <c r="F142" s="8"/>
      <c r="G142" s="8"/>
      <c r="H142" s="8"/>
      <c r="I142" s="8"/>
      <c r="J142" s="8"/>
      <c r="K142" s="8"/>
      <c r="L142" s="8"/>
      <c r="M142" s="8"/>
      <c r="N142" s="8"/>
      <c r="O142" s="8"/>
      <c r="P142" s="8"/>
    </row>
    <row r="143" spans="1:16" s="4" customFormat="1" ht="11.15" customHeight="1" x14ac:dyDescent="0.35">
      <c r="A143" s="101"/>
      <c r="B143" s="101"/>
      <c r="C143" s="101"/>
      <c r="D143" s="101"/>
      <c r="E143" s="101"/>
      <c r="F143" s="101"/>
    </row>
    <row r="144" spans="1:16" s="4" customFormat="1" ht="13" x14ac:dyDescent="0.35">
      <c r="A144" s="109" t="s">
        <v>134</v>
      </c>
      <c r="B144" s="110"/>
      <c r="C144" s="110"/>
      <c r="D144" s="110"/>
      <c r="E144" s="110"/>
      <c r="F144" s="110"/>
      <c r="G144" s="110"/>
      <c r="H144" s="110"/>
      <c r="I144" s="110"/>
      <c r="J144" s="110"/>
      <c r="K144" s="110"/>
      <c r="L144" s="110"/>
      <c r="M144" s="110"/>
      <c r="N144" s="110"/>
      <c r="O144" s="110"/>
      <c r="P144" s="110"/>
    </row>
    <row r="145" spans="1:16" s="4" customFormat="1" ht="25.5" customHeight="1" x14ac:dyDescent="0.35">
      <c r="A145" s="284" t="s">
        <v>135</v>
      </c>
      <c r="B145" s="284"/>
      <c r="C145" s="284"/>
      <c r="D145" s="284"/>
      <c r="E145" s="284"/>
      <c r="F145" s="284"/>
    </row>
    <row r="146" spans="1:16" ht="85.5" customHeight="1" x14ac:dyDescent="0.25">
      <c r="A146" s="278" t="s">
        <v>136</v>
      </c>
      <c r="B146" s="278"/>
      <c r="C146" s="278"/>
      <c r="D146" s="278"/>
      <c r="E146" s="278"/>
      <c r="F146" s="278"/>
    </row>
    <row r="147" spans="1:16" x14ac:dyDescent="0.25">
      <c r="B147" s="111"/>
      <c r="C147" s="112"/>
    </row>
    <row r="148" spans="1:16" x14ac:dyDescent="0.25">
      <c r="B148" s="288" t="s">
        <v>137</v>
      </c>
      <c r="C148" s="289"/>
    </row>
    <row r="149" spans="1:16" ht="13" x14ac:dyDescent="0.3">
      <c r="B149" s="74" t="s">
        <v>138</v>
      </c>
      <c r="C149" s="113">
        <v>1.9</v>
      </c>
      <c r="D149" s="102" t="s">
        <v>139</v>
      </c>
    </row>
    <row r="150" spans="1:16" ht="25" x14ac:dyDescent="0.25">
      <c r="B150" s="252" t="s">
        <v>140</v>
      </c>
      <c r="C150" s="260">
        <v>1300</v>
      </c>
    </row>
    <row r="151" spans="1:16" ht="25" x14ac:dyDescent="0.25">
      <c r="B151" s="252" t="s">
        <v>141</v>
      </c>
      <c r="C151" s="260">
        <v>2500</v>
      </c>
    </row>
    <row r="152" spans="1:16" x14ac:dyDescent="0.25">
      <c r="B152" s="252" t="s">
        <v>142</v>
      </c>
      <c r="C152" s="257">
        <f>C150+C151</f>
        <v>3800</v>
      </c>
    </row>
    <row r="153" spans="1:16" x14ac:dyDescent="0.25">
      <c r="B153" s="259" t="s">
        <v>143</v>
      </c>
      <c r="C153" s="261">
        <f>C152/C149</f>
        <v>2000</v>
      </c>
    </row>
    <row r="154" spans="1:16" x14ac:dyDescent="0.25">
      <c r="B154" s="111"/>
      <c r="C154" s="112"/>
    </row>
    <row r="155" spans="1:16" x14ac:dyDescent="0.25">
      <c r="B155" s="283" t="s">
        <v>144</v>
      </c>
      <c r="C155" s="283"/>
    </row>
    <row r="156" spans="1:16" x14ac:dyDescent="0.25">
      <c r="B156" s="74" t="s">
        <v>145</v>
      </c>
      <c r="C156" s="114">
        <v>10</v>
      </c>
    </row>
    <row r="157" spans="1:16" x14ac:dyDescent="0.25">
      <c r="B157" s="259" t="s">
        <v>146</v>
      </c>
      <c r="C157" s="261">
        <f>C153*C156</f>
        <v>20000</v>
      </c>
    </row>
    <row r="158" spans="1:16" x14ac:dyDescent="0.25">
      <c r="B158" s="111"/>
      <c r="C158" s="112"/>
    </row>
    <row r="159" spans="1:16" s="4" customFormat="1" ht="13" x14ac:dyDescent="0.35">
      <c r="A159" s="109" t="s">
        <v>147</v>
      </c>
      <c r="B159" s="110"/>
      <c r="C159" s="110"/>
      <c r="D159" s="110"/>
      <c r="E159" s="110"/>
      <c r="F159" s="110"/>
      <c r="G159" s="110"/>
      <c r="H159" s="110"/>
      <c r="I159" s="110"/>
      <c r="J159" s="110"/>
      <c r="K159" s="110"/>
      <c r="L159" s="110"/>
      <c r="M159" s="110"/>
      <c r="N159" s="110"/>
      <c r="O159" s="110"/>
      <c r="P159" s="110"/>
    </row>
    <row r="160" spans="1:16" ht="30" customHeight="1" x14ac:dyDescent="0.25">
      <c r="A160" s="284" t="s">
        <v>148</v>
      </c>
      <c r="B160" s="284"/>
      <c r="C160" s="284"/>
      <c r="D160" s="284"/>
      <c r="E160" s="284"/>
      <c r="F160" s="284"/>
    </row>
    <row r="161" spans="2:6" x14ac:dyDescent="0.25">
      <c r="B161" s="111"/>
      <c r="C161" s="112"/>
    </row>
    <row r="162" spans="2:6" ht="14.5" x14ac:dyDescent="0.35">
      <c r="B162" s="262" t="s">
        <v>149</v>
      </c>
      <c r="C162" s="263">
        <f>'Emploi actuel Batteries'!$I$10</f>
        <v>138.06349206349208</v>
      </c>
      <c r="D162" s="145"/>
      <c r="E162" s="146"/>
    </row>
    <row r="165" spans="2:6" x14ac:dyDescent="0.25">
      <c r="B165" s="264"/>
      <c r="C165" s="115" t="s">
        <v>150</v>
      </c>
      <c r="D165" s="115" t="s">
        <v>151</v>
      </c>
      <c r="E165" s="188" t="s">
        <v>41</v>
      </c>
    </row>
    <row r="166" spans="2:6" x14ac:dyDescent="0.25">
      <c r="B166" s="190" t="s">
        <v>152</v>
      </c>
      <c r="C166" s="116">
        <f>marché_VP_final</f>
        <v>1.329</v>
      </c>
      <c r="D166" s="116">
        <f>marché_VUL_final</f>
        <v>0.38240000000000002</v>
      </c>
      <c r="E166" s="192">
        <f t="shared" ref="E166:E169" si="11">SUM(C166:D166)</f>
        <v>1.7114</v>
      </c>
    </row>
    <row r="167" spans="2:6" ht="25" x14ac:dyDescent="0.25">
      <c r="B167" s="265" t="s">
        <v>153</v>
      </c>
      <c r="C167" s="116">
        <f>élec_VP_final*C166</f>
        <v>1.329</v>
      </c>
      <c r="D167" s="135">
        <f>élec_VUL_final*D166</f>
        <v>0.34416000000000002</v>
      </c>
      <c r="E167" s="189">
        <f t="shared" si="11"/>
        <v>1.67316</v>
      </c>
    </row>
    <row r="168" spans="2:6" ht="13" x14ac:dyDescent="0.3">
      <c r="B168" s="190" t="s">
        <v>154</v>
      </c>
      <c r="C168" s="117">
        <v>50</v>
      </c>
      <c r="D168" s="134">
        <v>55</v>
      </c>
      <c r="E168" s="190"/>
      <c r="F168" s="137"/>
    </row>
    <row r="169" spans="2:6" x14ac:dyDescent="0.25">
      <c r="B169" s="190" t="s">
        <v>155</v>
      </c>
      <c r="C169" s="118">
        <f>C168*C167</f>
        <v>66.45</v>
      </c>
      <c r="D169" s="118">
        <f>D168*D167</f>
        <v>18.928800000000003</v>
      </c>
      <c r="E169" s="193">
        <f t="shared" si="11"/>
        <v>85.378800000000012</v>
      </c>
    </row>
    <row r="170" spans="2:6" x14ac:dyDescent="0.25">
      <c r="B170" s="188" t="s">
        <v>156</v>
      </c>
      <c r="C170" s="115"/>
      <c r="D170" s="115"/>
      <c r="E170" s="191">
        <f>E169*C162</f>
        <v>11787.695276190479</v>
      </c>
    </row>
    <row r="171" spans="2:6" x14ac:dyDescent="0.25">
      <c r="B171" s="111"/>
      <c r="C171" s="133"/>
    </row>
    <row r="187" spans="2:7" ht="13" x14ac:dyDescent="0.3">
      <c r="B187" s="68"/>
      <c r="C187" s="69"/>
      <c r="D187" s="70"/>
      <c r="E187" s="119"/>
      <c r="F187" s="119"/>
      <c r="G187" s="120"/>
    </row>
    <row r="188" spans="2:7" ht="13" x14ac:dyDescent="0.3">
      <c r="B188" s="68"/>
      <c r="C188" s="69"/>
      <c r="D188" s="70"/>
      <c r="E188" s="119"/>
      <c r="F188" s="119"/>
      <c r="G188" s="120"/>
    </row>
    <row r="189" spans="2:7" ht="13" x14ac:dyDescent="0.3">
      <c r="B189" s="68"/>
      <c r="C189" s="69"/>
      <c r="D189" s="70"/>
      <c r="E189" s="119"/>
      <c r="F189" s="119"/>
      <c r="G189" s="120"/>
    </row>
    <row r="190" spans="2:7" ht="13" x14ac:dyDescent="0.3">
      <c r="B190" s="68"/>
      <c r="C190" s="69"/>
      <c r="D190" s="70"/>
      <c r="E190" s="119"/>
      <c r="F190" s="119"/>
      <c r="G190" s="120"/>
    </row>
    <row r="191" spans="2:7" ht="13" x14ac:dyDescent="0.3">
      <c r="B191" s="68"/>
      <c r="C191" s="69"/>
      <c r="D191" s="70"/>
      <c r="E191" s="119"/>
      <c r="F191" s="119"/>
      <c r="G191" s="120"/>
    </row>
    <row r="192" spans="2:7" ht="13" x14ac:dyDescent="0.3">
      <c r="B192" s="68"/>
      <c r="C192" s="69"/>
      <c r="D192" s="70"/>
      <c r="E192" s="119"/>
      <c r="F192" s="119"/>
      <c r="G192" s="120"/>
    </row>
    <row r="193" spans="2:7" ht="13" x14ac:dyDescent="0.3">
      <c r="B193" s="68"/>
      <c r="C193" s="69"/>
      <c r="D193" s="70"/>
      <c r="E193" s="119"/>
      <c r="F193" s="119"/>
      <c r="G193" s="120"/>
    </row>
  </sheetData>
  <mergeCells count="22">
    <mergeCell ref="B19:F19"/>
    <mergeCell ref="B34:F34"/>
    <mergeCell ref="A97:F97"/>
    <mergeCell ref="A123:F123"/>
    <mergeCell ref="B148:C148"/>
    <mergeCell ref="A26:A27"/>
    <mergeCell ref="A31:F31"/>
    <mergeCell ref="A32:F32"/>
    <mergeCell ref="A42:A44"/>
    <mergeCell ref="B35:F35"/>
    <mergeCell ref="B33:F33"/>
    <mergeCell ref="B155:C155"/>
    <mergeCell ref="A160:F160"/>
    <mergeCell ref="A124:F124"/>
    <mergeCell ref="A145:F145"/>
    <mergeCell ref="A146:F146"/>
    <mergeCell ref="G46:K46"/>
    <mergeCell ref="A50:F50"/>
    <mergeCell ref="A55:F55"/>
    <mergeCell ref="A74:F74"/>
    <mergeCell ref="A80:F80"/>
    <mergeCell ref="A45:A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E59B-FFCB-4F20-A8DA-5882C28E88EF}">
  <dimension ref="B2:I17"/>
  <sheetViews>
    <sheetView zoomScale="98" workbookViewId="0">
      <selection activeCell="H10" sqref="H10"/>
    </sheetView>
  </sheetViews>
  <sheetFormatPr baseColWidth="10" defaultColWidth="11.453125" defaultRowHeight="14.5" x14ac:dyDescent="0.35"/>
  <cols>
    <col min="1" max="1" width="9.1796875" bestFit="1" customWidth="1"/>
    <col min="2" max="2" width="27.26953125" customWidth="1"/>
    <col min="3" max="3" width="19.26953125" customWidth="1"/>
  </cols>
  <sheetData>
    <row r="2" spans="2:9" x14ac:dyDescent="0.35">
      <c r="B2" s="293" t="s">
        <v>157</v>
      </c>
      <c r="C2" s="293"/>
      <c r="D2" s="293"/>
      <c r="E2" s="293"/>
      <c r="F2" s="293"/>
      <c r="G2" s="293"/>
      <c r="H2" s="293"/>
      <c r="I2" s="293"/>
    </row>
    <row r="3" spans="2:9" ht="43.5" x14ac:dyDescent="0.35">
      <c r="B3" s="147" t="s">
        <v>158</v>
      </c>
      <c r="C3" s="148" t="s">
        <v>159</v>
      </c>
      <c r="D3" s="148" t="s">
        <v>160</v>
      </c>
      <c r="E3" s="148" t="s">
        <v>161</v>
      </c>
      <c r="F3" s="148" t="s">
        <v>162</v>
      </c>
      <c r="G3" s="148" t="s">
        <v>163</v>
      </c>
      <c r="H3" s="148" t="s">
        <v>164</v>
      </c>
      <c r="I3" s="149" t="s">
        <v>165</v>
      </c>
    </row>
    <row r="4" spans="2:9" x14ac:dyDescent="0.35">
      <c r="B4" s="150" t="s">
        <v>166</v>
      </c>
      <c r="C4" s="151">
        <v>30</v>
      </c>
      <c r="D4" s="152">
        <v>2.5</v>
      </c>
      <c r="E4" s="153">
        <v>7.5</v>
      </c>
      <c r="F4" s="153">
        <v>4</v>
      </c>
      <c r="G4" s="154">
        <v>14</v>
      </c>
      <c r="H4" s="155"/>
      <c r="I4" s="294"/>
    </row>
    <row r="5" spans="2:9" x14ac:dyDescent="0.35">
      <c r="B5" s="150" t="s">
        <v>167</v>
      </c>
      <c r="C5" s="156"/>
      <c r="D5" s="157">
        <v>50000</v>
      </c>
      <c r="E5" s="158">
        <v>250000</v>
      </c>
      <c r="F5" s="158">
        <v>80000</v>
      </c>
      <c r="G5" s="159"/>
      <c r="H5" s="159"/>
      <c r="I5" s="295"/>
    </row>
    <row r="6" spans="2:9" ht="29" x14ac:dyDescent="0.35">
      <c r="B6" s="150" t="s">
        <v>168</v>
      </c>
      <c r="C6" s="160"/>
      <c r="D6" s="157">
        <f t="shared" ref="D6:F6" si="0">D4*10^6/D5</f>
        <v>50</v>
      </c>
      <c r="E6" s="157">
        <f t="shared" si="0"/>
        <v>30</v>
      </c>
      <c r="F6" s="157">
        <f t="shared" si="0"/>
        <v>50</v>
      </c>
      <c r="G6" s="161"/>
      <c r="H6" s="161"/>
      <c r="I6" s="162">
        <f>AVERAGE(D6:F6)</f>
        <v>43.333333333333336</v>
      </c>
    </row>
    <row r="7" spans="2:9" x14ac:dyDescent="0.35">
      <c r="B7" s="150" t="s">
        <v>169</v>
      </c>
      <c r="C7" s="163">
        <v>4.4000000000000004</v>
      </c>
      <c r="D7" s="164">
        <v>1.5580000000000001</v>
      </c>
      <c r="E7" s="165">
        <v>1.621</v>
      </c>
      <c r="F7" s="165">
        <v>3.0339999999999998</v>
      </c>
      <c r="G7" s="166">
        <v>1.9510000000000001</v>
      </c>
      <c r="H7" s="167"/>
      <c r="I7" s="294"/>
    </row>
    <row r="8" spans="2:9" x14ac:dyDescent="0.35">
      <c r="B8" s="150" t="s">
        <v>170</v>
      </c>
      <c r="C8" s="168">
        <f t="shared" ref="C8:G8" si="1">C7/C4</f>
        <v>0.14666666666666667</v>
      </c>
      <c r="D8" s="164">
        <f t="shared" si="1"/>
        <v>0.62319999999999998</v>
      </c>
      <c r="E8" s="164">
        <f t="shared" si="1"/>
        <v>0.21613333333333334</v>
      </c>
      <c r="F8" s="164">
        <f t="shared" si="1"/>
        <v>0.75849999999999995</v>
      </c>
      <c r="G8" s="169">
        <f t="shared" si="1"/>
        <v>0.13935714285714287</v>
      </c>
      <c r="H8" s="170"/>
      <c r="I8" s="296"/>
    </row>
    <row r="9" spans="2:9" x14ac:dyDescent="0.35">
      <c r="B9" s="150" t="s">
        <v>171</v>
      </c>
      <c r="C9" s="171">
        <v>4000</v>
      </c>
      <c r="D9" s="161"/>
      <c r="E9" s="172"/>
      <c r="F9" s="172"/>
      <c r="G9" s="173">
        <v>2000</v>
      </c>
      <c r="H9" s="159"/>
      <c r="I9" s="295"/>
    </row>
    <row r="10" spans="2:9" x14ac:dyDescent="0.35">
      <c r="B10" s="150" t="s">
        <v>172</v>
      </c>
      <c r="C10" s="174">
        <f>C9/C4</f>
        <v>133.33333333333334</v>
      </c>
      <c r="D10" s="175"/>
      <c r="E10" s="175"/>
      <c r="F10" s="175"/>
      <c r="G10" s="176">
        <f>G9/G4</f>
        <v>142.85714285714286</v>
      </c>
      <c r="H10" s="176">
        <v>138</v>
      </c>
      <c r="I10" s="177">
        <f>AVERAGE(C10:H10)</f>
        <v>138.06349206349208</v>
      </c>
    </row>
    <row r="11" spans="2:9" x14ac:dyDescent="0.35">
      <c r="B11" s="178" t="s">
        <v>173</v>
      </c>
      <c r="C11" s="179">
        <v>1</v>
      </c>
      <c r="D11" s="297">
        <v>2</v>
      </c>
      <c r="E11" s="298"/>
      <c r="F11" s="298"/>
      <c r="G11" s="298"/>
      <c r="H11" s="180">
        <v>3</v>
      </c>
      <c r="I11" s="181"/>
    </row>
    <row r="13" spans="2:9" x14ac:dyDescent="0.35">
      <c r="B13" s="299" t="s">
        <v>174</v>
      </c>
      <c r="C13" s="300"/>
      <c r="D13" s="194"/>
    </row>
    <row r="14" spans="2:9" x14ac:dyDescent="0.35">
      <c r="B14" s="182" t="s">
        <v>175</v>
      </c>
      <c r="C14" s="183" t="s">
        <v>176</v>
      </c>
    </row>
    <row r="15" spans="2:9" x14ac:dyDescent="0.35">
      <c r="B15" s="184" t="s">
        <v>177</v>
      </c>
      <c r="C15" s="185" t="s">
        <v>178</v>
      </c>
    </row>
    <row r="16" spans="2:9" x14ac:dyDescent="0.35">
      <c r="B16" s="184" t="s">
        <v>179</v>
      </c>
      <c r="C16" s="186" t="s">
        <v>180</v>
      </c>
    </row>
    <row r="17" spans="2:3" x14ac:dyDescent="0.35">
      <c r="B17" s="157" t="s">
        <v>164</v>
      </c>
      <c r="C17" s="187" t="s">
        <v>181</v>
      </c>
    </row>
  </sheetData>
  <mergeCells count="5">
    <mergeCell ref="B2:I2"/>
    <mergeCell ref="I4:I5"/>
    <mergeCell ref="I7:I9"/>
    <mergeCell ref="D11:G11"/>
    <mergeCell ref="B13:C13"/>
  </mergeCells>
  <hyperlinks>
    <hyperlink ref="C15" r:id="rId1" xr:uid="{0C9A9919-4E2C-413C-AC20-E7A7EEDF475B}"/>
    <hyperlink ref="C16" r:id="rId2" xr:uid="{34A8F291-A839-4131-A1A7-5DF32EB9F69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P54"/>
  <sheetViews>
    <sheetView topLeftCell="A10" zoomScale="60" workbookViewId="0">
      <selection activeCell="D25" sqref="D25"/>
    </sheetView>
  </sheetViews>
  <sheetFormatPr baseColWidth="10" defaultColWidth="11.453125" defaultRowHeight="14.5" x14ac:dyDescent="0.35"/>
  <cols>
    <col min="2" max="2" width="34" customWidth="1"/>
    <col min="3" max="6" width="16.7265625" customWidth="1"/>
  </cols>
  <sheetData>
    <row r="1" spans="1:16" s="7" customFormat="1" ht="13" x14ac:dyDescent="0.35">
      <c r="A1" s="8" t="s">
        <v>182</v>
      </c>
      <c r="B1" s="8"/>
      <c r="C1" s="8"/>
      <c r="D1" s="8"/>
      <c r="E1" s="8"/>
      <c r="F1" s="8"/>
      <c r="G1" s="8"/>
      <c r="H1" s="8"/>
      <c r="I1" s="8"/>
      <c r="J1" s="8"/>
      <c r="K1" s="8"/>
      <c r="L1" s="8"/>
      <c r="M1" s="8"/>
      <c r="N1" s="8"/>
      <c r="O1" s="8"/>
      <c r="P1" s="8"/>
    </row>
    <row r="3" spans="1:16" s="1" customFormat="1" ht="50.15" customHeight="1" x14ac:dyDescent="0.25">
      <c r="B3" s="223" t="s">
        <v>69</v>
      </c>
      <c r="C3" s="224" t="s">
        <v>70</v>
      </c>
      <c r="D3" s="82" t="s">
        <v>183</v>
      </c>
      <c r="E3" s="82" t="s">
        <v>100</v>
      </c>
      <c r="F3" s="232" t="s">
        <v>101</v>
      </c>
    </row>
    <row r="4" spans="1:16" s="1" customFormat="1" ht="13" x14ac:dyDescent="0.25">
      <c r="B4" s="227" t="s">
        <v>184</v>
      </c>
      <c r="C4" s="228">
        <f>'Modèle Emploi Auto'!C60</f>
        <v>242200</v>
      </c>
      <c r="D4" s="248">
        <f>'Modèle Emploi Auto'!D111</f>
        <v>120755.58013667169</v>
      </c>
      <c r="E4" s="248">
        <f t="shared" ref="E4:E7" si="0">$D4-$C4</f>
        <v>-121444.41986332831</v>
      </c>
      <c r="F4" s="87">
        <f t="shared" ref="F4:F7" si="1">($D4-$C4)/$C4</f>
        <v>-0.5014220473300095</v>
      </c>
    </row>
    <row r="5" spans="1:16" s="1" customFormat="1" ht="13" x14ac:dyDescent="0.25">
      <c r="B5" s="229" t="s">
        <v>185</v>
      </c>
      <c r="C5" s="228">
        <f>'Modèle Emploi Auto'!C61</f>
        <v>221800</v>
      </c>
      <c r="D5" s="248">
        <f>'Modèle Emploi Auto'!D112</f>
        <v>140953.77645748237</v>
      </c>
      <c r="E5" s="100">
        <f t="shared" si="0"/>
        <v>-80846.223542517633</v>
      </c>
      <c r="F5" s="237">
        <f t="shared" si="1"/>
        <v>-0.36450055699962863</v>
      </c>
    </row>
    <row r="6" spans="1:16" s="1" customFormat="1" ht="38" x14ac:dyDescent="0.25">
      <c r="B6" s="227" t="s">
        <v>186</v>
      </c>
      <c r="C6" s="228">
        <f>'Modèle Emploi Auto'!C68</f>
        <v>411000</v>
      </c>
      <c r="D6" s="248">
        <f>'Modèle Emploi Auto'!D119</f>
        <v>225130.25831393743</v>
      </c>
      <c r="E6" s="248">
        <f t="shared" si="0"/>
        <v>-185869.74168606257</v>
      </c>
      <c r="F6" s="87">
        <f t="shared" si="1"/>
        <v>-0.4522378143213201</v>
      </c>
      <c r="I6" s="77"/>
    </row>
    <row r="7" spans="1:16" s="1" customFormat="1" ht="13" x14ac:dyDescent="0.25">
      <c r="B7" s="227" t="s">
        <v>91</v>
      </c>
      <c r="C7" s="228">
        <f>SUM(C4:C6)</f>
        <v>875000</v>
      </c>
      <c r="D7" s="248">
        <f>SUM(D4:D6)</f>
        <v>486839.61490809149</v>
      </c>
      <c r="E7" s="248">
        <f t="shared" si="0"/>
        <v>-388160.38509190851</v>
      </c>
      <c r="F7" s="87">
        <f t="shared" si="1"/>
        <v>-0.44361186867646685</v>
      </c>
    </row>
    <row r="10" spans="1:16" s="1" customFormat="1" ht="50.15" customHeight="1" x14ac:dyDescent="0.25">
      <c r="B10" s="223" t="s">
        <v>69</v>
      </c>
      <c r="C10" s="224" t="s">
        <v>70</v>
      </c>
      <c r="D10" s="82" t="s">
        <v>183</v>
      </c>
      <c r="E10" s="82" t="s">
        <v>100</v>
      </c>
      <c r="F10" s="232" t="s">
        <v>101</v>
      </c>
    </row>
    <row r="11" spans="1:16" s="1" customFormat="1" ht="13" x14ac:dyDescent="0.25">
      <c r="B11" s="227" t="s">
        <v>184</v>
      </c>
      <c r="C11" s="228">
        <f>ROUND(C4,1-LOG(C4))</f>
        <v>240000</v>
      </c>
      <c r="D11" s="248">
        <f>ROUND(D4,1-LOG(D4))</f>
        <v>120000</v>
      </c>
      <c r="E11" s="248">
        <f t="shared" ref="E11:E14" si="2">$D11-$C11</f>
        <v>-120000</v>
      </c>
      <c r="F11" s="87">
        <f t="shared" ref="F11:F14" si="3">($D11-$C11)/$C11</f>
        <v>-0.5</v>
      </c>
    </row>
    <row r="12" spans="1:16" s="1" customFormat="1" ht="13" x14ac:dyDescent="0.25">
      <c r="B12" s="229" t="s">
        <v>185</v>
      </c>
      <c r="C12" s="236">
        <f t="shared" ref="C12:D12" si="4">ROUND(C5,1-LOG(C5))</f>
        <v>220000</v>
      </c>
      <c r="D12" s="100">
        <f t="shared" si="4"/>
        <v>140000</v>
      </c>
      <c r="E12" s="100">
        <f t="shared" si="2"/>
        <v>-80000</v>
      </c>
      <c r="F12" s="237">
        <f t="shared" si="3"/>
        <v>-0.36363636363636365</v>
      </c>
    </row>
    <row r="13" spans="1:16" s="1" customFormat="1" ht="38" x14ac:dyDescent="0.25">
      <c r="B13" s="227" t="s">
        <v>186</v>
      </c>
      <c r="C13" s="228">
        <f t="shared" ref="C13:D13" si="5">ROUND(C6,1-LOG(C6))</f>
        <v>410000</v>
      </c>
      <c r="D13" s="248">
        <f t="shared" si="5"/>
        <v>230000</v>
      </c>
      <c r="E13" s="248">
        <f t="shared" si="2"/>
        <v>-180000</v>
      </c>
      <c r="F13" s="87">
        <f t="shared" si="3"/>
        <v>-0.43902439024390244</v>
      </c>
      <c r="I13" s="77"/>
    </row>
    <row r="14" spans="1:16" s="1" customFormat="1" ht="13" x14ac:dyDescent="0.25">
      <c r="B14" s="227" t="s">
        <v>91</v>
      </c>
      <c r="C14" s="228">
        <f t="shared" ref="C14:D14" si="6">ROUND(C7,1-LOG(C7))</f>
        <v>880000</v>
      </c>
      <c r="D14" s="248">
        <f t="shared" si="6"/>
        <v>490000</v>
      </c>
      <c r="E14" s="248">
        <f t="shared" si="2"/>
        <v>-390000</v>
      </c>
      <c r="F14" s="87">
        <f t="shared" si="3"/>
        <v>-0.44318181818181818</v>
      </c>
    </row>
    <row r="18" spans="1:16" s="7" customFormat="1" ht="13" x14ac:dyDescent="0.35">
      <c r="A18" s="8" t="s">
        <v>187</v>
      </c>
      <c r="B18" s="8"/>
      <c r="C18" s="8"/>
      <c r="D18" s="8"/>
      <c r="E18" s="8"/>
      <c r="F18" s="8"/>
      <c r="G18" s="8"/>
      <c r="H18" s="8"/>
      <c r="I18" s="8"/>
      <c r="J18" s="8"/>
      <c r="K18" s="8"/>
      <c r="L18" s="8"/>
      <c r="M18" s="8"/>
      <c r="N18" s="8"/>
      <c r="O18" s="8"/>
      <c r="P18" s="8"/>
    </row>
    <row r="20" spans="1:16" ht="25" x14ac:dyDescent="0.35">
      <c r="B20" s="266"/>
      <c r="C20" s="121" t="s">
        <v>188</v>
      </c>
      <c r="D20" s="122" t="s">
        <v>189</v>
      </c>
      <c r="E20" s="267" t="s">
        <v>42</v>
      </c>
    </row>
    <row r="21" spans="1:16" x14ac:dyDescent="0.35">
      <c r="B21" s="268" t="s">
        <v>190</v>
      </c>
      <c r="C21" s="123"/>
      <c r="D21" s="123"/>
      <c r="E21" s="269">
        <f>$C$14</f>
        <v>880000</v>
      </c>
    </row>
    <row r="22" spans="1:16" x14ac:dyDescent="0.35">
      <c r="B22" s="124" t="s">
        <v>191</v>
      </c>
      <c r="C22" s="125">
        <f>$C$11</f>
        <v>240000</v>
      </c>
      <c r="D22" s="125">
        <f>$D$11</f>
        <v>120000</v>
      </c>
      <c r="E22" s="126">
        <f>D22-C22</f>
        <v>-120000</v>
      </c>
    </row>
    <row r="23" spans="1:16" x14ac:dyDescent="0.35">
      <c r="B23" s="270" t="s">
        <v>192</v>
      </c>
      <c r="C23" s="127">
        <f>$C$12</f>
        <v>220000</v>
      </c>
      <c r="D23" s="127">
        <f>$D$12</f>
        <v>140000</v>
      </c>
      <c r="E23" s="271">
        <f t="shared" ref="E23:E27" si="7">D23-C23</f>
        <v>-80000</v>
      </c>
    </row>
    <row r="24" spans="1:16" x14ac:dyDescent="0.35">
      <c r="B24" s="270" t="s">
        <v>193</v>
      </c>
      <c r="C24" s="127">
        <f>$C$13</f>
        <v>410000</v>
      </c>
      <c r="D24" s="127">
        <f>$D$13</f>
        <v>230000</v>
      </c>
      <c r="E24" s="271">
        <f t="shared" si="7"/>
        <v>-180000</v>
      </c>
    </row>
    <row r="25" spans="1:16" x14ac:dyDescent="0.35">
      <c r="B25" s="270" t="s">
        <v>194</v>
      </c>
      <c r="C25" s="127">
        <v>0</v>
      </c>
      <c r="D25" s="127">
        <f>ROUND('Modèle Emploi Auto'!C139,1-LOG('Modèle Emploi Auto'!C139))</f>
        <v>49000</v>
      </c>
      <c r="E25" s="271">
        <f t="shared" si="7"/>
        <v>49000</v>
      </c>
    </row>
    <row r="26" spans="1:16" x14ac:dyDescent="0.35">
      <c r="B26" s="270" t="s">
        <v>195</v>
      </c>
      <c r="C26" s="127">
        <v>0</v>
      </c>
      <c r="D26" s="127">
        <f>ROUND('Modèle Emploi Auto'!$E$170,1-LOG('Modèle Emploi Auto'!$E$170))</f>
        <v>12000</v>
      </c>
      <c r="E26" s="271">
        <f t="shared" si="7"/>
        <v>12000</v>
      </c>
    </row>
    <row r="27" spans="1:16" x14ac:dyDescent="0.35">
      <c r="B27" s="272" t="s">
        <v>196</v>
      </c>
      <c r="C27" s="273">
        <v>0</v>
      </c>
      <c r="D27" s="274">
        <f>'Modèle Emploi Auto'!$C$157</f>
        <v>20000</v>
      </c>
      <c r="E27" s="128">
        <f t="shared" si="7"/>
        <v>20000</v>
      </c>
    </row>
    <row r="28" spans="1:16" x14ac:dyDescent="0.35">
      <c r="B28" s="275" t="s">
        <v>197</v>
      </c>
      <c r="C28" s="129"/>
      <c r="D28" s="129"/>
      <c r="E28" s="269">
        <f>SUM(E21:E27)</f>
        <v>581000</v>
      </c>
    </row>
    <row r="31" spans="1:16" x14ac:dyDescent="0.35">
      <c r="C31" s="130"/>
      <c r="D31" s="130"/>
    </row>
    <row r="32" spans="1:16" x14ac:dyDescent="0.35">
      <c r="C32" s="130"/>
      <c r="D32" s="130"/>
    </row>
    <row r="41" spans="1:16" s="7" customFormat="1" ht="13" x14ac:dyDescent="0.35">
      <c r="A41" s="8" t="s">
        <v>198</v>
      </c>
      <c r="B41" s="8"/>
      <c r="C41" s="8"/>
      <c r="D41" s="8"/>
      <c r="E41" s="8"/>
      <c r="F41" s="8"/>
      <c r="G41" s="8"/>
      <c r="H41" s="8"/>
      <c r="I41" s="8"/>
      <c r="J41" s="8"/>
      <c r="K41" s="8"/>
      <c r="L41" s="8"/>
      <c r="M41" s="8"/>
      <c r="N41" s="8"/>
      <c r="O41" s="8"/>
      <c r="P41" s="8"/>
    </row>
    <row r="43" spans="1:16" ht="25" x14ac:dyDescent="0.35">
      <c r="A43" s="1"/>
      <c r="B43" s="264"/>
      <c r="C43" s="121" t="s">
        <v>188</v>
      </c>
      <c r="D43" s="122" t="s">
        <v>189</v>
      </c>
      <c r="E43" s="267" t="s">
        <v>42</v>
      </c>
      <c r="F43" s="1"/>
    </row>
    <row r="44" spans="1:16" x14ac:dyDescent="0.35">
      <c r="A44" s="1"/>
      <c r="B44" s="268" t="s">
        <v>190</v>
      </c>
      <c r="C44" s="123"/>
      <c r="D44" s="123"/>
      <c r="E44" s="269">
        <f>SUM(C45:C52)</f>
        <v>889000</v>
      </c>
      <c r="F44" s="1"/>
    </row>
    <row r="45" spans="1:16" x14ac:dyDescent="0.35">
      <c r="A45" s="1" t="s">
        <v>199</v>
      </c>
      <c r="B45" s="124" t="s">
        <v>191</v>
      </c>
      <c r="C45" s="125">
        <f>$C$11</f>
        <v>240000</v>
      </c>
      <c r="D45" s="125">
        <f>$D$11</f>
        <v>120000</v>
      </c>
      <c r="E45" s="126">
        <f t="shared" ref="E45:E52" si="8">D45-C45</f>
        <v>-120000</v>
      </c>
      <c r="F45" s="1"/>
    </row>
    <row r="46" spans="1:16" x14ac:dyDescent="0.35">
      <c r="A46" s="1" t="s">
        <v>199</v>
      </c>
      <c r="B46" s="270" t="s">
        <v>192</v>
      </c>
      <c r="C46" s="127">
        <f>$C$12</f>
        <v>220000</v>
      </c>
      <c r="D46" s="127">
        <f>$D$12</f>
        <v>140000</v>
      </c>
      <c r="E46" s="271">
        <f t="shared" si="8"/>
        <v>-80000</v>
      </c>
      <c r="F46" s="1"/>
    </row>
    <row r="47" spans="1:16" x14ac:dyDescent="0.35">
      <c r="A47" s="1" t="s">
        <v>199</v>
      </c>
      <c r="B47" s="270" t="s">
        <v>193</v>
      </c>
      <c r="C47" s="127">
        <f>$C$13</f>
        <v>410000</v>
      </c>
      <c r="D47" s="127">
        <f>$D$13</f>
        <v>230000</v>
      </c>
      <c r="E47" s="271">
        <f t="shared" si="8"/>
        <v>-180000</v>
      </c>
      <c r="F47" s="1"/>
    </row>
    <row r="48" spans="1:16" x14ac:dyDescent="0.35">
      <c r="A48" s="1" t="s">
        <v>199</v>
      </c>
      <c r="B48" s="270" t="s">
        <v>194</v>
      </c>
      <c r="C48" s="127">
        <v>0</v>
      </c>
      <c r="D48" s="127" t="e">
        <f>ROUND('Modèle Emploi Auto'!#REF!,1-LOG('Modèle Emploi Auto'!#REF!))</f>
        <v>#REF!</v>
      </c>
      <c r="E48" s="271" t="e">
        <f t="shared" si="8"/>
        <v>#REF!</v>
      </c>
      <c r="F48" s="1"/>
    </row>
    <row r="49" spans="1:6" x14ac:dyDescent="0.35">
      <c r="A49" s="1" t="s">
        <v>199</v>
      </c>
      <c r="B49" s="270" t="s">
        <v>195</v>
      </c>
      <c r="C49" s="127">
        <v>0</v>
      </c>
      <c r="D49" s="127">
        <f>ROUND('Modèle Emploi Auto'!$E$170,1-LOG('Modèle Emploi Auto'!$E$170))</f>
        <v>12000</v>
      </c>
      <c r="E49" s="271">
        <f t="shared" si="8"/>
        <v>12000</v>
      </c>
      <c r="F49" s="1"/>
    </row>
    <row r="50" spans="1:6" x14ac:dyDescent="0.35">
      <c r="A50" s="1" t="s">
        <v>199</v>
      </c>
      <c r="B50" s="272" t="s">
        <v>196</v>
      </c>
      <c r="C50" s="273">
        <v>0</v>
      </c>
      <c r="D50" s="274">
        <f>'Modèle Emploi Auto'!$C$157</f>
        <v>20000</v>
      </c>
      <c r="E50" s="128">
        <f t="shared" si="8"/>
        <v>20000</v>
      </c>
      <c r="F50" s="1"/>
    </row>
    <row r="51" spans="1:6" x14ac:dyDescent="0.35">
      <c r="A51" s="1" t="s">
        <v>200</v>
      </c>
      <c r="B51" s="124" t="s">
        <v>201</v>
      </c>
      <c r="C51" s="131">
        <v>2000</v>
      </c>
      <c r="D51" s="131">
        <v>47500.193050193062</v>
      </c>
      <c r="E51" s="126">
        <f t="shared" si="8"/>
        <v>45500.193050193062</v>
      </c>
      <c r="F51" s="102" t="s">
        <v>202</v>
      </c>
    </row>
    <row r="52" spans="1:6" x14ac:dyDescent="0.35">
      <c r="A52" s="1" t="s">
        <v>200</v>
      </c>
      <c r="B52" s="272" t="s">
        <v>193</v>
      </c>
      <c r="C52" s="276">
        <v>17000</v>
      </c>
      <c r="D52" s="276">
        <v>204000</v>
      </c>
      <c r="E52" s="128">
        <f t="shared" si="8"/>
        <v>187000</v>
      </c>
      <c r="F52" s="102" t="s">
        <v>202</v>
      </c>
    </row>
    <row r="53" spans="1:6" x14ac:dyDescent="0.35">
      <c r="A53" s="1"/>
      <c r="B53" s="275" t="s">
        <v>197</v>
      </c>
      <c r="C53" s="132"/>
      <c r="D53" s="132"/>
      <c r="E53" s="269" t="e">
        <f>SUM(D45:D52)</f>
        <v>#REF!</v>
      </c>
      <c r="F53" s="1"/>
    </row>
    <row r="54" spans="1:6" x14ac:dyDescent="0.35">
      <c r="A54" s="1"/>
      <c r="B54" s="1"/>
      <c r="C54" s="1"/>
      <c r="D54" s="1"/>
      <c r="E54" s="1"/>
      <c r="F54" s="1"/>
    </row>
  </sheetData>
  <pageMargins left="0.7" right="0.7" top="0.75" bottom="0.75" header="0.3" footer="0.3"/>
  <pageSetup paperSize="9" orientation="portrait"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05B4B0-1746-4424-993E-55B45A593863}">
  <ds:schemaRefs>
    <ds:schemaRef ds:uri="http://schemas.microsoft.com/office/2006/metadata/properties"/>
    <ds:schemaRef ds:uri="http://schemas.microsoft.com/office/infopath/2007/PartnerControls"/>
    <ds:schemaRef ds:uri="e249ac2a-b211-4fea-a23e-058f661af758"/>
    <ds:schemaRef ds:uri="8f1b8a44-2e81-425d-8025-2e5e0436f25e"/>
  </ds:schemaRefs>
</ds:datastoreItem>
</file>

<file path=customXml/itemProps2.xml><?xml version="1.0" encoding="utf-8"?>
<ds:datastoreItem xmlns:ds="http://schemas.openxmlformats.org/officeDocument/2006/customXml" ds:itemID="{0D0BD4B8-59B7-4BB1-9DA0-4553B5643F32}">
  <ds:schemaRefs>
    <ds:schemaRef ds:uri="http://schemas.microsoft.com/sharepoint/v3/contenttype/forms"/>
  </ds:schemaRefs>
</ds:datastoreItem>
</file>

<file path=customXml/itemProps3.xml><?xml version="1.0" encoding="utf-8"?>
<ds:datastoreItem xmlns:ds="http://schemas.openxmlformats.org/officeDocument/2006/customXml" ds:itemID="{DA7FF422-25D7-40A0-A480-87876E89E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37</vt:i4>
      </vt:variant>
    </vt:vector>
  </HeadingPairs>
  <TitlesOfParts>
    <vt:vector size="41" baseType="lpstr">
      <vt:lpstr>Légende - Sources - Unités</vt:lpstr>
      <vt:lpstr>Modèle Emploi Auto</vt:lpstr>
      <vt:lpstr>Emploi actuel Batteries</vt:lpstr>
      <vt:lpstr>Visualisation</vt:lpstr>
      <vt:lpstr>CA_exp_constr_2018</vt:lpstr>
      <vt:lpstr>CA_int_constr_2018</vt:lpstr>
      <vt:lpstr>CA_tot_constr_2018</vt:lpstr>
      <vt:lpstr>croissance_prod</vt:lpstr>
      <vt:lpstr>effet_élec_indus</vt:lpstr>
      <vt:lpstr>effet_élec_maintenance</vt:lpstr>
      <vt:lpstr>'Modèle Emploi Auto'!élec_tot_final</vt:lpstr>
      <vt:lpstr>'Modèle Emploi Auto'!élec_VP_final</vt:lpstr>
      <vt:lpstr>'Modèle Emploi Auto'!élec_VUL_final</vt:lpstr>
      <vt:lpstr>etp_amont_actu</vt:lpstr>
      <vt:lpstr>etp_aval_actu</vt:lpstr>
      <vt:lpstr>etp_constr_actu</vt:lpstr>
      <vt:lpstr>etp_tot_actu</vt:lpstr>
      <vt:lpstr>exp_industrie_2018</vt:lpstr>
      <vt:lpstr>imp_industrie_2018</vt:lpstr>
      <vt:lpstr>'Modèle Emploi Auto'!marché_tot_évolution</vt:lpstr>
      <vt:lpstr>marché_tot_final</vt:lpstr>
      <vt:lpstr>marché_tot_initial</vt:lpstr>
      <vt:lpstr>'Modèle Emploi Auto'!marché_VP_évolution</vt:lpstr>
      <vt:lpstr>'Modèle Emploi Auto'!marché_VP_final</vt:lpstr>
      <vt:lpstr>'Modèle Emploi Auto'!marché_VP_initial</vt:lpstr>
      <vt:lpstr>'Modèle Emploi Auto'!marché_VUL_évolution</vt:lpstr>
      <vt:lpstr>'Modèle Emploi Auto'!marché_VUL_final</vt:lpstr>
      <vt:lpstr>'Modèle Emploi Auto'!marché_VUL_initial</vt:lpstr>
      <vt:lpstr>'Modèle Emploi Auto'!mob_tot_évolution</vt:lpstr>
      <vt:lpstr>mob_tot_final</vt:lpstr>
      <vt:lpstr>mob_tot_initial</vt:lpstr>
      <vt:lpstr>'Modèle Emploi Auto'!mob_VP_évolution</vt:lpstr>
      <vt:lpstr>'Modèle Emploi Auto'!mob_VP_final</vt:lpstr>
      <vt:lpstr>'Modèle Emploi Auto'!mob_VP_initial</vt:lpstr>
      <vt:lpstr>'Modèle Emploi Auto'!mob_VUL_évolution</vt:lpstr>
      <vt:lpstr>'Modèle Emploi Auto'!mob_VUL_final</vt:lpstr>
      <vt:lpstr>'Modèle Emploi Auto'!mob_VUL_initial</vt:lpstr>
      <vt:lpstr>nb_annees</vt:lpstr>
      <vt:lpstr>prod_constr_évolution</vt:lpstr>
      <vt:lpstr>prod_constr_final_valeur</vt:lpstr>
      <vt:lpstr>prod_constr_initial_valeur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Vinciane</dc:creator>
  <cp:keywords/>
  <dc:description/>
  <cp:lastModifiedBy>Vinciane Martin</cp:lastModifiedBy>
  <cp:revision>1</cp:revision>
  <dcterms:created xsi:type="dcterms:W3CDTF">2020-06-29T15:29:02Z</dcterms:created>
  <dcterms:modified xsi:type="dcterms:W3CDTF">2026-03-25T11:35:16Z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