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Ex1.xml" ContentType="application/vnd.ms-office.chartex+xml"/>
  <Override PartName="/xl/charts/style4.xml" ContentType="application/vnd.ms-office.chartstyle+xml"/>
  <Override PartName="/xl/charts/colors4.xml" ContentType="application/vnd.ms-office.chartcolorstyle+xml"/>
  <Override PartName="/xl/charts/chartEx2.xml" ContentType="application/vnd.ms-office.chartex+xml"/>
  <Override PartName="/xl/charts/style5.xml" ContentType="application/vnd.ms-office.chartstyle+xml"/>
  <Override PartName="/xl/charts/colors5.xml" ContentType="application/vnd.ms-office.chartcolorstyle+xml"/>
  <Override PartName="/xl/charts/chartEx3.xml" ContentType="application/vnd.ms-office.chartex+xml"/>
  <Override PartName="/xl/charts/style6.xml" ContentType="application/vnd.ms-office.chartstyle+xml"/>
  <Override PartName="/xl/charts/colors6.xml" ContentType="application/vnd.ms-office.chartcolorstyle+xml"/>
  <Override PartName="/xl/charts/chart4.xml" ContentType="application/vnd.openxmlformats-officedocument.drawingml.chart+xml"/>
  <Override PartName="/xl/charts/style7.xml" ContentType="application/vnd.ms-office.chartstyle+xml"/>
  <Override PartName="/xl/charts/colors7.xml" ContentType="application/vnd.ms-office.chartcolorstyle+xml"/>
  <Override PartName="/xl/charts/chart5.xml" ContentType="application/vnd.openxmlformats-officedocument.drawingml.chart+xml"/>
  <Override PartName="/xl/charts/style8.xml" ContentType="application/vnd.ms-office.chartstyle+xml"/>
  <Override PartName="/xl/charts/colors8.xml" ContentType="application/vnd.ms-office.chartcolorstyle+xml"/>
  <Override PartName="/xl/charts/chart6.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xml" ContentType="application/vnd.openxmlformats-officedocument.drawing+xml"/>
  <Override PartName="/xl/charts/chart7.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3.xml" ContentType="application/vnd.openxmlformats-officedocument.drawing+xml"/>
  <Override PartName="/xl/charts/chart8.xml" ContentType="application/vnd.openxmlformats-officedocument.drawingml.chart+xml"/>
  <Override PartName="/xl/charts/style11.xml" ContentType="application/vnd.ms-office.chartstyle+xml"/>
  <Override PartName="/xl/charts/colors11.xml" ContentType="application/vnd.ms-office.chartcolorstyle+xml"/>
  <Override PartName="/xl/charts/chart9.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4.xml" ContentType="application/vnd.openxmlformats-officedocument.drawing+xml"/>
  <Override PartName="/xl/charts/chart10.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5.xml" ContentType="application/vnd.openxmlformats-officedocument.drawing+xml"/>
  <Override PartName="/xl/charts/chart11.xml" ContentType="application/vnd.openxmlformats-officedocument.drawingml.chart+xml"/>
  <Override PartName="/xl/charts/style14.xml" ContentType="application/vnd.ms-office.chartstyle+xml"/>
  <Override PartName="/xl/charts/colors14.xml" ContentType="application/vnd.ms-office.chartcolorstyle+xml"/>
  <Override PartName="/xl/charts/chart12.xml" ContentType="application/vnd.openxmlformats-officedocument.drawingml.chart+xml"/>
  <Override PartName="/xl/charts/style15.xml" ContentType="application/vnd.ms-office.chartstyle+xml"/>
  <Override PartName="/xl/charts/colors15.xml" ContentType="application/vnd.ms-office.chartcolorstyle+xml"/>
  <Override PartName="/xl/charts/chart13.xml" ContentType="application/vnd.openxmlformats-officedocument.drawingml.chart+xml"/>
  <Override PartName="/xl/charts/style16.xml" ContentType="application/vnd.ms-office.chartstyle+xml"/>
  <Override PartName="/xl/charts/colors16.xml" ContentType="application/vnd.ms-office.chartcolorstyle+xml"/>
  <Override PartName="/xl/charts/chart14.xml" ContentType="application/vnd.openxmlformats-officedocument.drawingml.chart+xml"/>
  <Override PartName="/xl/charts/style17.xml" ContentType="application/vnd.ms-office.chartstyle+xml"/>
  <Override PartName="/xl/charts/colors17.xml" ContentType="application/vnd.ms-office.chartcolorstyle+xml"/>
  <Override PartName="/xl/charts/chart15.xml" ContentType="application/vnd.openxmlformats-officedocument.drawingml.chart+xml"/>
  <Override PartName="/xl/charts/style18.xml" ContentType="application/vnd.ms-office.chartstyle+xml"/>
  <Override PartName="/xl/charts/colors18.xml" ContentType="application/vnd.ms-office.chartcolorstyle+xml"/>
  <Override PartName="/xl/charts/chart16.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6.xml" ContentType="application/vnd.openxmlformats-officedocument.drawing+xml"/>
  <Override PartName="/xl/charts/chart17.xml" ContentType="application/vnd.openxmlformats-officedocument.drawingml.chart+xml"/>
  <Override PartName="/xl/charts/style20.xml" ContentType="application/vnd.ms-office.chartstyle+xml"/>
  <Override PartName="/xl/charts/colors20.xml" ContentType="application/vnd.ms-office.chartcolorstyle+xml"/>
  <Override PartName="/xl/charts/chart18.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7.xml" ContentType="application/vnd.openxmlformats-officedocument.drawing+xml"/>
  <Override PartName="/xl/charts/chart19.xml" ContentType="application/vnd.openxmlformats-officedocument.drawingml.chart+xml"/>
  <Override PartName="/xl/charts/style22.xml" ContentType="application/vnd.ms-office.chartstyle+xml"/>
  <Override PartName="/xl/charts/colors22.xml" ContentType="application/vnd.ms-office.chartcolorstyle+xml"/>
  <Override PartName="/xl/charts/chart20.xml" ContentType="application/vnd.openxmlformats-officedocument.drawingml.chart+xml"/>
  <Override PartName="/xl/charts/style23.xml" ContentType="application/vnd.ms-office.chartstyle+xml"/>
  <Override PartName="/xl/charts/colors23.xml" ContentType="application/vnd.ms-office.chartcolorstyle+xml"/>
  <Override PartName="/xl/charts/chart21.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8.xml" ContentType="application/vnd.openxmlformats-officedocument.drawing+xml"/>
  <Override PartName="/xl/charts/chart22.xml" ContentType="application/vnd.openxmlformats-officedocument.drawingml.chart+xml"/>
  <Override PartName="/xl/charts/style25.xml" ContentType="application/vnd.ms-office.chartstyle+xml"/>
  <Override PartName="/xl/charts/colors25.xml" ContentType="application/vnd.ms-office.chartcolorstyle+xml"/>
  <Override PartName="/xl/charts/chart23.xml" ContentType="application/vnd.openxmlformats-officedocument.drawingml.chart+xml"/>
  <Override PartName="/xl/charts/style26.xml" ContentType="application/vnd.ms-office.chartstyle+xml"/>
  <Override PartName="/xl/charts/colors26.xml" ContentType="application/vnd.ms-office.chartcolorstyle+xml"/>
  <Override PartName="/xl/charts/chart24.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9.xml" ContentType="application/vnd.openxmlformats-officedocument.drawing+xml"/>
  <Override PartName="/xl/drawings/drawing10.xml" ContentType="application/vnd.openxmlformats-officedocument.drawing+xml"/>
  <Override PartName="/xl/charts/chart25.xml" ContentType="application/vnd.openxmlformats-officedocument.drawingml.chart+xml"/>
  <Override PartName="/xl/charts/style28.xml" ContentType="application/vnd.ms-office.chartstyle+xml"/>
  <Override PartName="/xl/charts/colors28.xml" ContentType="application/vnd.ms-office.chartcolorstyle+xml"/>
  <Override PartName="/xl/charts/chart26.xml" ContentType="application/vnd.openxmlformats-officedocument.drawingml.chart+xml"/>
  <Override PartName="/xl/charts/style29.xml" ContentType="application/vnd.ms-office.chartstyle+xml"/>
  <Override PartName="/xl/charts/colors29.xml" ContentType="application/vnd.ms-office.chartcolorstyle+xml"/>
  <Override PartName="/xl/charts/chart27.xml" ContentType="application/vnd.openxmlformats-officedocument.drawingml.chart+xml"/>
  <Override PartName="/xl/charts/style30.xml" ContentType="application/vnd.ms-office.chartstyle+xml"/>
  <Override PartName="/xl/charts/colors30.xml" ContentType="application/vnd.ms-office.chartcolorstyle+xml"/>
  <Override PartName="/xl/charts/chart28.xml" ContentType="application/vnd.openxmlformats-officedocument.drawingml.chart+xml"/>
  <Override PartName="/xl/charts/style31.xml" ContentType="application/vnd.ms-office.chartstyle+xml"/>
  <Override PartName="/xl/charts/colors31.xml" ContentType="application/vnd.ms-office.chartcolorstyle+xml"/>
  <Override PartName="/xl/charts/chart29.xml" ContentType="application/vnd.openxmlformats-officedocument.drawingml.chart+xml"/>
  <Override PartName="/xl/charts/style32.xml" ContentType="application/vnd.ms-office.chartstyle+xml"/>
  <Override PartName="/xl/charts/colors32.xml" ContentType="application/vnd.ms-office.chartcolorstyle+xml"/>
  <Override PartName="/xl/drawings/drawing11.xml" ContentType="application/vnd.openxmlformats-officedocument.drawing+xml"/>
  <Override PartName="/xl/comments2.xml" ContentType="application/vnd.openxmlformats-officedocument.spreadsheetml.comments+xml"/>
  <Override PartName="/xl/charts/chart30.xml" ContentType="application/vnd.openxmlformats-officedocument.drawingml.chart+xml"/>
  <Override PartName="/xl/charts/style33.xml" ContentType="application/vnd.ms-office.chartstyle+xml"/>
  <Override PartName="/xl/charts/colors33.xml" ContentType="application/vnd.ms-office.chartcolorstyle+xml"/>
  <Override PartName="/xl/charts/chart31.xml" ContentType="application/vnd.openxmlformats-officedocument.drawingml.chart+xml"/>
  <Override PartName="/xl/charts/style34.xml" ContentType="application/vnd.ms-office.chartstyle+xml"/>
  <Override PartName="/xl/charts/colors34.xml" ContentType="application/vnd.ms-office.chartcolorstyle+xml"/>
  <Override PartName="/xl/charts/chart32.xml" ContentType="application/vnd.openxmlformats-officedocument.drawingml.chart+xml"/>
  <Override PartName="/xl/charts/style35.xml" ContentType="application/vnd.ms-office.chartstyle+xml"/>
  <Override PartName="/xl/charts/colors35.xml" ContentType="application/vnd.ms-office.chartcolorstyle+xml"/>
  <Override PartName="/xl/charts/chart33.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12.xml" ContentType="application/vnd.openxmlformats-officedocument.drawing+xml"/>
  <Override PartName="/xl/charts/chart34.xml" ContentType="application/vnd.openxmlformats-officedocument.drawingml.chart+xml"/>
  <Override PartName="/xl/charts/style37.xml" ContentType="application/vnd.ms-office.chartstyle+xml"/>
  <Override PartName="/xl/charts/colors37.xml" ContentType="application/vnd.ms-office.chartcolorstyle+xml"/>
  <Override PartName="/xl/charts/chart35.xml" ContentType="application/vnd.openxmlformats-officedocument.drawingml.chart+xml"/>
  <Override PartName="/xl/charts/style38.xml" ContentType="application/vnd.ms-office.chartstyle+xml"/>
  <Override PartName="/xl/charts/colors38.xml" ContentType="application/vnd.ms-office.chartcolorstyle+xml"/>
  <Override PartName="/xl/drawings/drawing13.xml" ContentType="application/vnd.openxmlformats-officedocument.drawing+xml"/>
  <Override PartName="/xl/charts/chart36.xml" ContentType="application/vnd.openxmlformats-officedocument.drawingml.chart+xml"/>
  <Override PartName="/xl/charts/style39.xml" ContentType="application/vnd.ms-office.chartstyle+xml"/>
  <Override PartName="/xl/charts/colors39.xml" ContentType="application/vnd.ms-office.chartcolorstyle+xml"/>
  <Override PartName="/xl/charts/chart37.xml" ContentType="application/vnd.openxmlformats-officedocument.drawingml.chart+xml"/>
  <Override PartName="/xl/charts/style40.xml" ContentType="application/vnd.ms-office.chartstyle+xml"/>
  <Override PartName="/xl/charts/colors40.xml" ContentType="application/vnd.ms-office.chartcolorstyle+xml"/>
  <Override PartName="/xl/charts/chart38.xml" ContentType="application/vnd.openxmlformats-officedocument.drawingml.chart+xml"/>
  <Override PartName="/xl/charts/style41.xml" ContentType="application/vnd.ms-office.chartstyle+xml"/>
  <Override PartName="/xl/charts/colors41.xml" ContentType="application/vnd.ms-office.chartcolorstyle+xml"/>
  <Override PartName="/xl/charts/chart39.xml" ContentType="application/vnd.openxmlformats-officedocument.drawingml.chart+xml"/>
  <Override PartName="/xl/charts/style42.xml" ContentType="application/vnd.ms-office.chartstyle+xml"/>
  <Override PartName="/xl/charts/colors42.xml" ContentType="application/vnd.ms-office.chartcolorstyle+xml"/>
  <Override PartName="/xl/charts/chart40.xml" ContentType="application/vnd.openxmlformats-officedocument.drawingml.chart+xml"/>
  <Override PartName="/xl/charts/style43.xml" ContentType="application/vnd.ms-office.chartstyle+xml"/>
  <Override PartName="/xl/charts/colors43.xml" ContentType="application/vnd.ms-office.chartcolorstyle+xml"/>
  <Override PartName="/xl/charts/chart41.xml" ContentType="application/vnd.openxmlformats-officedocument.drawingml.chart+xml"/>
  <Override PartName="/xl/charts/style44.xml" ContentType="application/vnd.ms-office.chartstyle+xml"/>
  <Override PartName="/xl/charts/colors44.xml" ContentType="application/vnd.ms-office.chartcolorstyle+xml"/>
  <Override PartName="/xl/charts/chart42.xml" ContentType="application/vnd.openxmlformats-officedocument.drawingml.chart+xml"/>
  <Override PartName="/xl/charts/style45.xml" ContentType="application/vnd.ms-office.chartstyle+xml"/>
  <Override PartName="/xl/charts/colors45.xml" ContentType="application/vnd.ms-office.chartcolorstyle+xml"/>
  <Override PartName="/xl/charts/chart43.xml" ContentType="application/vnd.openxmlformats-officedocument.drawingml.chart+xml"/>
  <Override PartName="/xl/charts/style46.xml" ContentType="application/vnd.ms-office.chartstyle+xml"/>
  <Override PartName="/xl/charts/colors46.xml" ContentType="application/vnd.ms-office.chartcolorstyle+xml"/>
  <Override PartName="/xl/charts/chart44.xml" ContentType="application/vnd.openxmlformats-officedocument.drawingml.chart+xml"/>
  <Override PartName="/xl/charts/style47.xml" ContentType="application/vnd.ms-office.chartstyle+xml"/>
  <Override PartName="/xl/charts/colors47.xml" ContentType="application/vnd.ms-office.chartcolorstyle+xml"/>
  <Override PartName="/xl/drawings/drawing14.xml" ContentType="application/vnd.openxmlformats-officedocument.drawing+xml"/>
  <Override PartName="/xl/charts/chart45.xml" ContentType="application/vnd.openxmlformats-officedocument.drawingml.chart+xml"/>
  <Override PartName="/xl/charts/style48.xml" ContentType="application/vnd.ms-office.chartstyle+xml"/>
  <Override PartName="/xl/charts/colors48.xml" ContentType="application/vnd.ms-office.chartcolorstyle+xml"/>
  <Override PartName="/xl/charts/chart46.xml" ContentType="application/vnd.openxmlformats-officedocument.drawingml.chart+xml"/>
  <Override PartName="/xl/charts/style49.xml" ContentType="application/vnd.ms-office.chartstyle+xml"/>
  <Override PartName="/xl/charts/colors49.xml" ContentType="application/vnd.ms-office.chartcolorstyle+xml"/>
  <Override PartName="/xl/charts/chart47.xml" ContentType="application/vnd.openxmlformats-officedocument.drawingml.chart+xml"/>
  <Override PartName="/xl/charts/style50.xml" ContentType="application/vnd.ms-office.chartstyle+xml"/>
  <Override PartName="/xl/charts/colors50.xml" ContentType="application/vnd.ms-office.chartcolorstyle+xml"/>
  <Override PartName="/xl/charts/chart48.xml" ContentType="application/vnd.openxmlformats-officedocument.drawingml.chart+xml"/>
  <Override PartName="/xl/charts/style51.xml" ContentType="application/vnd.ms-office.chartstyle+xml"/>
  <Override PartName="/xl/charts/colors51.xml" ContentType="application/vnd.ms-office.chartcolorstyle+xml"/>
  <Override PartName="/xl/charts/chart49.xml" ContentType="application/vnd.openxmlformats-officedocument.drawingml.chart+xml"/>
  <Override PartName="/xl/charts/style52.xml" ContentType="application/vnd.ms-office.chartstyle+xml"/>
  <Override PartName="/xl/charts/colors52.xml" ContentType="application/vnd.ms-office.chartcolorstyle+xml"/>
  <Override PartName="/xl/drawings/drawing15.xml" ContentType="application/vnd.openxmlformats-officedocument.drawing+xml"/>
  <Override PartName="/xl/comments3.xml" ContentType="application/vnd.openxmlformats-officedocument.spreadsheetml.comments+xml"/>
  <Override PartName="/xl/charts/chart50.xml" ContentType="application/vnd.openxmlformats-officedocument.drawingml.chart+xml"/>
  <Override PartName="/xl/charts/style53.xml" ContentType="application/vnd.ms-office.chartstyle+xml"/>
  <Override PartName="/xl/charts/colors53.xml" ContentType="application/vnd.ms-office.chartcolorstyle+xml"/>
  <Override PartName="/xl/charts/chart51.xml" ContentType="application/vnd.openxmlformats-officedocument.drawingml.chart+xml"/>
  <Override PartName="/xl/charts/style54.xml" ContentType="application/vnd.ms-office.chartstyle+xml"/>
  <Override PartName="/xl/charts/colors54.xml" ContentType="application/vnd.ms-office.chartcolorstyle+xml"/>
  <Override PartName="/xl/charts/chart52.xml" ContentType="application/vnd.openxmlformats-officedocument.drawingml.chart+xml"/>
  <Override PartName="/xl/charts/style55.xml" ContentType="application/vnd.ms-office.chartstyle+xml"/>
  <Override PartName="/xl/charts/colors55.xml" ContentType="application/vnd.ms-office.chartcolorstyle+xml"/>
  <Override PartName="/xl/charts/chart53.xml" ContentType="application/vnd.openxmlformats-officedocument.drawingml.chart+xml"/>
  <Override PartName="/xl/charts/style56.xml" ContentType="application/vnd.ms-office.chartstyle+xml"/>
  <Override PartName="/xl/charts/colors56.xml" ContentType="application/vnd.ms-office.chartcolorstyle+xml"/>
  <Override PartName="/xl/drawings/drawing16.xml" ContentType="application/vnd.openxmlformats-officedocument.drawing+xml"/>
  <Override PartName="/xl/comments4.xml" ContentType="application/vnd.openxmlformats-officedocument.spreadsheetml.comments+xml"/>
  <Override PartName="/xl/charts/chart54.xml" ContentType="application/vnd.openxmlformats-officedocument.drawingml.chart+xml"/>
  <Override PartName="/xl/charts/style57.xml" ContentType="application/vnd.ms-office.chartstyle+xml"/>
  <Override PartName="/xl/charts/colors57.xml" ContentType="application/vnd.ms-office.chartcolorstyle+xml"/>
  <Override PartName="/xl/charts/chart55.xml" ContentType="application/vnd.openxmlformats-officedocument.drawingml.chart+xml"/>
  <Override PartName="/xl/charts/style58.xml" ContentType="application/vnd.ms-office.chartstyle+xml"/>
  <Override PartName="/xl/charts/colors58.xml" ContentType="application/vnd.ms-office.chartcolorstyle+xml"/>
  <Override PartName="/xl/drawings/drawing17.xml" ContentType="application/vnd.openxmlformats-officedocument.drawing+xml"/>
  <Override PartName="/xl/comments5.xml" ContentType="application/vnd.openxmlformats-officedocument.spreadsheetml.comments+xml"/>
  <Override PartName="/xl/charts/chart56.xml" ContentType="application/vnd.openxmlformats-officedocument.drawingml.chart+xml"/>
  <Override PartName="/xl/charts/style59.xml" ContentType="application/vnd.ms-office.chartstyle+xml"/>
  <Override PartName="/xl/charts/colors59.xml" ContentType="application/vnd.ms-office.chartcolorstyle+xml"/>
  <Override PartName="/xl/charts/chart57.xml" ContentType="application/vnd.openxmlformats-officedocument.drawingml.chart+xml"/>
  <Override PartName="/xl/charts/style60.xml" ContentType="application/vnd.ms-office.chartstyle+xml"/>
  <Override PartName="/xl/charts/colors60.xml" ContentType="application/vnd.ms-office.chartcolorstyle+xml"/>
  <Override PartName="/xl/charts/chart58.xml" ContentType="application/vnd.openxmlformats-officedocument.drawingml.chart+xml"/>
  <Override PartName="/xl/charts/style61.xml" ContentType="application/vnd.ms-office.chartstyle+xml"/>
  <Override PartName="/xl/charts/colors61.xml" ContentType="application/vnd.ms-office.chartcolorstyle+xml"/>
  <Override PartName="/xl/charts/chartEx4.xml" ContentType="application/vnd.ms-office.chartex+xml"/>
  <Override PartName="/xl/charts/style62.xml" ContentType="application/vnd.ms-office.chartstyle+xml"/>
  <Override PartName="/xl/charts/colors62.xml" ContentType="application/vnd.ms-office.chartcolorstyle+xml"/>
  <Override PartName="/xl/drawings/drawing18.xml" ContentType="application/vnd.openxmlformats-officedocument.drawing+xml"/>
  <Override PartName="/xl/charts/chart59.xml" ContentType="application/vnd.openxmlformats-officedocument.drawingml.chart+xml"/>
  <Override PartName="/xl/charts/style63.xml" ContentType="application/vnd.ms-office.chartstyle+xml"/>
  <Override PartName="/xl/charts/colors63.xml" ContentType="application/vnd.ms-office.chartcolorstyle+xml"/>
  <Override PartName="/xl/charts/chart60.xml" ContentType="application/vnd.openxmlformats-officedocument.drawingml.chart+xml"/>
  <Override PartName="/xl/charts/style64.xml" ContentType="application/vnd.ms-office.chartstyle+xml"/>
  <Override PartName="/xl/charts/colors64.xml" ContentType="application/vnd.ms-office.chartcolorstyle+xml"/>
  <Override PartName="/xl/charts/chart61.xml" ContentType="application/vnd.openxmlformats-officedocument.drawingml.chart+xml"/>
  <Override PartName="/xl/charts/style65.xml" ContentType="application/vnd.ms-office.chartstyle+xml"/>
  <Override PartName="/xl/charts/colors65.xml" ContentType="application/vnd.ms-office.chartcolorstyle+xml"/>
  <Override PartName="/xl/charts/chart62.xml" ContentType="application/vnd.openxmlformats-officedocument.drawingml.chart+xml"/>
  <Override PartName="/xl/charts/style66.xml" ContentType="application/vnd.ms-office.chartstyle+xml"/>
  <Override PartName="/xl/charts/colors66.xml" ContentType="application/vnd.ms-office.chartcolorstyle+xml"/>
  <Override PartName="/xl/charts/chart63.xml" ContentType="application/vnd.openxmlformats-officedocument.drawingml.chart+xml"/>
  <Override PartName="/xl/charts/style67.xml" ContentType="application/vnd.ms-office.chartstyle+xml"/>
  <Override PartName="/xl/charts/colors67.xml" ContentType="application/vnd.ms-office.chartcolorstyle+xml"/>
  <Override PartName="/xl/charts/chart64.xml" ContentType="application/vnd.openxmlformats-officedocument.drawingml.chart+xml"/>
  <Override PartName="/xl/charts/style68.xml" ContentType="application/vnd.ms-office.chartstyle+xml"/>
  <Override PartName="/xl/charts/colors68.xml" ContentType="application/vnd.ms-office.chartcolorstyle+xml"/>
  <Override PartName="/xl/charts/chart65.xml" ContentType="application/vnd.openxmlformats-officedocument.drawingml.chart+xml"/>
  <Override PartName="/xl/charts/style69.xml" ContentType="application/vnd.ms-office.chartstyle+xml"/>
  <Override PartName="/xl/charts/colors69.xml" ContentType="application/vnd.ms-office.chartcolorstyle+xml"/>
  <Override PartName="/xl/charts/chart66.xml" ContentType="application/vnd.openxmlformats-officedocument.drawingml.chart+xml"/>
  <Override PartName="/xl/charts/style70.xml" ContentType="application/vnd.ms-office.chartstyle+xml"/>
  <Override PartName="/xl/charts/colors70.xml" ContentType="application/vnd.ms-office.chartcolorstyle+xml"/>
  <Override PartName="/xl/charts/chart67.xml" ContentType="application/vnd.openxmlformats-officedocument.drawingml.chart+xml"/>
  <Override PartName="/xl/charts/style71.xml" ContentType="application/vnd.ms-office.chartstyle+xml"/>
  <Override PartName="/xl/charts/colors71.xml" ContentType="application/vnd.ms-office.chartcolorstyle+xml"/>
  <Override PartName="/xl/charts/chart68.xml" ContentType="application/vnd.openxmlformats-officedocument.drawingml.chart+xml"/>
  <Override PartName="/xl/charts/style72.xml" ContentType="application/vnd.ms-office.chartstyle+xml"/>
  <Override PartName="/xl/charts/colors72.xml" ContentType="application/vnd.ms-office.chartcolorstyle+xml"/>
  <Override PartName="/xl/charts/chart69.xml" ContentType="application/vnd.openxmlformats-officedocument.drawingml.chart+xml"/>
  <Override PartName="/xl/charts/style73.xml" ContentType="application/vnd.ms-office.chartstyle+xml"/>
  <Override PartName="/xl/charts/colors73.xml" ContentType="application/vnd.ms-office.chartcolorstyle+xml"/>
  <Override PartName="/xl/charts/chart70.xml" ContentType="application/vnd.openxmlformats-officedocument.drawingml.chart+xml"/>
  <Override PartName="/xl/charts/style74.xml" ContentType="application/vnd.ms-office.chartstyle+xml"/>
  <Override PartName="/xl/charts/colors74.xml" ContentType="application/vnd.ms-office.chartcolorstyle+xml"/>
  <Override PartName="/xl/drawings/drawing19.xml" ContentType="application/vnd.openxmlformats-officedocument.drawing+xml"/>
  <Override PartName="/xl/charts/chart71.xml" ContentType="application/vnd.openxmlformats-officedocument.drawingml.chart+xml"/>
  <Override PartName="/xl/charts/style75.xml" ContentType="application/vnd.ms-office.chartstyle+xml"/>
  <Override PartName="/xl/charts/colors75.xml" ContentType="application/vnd.ms-office.chartcolorstyle+xml"/>
  <Override PartName="/xl/charts/chart72.xml" ContentType="application/vnd.openxmlformats-officedocument.drawingml.chart+xml"/>
  <Override PartName="/xl/charts/style76.xml" ContentType="application/vnd.ms-office.chartstyle+xml"/>
  <Override PartName="/xl/charts/colors76.xml" ContentType="application/vnd.ms-office.chartcolorstyle+xml"/>
  <Override PartName="/xl/charts/chart73.xml" ContentType="application/vnd.openxmlformats-officedocument.drawingml.chart+xml"/>
  <Override PartName="/xl/charts/style77.xml" ContentType="application/vnd.ms-office.chartstyle+xml"/>
  <Override PartName="/xl/charts/colors77.xml" ContentType="application/vnd.ms-office.chartcolorstyle+xml"/>
  <Override PartName="/xl/charts/chart74.xml" ContentType="application/vnd.openxmlformats-officedocument.drawingml.chart+xml"/>
  <Override PartName="/xl/charts/style78.xml" ContentType="application/vnd.ms-office.chartstyle+xml"/>
  <Override PartName="/xl/charts/colors78.xml" ContentType="application/vnd.ms-office.chartcolorstyle+xml"/>
  <Override PartName="/xl/charts/chart75.xml" ContentType="application/vnd.openxmlformats-officedocument.drawingml.chart+xml"/>
  <Override PartName="/xl/charts/style79.xml" ContentType="application/vnd.ms-office.chartstyle+xml"/>
  <Override PartName="/xl/charts/colors79.xml" ContentType="application/vnd.ms-office.chartcolorstyle+xml"/>
  <Override PartName="/xl/charts/chart76.xml" ContentType="application/vnd.openxmlformats-officedocument.drawingml.chart+xml"/>
  <Override PartName="/xl/charts/style80.xml" ContentType="application/vnd.ms-office.chartstyle+xml"/>
  <Override PartName="/xl/charts/colors80.xml" ContentType="application/vnd.ms-office.chartcolorstyle+xml"/>
  <Override PartName="/xl/drawings/drawing20.xml" ContentType="application/vnd.openxmlformats-officedocument.drawing+xml"/>
  <Override PartName="/xl/charts/chart77.xml" ContentType="application/vnd.openxmlformats-officedocument.drawingml.chart+xml"/>
  <Override PartName="/xl/charts/style81.xml" ContentType="application/vnd.ms-office.chartstyle+xml"/>
  <Override PartName="/xl/charts/colors81.xml" ContentType="application/vnd.ms-office.chartcolorstyle+xml"/>
  <Override PartName="/xl/drawings/drawing21.xml" ContentType="application/vnd.openxmlformats-officedocument.drawingml.chartshapes+xml"/>
  <Override PartName="/xl/drawings/drawing22.xml" ContentType="application/vnd.openxmlformats-officedocument.drawing+xml"/>
  <Override PartName="/xl/charts/chart78.xml" ContentType="application/vnd.openxmlformats-officedocument.drawingml.chart+xml"/>
  <Override PartName="/xl/charts/style82.xml" ContentType="application/vnd.ms-office.chartstyle+xml"/>
  <Override PartName="/xl/charts/colors82.xml" ContentType="application/vnd.ms-office.chartcolorstyle+xml"/>
  <Override PartName="/xl/drawings/drawing23.xml" ContentType="application/vnd.openxmlformats-officedocument.drawing+xml"/>
  <Override PartName="/xl/comments6.xml" ContentType="application/vnd.openxmlformats-officedocument.spreadsheetml.comments+xml"/>
  <Override PartName="/xl/drawings/drawing24.xml" ContentType="application/vnd.openxmlformats-officedocument.drawing+xml"/>
  <Override PartName="/xl/charts/chart79.xml" ContentType="application/vnd.openxmlformats-officedocument.drawingml.chart+xml"/>
  <Override PartName="/xl/charts/style83.xml" ContentType="application/vnd.ms-office.chartstyle+xml"/>
  <Override PartName="/xl/charts/colors83.xml" ContentType="application/vnd.ms-office.chartcolorstyle+xml"/>
  <Override PartName="/xl/drawings/drawing25.xml" ContentType="application/vnd.openxmlformats-officedocument.drawing+xml"/>
  <Override PartName="/xl/comments7.xml" ContentType="application/vnd.openxmlformats-officedocument.spreadsheetml.comments+xml"/>
  <Override PartName="/xl/charts/chartEx5.xml" ContentType="application/vnd.ms-office.chartex+xml"/>
  <Override PartName="/xl/charts/style84.xml" ContentType="application/vnd.ms-office.chartstyle+xml"/>
  <Override PartName="/xl/charts/colors84.xml" ContentType="application/vnd.ms-office.chartcolorstyle+xml"/>
  <Override PartName="/xl/charts/chart80.xml" ContentType="application/vnd.openxmlformats-officedocument.drawingml.chart+xml"/>
  <Override PartName="/xl/charts/style85.xml" ContentType="application/vnd.ms-office.chartstyle+xml"/>
  <Override PartName="/xl/charts/colors85.xml" ContentType="application/vnd.ms-office.chartcolorstyle+xml"/>
  <Override PartName="/xl/drawings/drawing26.xml" ContentType="application/vnd.openxmlformats-officedocument.drawing+xml"/>
  <Override PartName="/xl/charts/chart81.xml" ContentType="application/vnd.openxmlformats-officedocument.drawingml.chart+xml"/>
  <Override PartName="/xl/charts/style86.xml" ContentType="application/vnd.ms-office.chartstyle+xml"/>
  <Override PartName="/xl/charts/colors86.xml" ContentType="application/vnd.ms-office.chartcolorstyle+xml"/>
  <Override PartName="/xl/charts/chart82.xml" ContentType="application/vnd.openxmlformats-officedocument.drawingml.chart+xml"/>
  <Override PartName="/xl/charts/style87.xml" ContentType="application/vnd.ms-office.chartstyle+xml"/>
  <Override PartName="/xl/charts/colors87.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4"/>
  <workbookPr/>
  <mc:AlternateContent xmlns:mc="http://schemas.openxmlformats.org/markup-compatibility/2006">
    <mc:Choice Requires="x15">
      <x15ac:absPath xmlns:x15ac="http://schemas.microsoft.com/office/spreadsheetml/2010/11/ac" url="C:\Users\terra\Downloads\"/>
    </mc:Choice>
  </mc:AlternateContent>
  <xr:revisionPtr revIDLastSave="0" documentId="13_ncr:1_{5D09245D-D0FB-4567-B159-77AFF375C940}" xr6:coauthVersionLast="47" xr6:coauthVersionMax="47" xr10:uidLastSave="{00000000-0000-0000-0000-000000000000}"/>
  <bookViews>
    <workbookView xWindow="-110" yWindow="-110" windowWidth="19420" windowHeight="10300" tabRatio="798" xr2:uid="{6F1364BA-42AC-457B-85D0-CCAAB7557682}"/>
  </bookViews>
  <sheets>
    <sheet name="Lisez-moi" sheetId="45" r:id="rId1"/>
    <sheet name="Résultats généraux" sheetId="31" r:id="rId2"/>
    <sheet name="Résultats relocalisation" sheetId="44" r:id="rId3"/>
    <sheet name="Couverture périmètre" sheetId="9" r:id="rId4"/>
    <sheet name="Consommables - consos hôpital" sheetId="27" r:id="rId5"/>
    <sheet name="EPI" sheetId="28" r:id="rId6"/>
    <sheet name="Consommables plastiques" sheetId="29" r:id="rId7"/>
    <sheet name="Dispositifs urologie" sheetId="37" r:id="rId8"/>
    <sheet name="Incontinence" sheetId="26" r:id="rId9"/>
    <sheet name="Pansements" sheetId="30" r:id="rId10"/>
    <sheet name="Trait. &amp; surv. diabète" sheetId="34" r:id="rId11"/>
    <sheet name="Instruments" sheetId="32" r:id="rId12"/>
    <sheet name="Optique" sheetId="17" r:id="rId13"/>
    <sheet name="Aides auditives" sheetId="19" r:id="rId14"/>
    <sheet name="Orthèses" sheetId="16" r:id="rId15"/>
    <sheet name="Aides techniques" sheetId="18" r:id="rId16"/>
    <sheet name="Equipements d'imagerie" sheetId="14" r:id="rId17"/>
    <sheet name="Equipements path. respiratoire" sheetId="25" r:id="rId18"/>
    <sheet name="Equipements électro-médicaux" sheetId="39" r:id="rId19"/>
    <sheet name="Implants orthopédiques" sheetId="22" r:id="rId20"/>
    <sheet name="DM-DIV" sheetId="33" r:id="rId21"/>
    <sheet name="Corpo et R&amp;D" sheetId="35" r:id="rId22"/>
    <sheet name="Compléments alimentaires" sheetId="23" r:id="rId23"/>
    <sheet name="Annexe - Logistique" sheetId="15" r:id="rId24"/>
    <sheet name="Annexe - stérilisation" sheetId="11" r:id="rId25"/>
    <sheet name="Annexe - Matériaux" sheetId="20" r:id="rId26"/>
    <sheet name="Annexe - Salles blanches" sheetId="21" r:id="rId27"/>
  </sheets>
  <externalReferences>
    <externalReference r:id="rId28"/>
    <externalReference r:id="rId29"/>
  </externalReferences>
  <definedNames>
    <definedName name="\L">#REF!</definedName>
    <definedName name="_xlnm._FilterDatabase" localSheetId="17" hidden="1">'Equipements path. respiratoire'!$H$62:$I$96</definedName>
    <definedName name="_xlnm._FilterDatabase" localSheetId="8" hidden="1">Incontinence!$H$55:$I$55</definedName>
    <definedName name="_xlnm._FilterDatabase" localSheetId="11" hidden="1">Instruments!$C$10:$D$28</definedName>
    <definedName name="_ftn1" localSheetId="11">Instruments!$B$130</definedName>
    <definedName name="_ftnref1" localSheetId="11">Instruments!#REF!</definedName>
    <definedName name="_xlchart.v1.0" hidden="1">'Résultats généraux'!$B$179:$B$183</definedName>
    <definedName name="_xlchart.v1.1" hidden="1">'Résultats généraux'!$C$178</definedName>
    <definedName name="_xlchart.v1.10" hidden="1">'Annexe - Matériaux'!$C$49:$C$59</definedName>
    <definedName name="_xlchart.v1.11" hidden="1">'Annexe - Matériaux'!$D$48</definedName>
    <definedName name="_xlchart.v1.12" hidden="1">'Annexe - Matériaux'!$D$49:$D$59</definedName>
    <definedName name="_xlchart.v1.2" hidden="1">'Résultats généraux'!$C$179:$C$183</definedName>
    <definedName name="_xlchart.v1.3" hidden="1">'Résultats généraux'!$Q$45:$R$58</definedName>
    <definedName name="_xlchart.v1.4" hidden="1">'Résultats généraux'!$S$45:$S$58</definedName>
    <definedName name="_xlchart.v1.5" hidden="1">'Résultats généraux'!$Q$45:$R$58</definedName>
    <definedName name="_xlchart.v1.6" hidden="1">'Résultats généraux'!$S$45:$S$58</definedName>
    <definedName name="_xlchart.v1.7" hidden="1">'Equipements électro-médicaux'!$AZ$132:$AZ$152</definedName>
    <definedName name="_xlchart.v1.8" hidden="1">'Equipements électro-médicaux'!$BA$132:$BA$152</definedName>
    <definedName name="_xlchart.v1.9" hidden="1">'Annexe - Matériaux'!$C$48</definedName>
    <definedName name="Bilan_global_mesure">#REF!</definedName>
    <definedName name="Display_Week">#REF!</definedName>
    <definedName name="données_bilan_global">'[1]Bilan global'!#REF!</definedName>
    <definedName name="FE_Immobilisations_VMO">#NAME?</definedName>
    <definedName name="Incertitude_basse">#REF!</definedName>
    <definedName name="incertitude_haute">#REF!</definedName>
    <definedName name="incertitudes_par_poste">#REF!</definedName>
    <definedName name="Liste_Immobilisations2">[2]Utilitaires!$M$586:$M$587</definedName>
    <definedName name="PPJS">#REF!</definedName>
    <definedName name="Project_Start">#REF!</definedName>
    <definedName name="Variation_FE">#REF!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F236" i="14" l="1"/>
  <c r="C58" i="31"/>
  <c r="C230" i="14"/>
  <c r="D230" i="14" s="1"/>
  <c r="C222" i="14"/>
  <c r="C206" i="14"/>
  <c r="C147" i="14"/>
  <c r="D147" i="14" s="1"/>
  <c r="C110" i="14"/>
  <c r="C204" i="28"/>
  <c r="C149" i="28"/>
  <c r="C145" i="28"/>
  <c r="C161" i="28" s="1"/>
  <c r="C140" i="28"/>
  <c r="F78" i="28"/>
  <c r="C75" i="27"/>
  <c r="E60" i="27" s="1"/>
  <c r="E230" i="14" l="1"/>
  <c r="F230" i="14"/>
  <c r="C76" i="27"/>
  <c r="E58" i="27"/>
  <c r="C164" i="31"/>
  <c r="C162" i="31"/>
  <c r="C161" i="31"/>
  <c r="C163" i="31"/>
  <c r="C59" i="31"/>
  <c r="E21" i="31"/>
  <c r="E20" i="31"/>
  <c r="C717" i="17" l="1"/>
  <c r="D246" i="17"/>
  <c r="C199" i="17"/>
  <c r="C119" i="17"/>
  <c r="C123" i="17"/>
  <c r="D636" i="17" s="1"/>
  <c r="D156" i="16"/>
  <c r="D163" i="16"/>
  <c r="D162" i="16"/>
  <c r="D157" i="16"/>
  <c r="D154" i="16"/>
  <c r="D155" i="16"/>
  <c r="D153" i="16"/>
  <c r="D638" i="17" l="1"/>
  <c r="D637" i="17"/>
  <c r="D635" i="17"/>
  <c r="D640" i="17" s="1"/>
  <c r="C231" i="14"/>
  <c r="C234" i="14"/>
  <c r="C235" i="14"/>
  <c r="C238" i="14"/>
  <c r="C240" i="14"/>
  <c r="D240" i="14" s="1"/>
  <c r="C241" i="14"/>
  <c r="G13" i="11"/>
  <c r="G14" i="11"/>
  <c r="G15" i="11"/>
  <c r="G12" i="11"/>
  <c r="D639" i="17" l="1"/>
  <c r="E121" i="11"/>
  <c r="D121" i="11"/>
  <c r="D21" i="33" l="1"/>
  <c r="C46" i="33"/>
  <c r="D16" i="35"/>
  <c r="D17" i="35"/>
  <c r="D18" i="35"/>
  <c r="D19" i="35"/>
  <c r="D20" i="35"/>
  <c r="D21" i="35"/>
  <c r="D15" i="35"/>
  <c r="O328" i="22"/>
  <c r="D105" i="22"/>
  <c r="E206" i="32"/>
  <c r="F206" i="32" s="1"/>
  <c r="C89" i="32"/>
  <c r="C84" i="32"/>
  <c r="C33" i="30" l="1"/>
  <c r="F145" i="28"/>
  <c r="C39" i="22"/>
  <c r="C38" i="22"/>
  <c r="C442" i="17"/>
  <c r="C14" i="33" l="1"/>
  <c r="E54" i="21"/>
  <c r="G24" i="17"/>
  <c r="D164" i="31" l="1"/>
  <c r="S56" i="31"/>
  <c r="C151" i="19" l="1"/>
  <c r="D223" i="22" l="1"/>
  <c r="E224" i="22"/>
  <c r="E223" i="22"/>
  <c r="C381" i="22"/>
  <c r="F360" i="22"/>
  <c r="C129" i="20"/>
  <c r="C162" i="20"/>
  <c r="C184" i="31"/>
  <c r="D169" i="19"/>
  <c r="D170" i="19" s="1"/>
  <c r="D401" i="17"/>
  <c r="I234" i="39" l="1"/>
  <c r="C51" i="25"/>
  <c r="F401" i="14" l="1"/>
  <c r="F400" i="14"/>
  <c r="F399" i="14"/>
  <c r="F398" i="14"/>
  <c r="F397" i="14"/>
  <c r="F396" i="14"/>
  <c r="F395" i="14"/>
  <c r="F394" i="14"/>
  <c r="F393" i="14"/>
  <c r="F392" i="14"/>
  <c r="F391" i="14"/>
  <c r="C207" i="29" l="1"/>
  <c r="C206" i="29"/>
  <c r="C228" i="26"/>
  <c r="C229" i="26"/>
  <c r="D23" i="33"/>
  <c r="D22" i="33"/>
  <c r="D20" i="33"/>
  <c r="D19" i="33"/>
  <c r="D18" i="33"/>
  <c r="C288" i="28"/>
  <c r="C287" i="28"/>
  <c r="C286" i="28"/>
  <c r="D47" i="28" l="1"/>
  <c r="D192" i="31"/>
  <c r="D153" i="28"/>
  <c r="C153" i="28"/>
  <c r="G235" i="32" l="1"/>
  <c r="G236" i="32"/>
  <c r="G237" i="32"/>
  <c r="G238" i="32"/>
  <c r="G239" i="32"/>
  <c r="G240" i="32"/>
  <c r="F236" i="32"/>
  <c r="F237" i="32"/>
  <c r="F238" i="32"/>
  <c r="F239" i="32"/>
  <c r="F240" i="32"/>
  <c r="F235" i="32"/>
  <c r="C197" i="32"/>
  <c r="D205" i="32" s="1"/>
  <c r="C196" i="32"/>
  <c r="C205" i="32" s="1"/>
  <c r="E137" i="32" l="1"/>
  <c r="C320" i="19" l="1"/>
  <c r="G13" i="19" s="1"/>
  <c r="P24" i="19" s="1"/>
  <c r="G14" i="19" l="1"/>
  <c r="P25" i="19" s="1"/>
  <c r="C67" i="20" l="1"/>
  <c r="F243" i="39"/>
  <c r="F244" i="39"/>
  <c r="F245" i="39"/>
  <c r="F246" i="39"/>
  <c r="F247" i="39"/>
  <c r="F248" i="39"/>
  <c r="F249" i="39"/>
  <c r="F250" i="39"/>
  <c r="F251" i="39"/>
  <c r="F252" i="39"/>
  <c r="F253" i="39"/>
  <c r="F254" i="39"/>
  <c r="F242" i="39"/>
  <c r="C254" i="39"/>
  <c r="C253" i="39"/>
  <c r="C252" i="39"/>
  <c r="C251" i="39"/>
  <c r="C250" i="39"/>
  <c r="C249" i="39"/>
  <c r="C248" i="39"/>
  <c r="C247" i="39"/>
  <c r="C246" i="39"/>
  <c r="C243" i="39"/>
  <c r="C244" i="39"/>
  <c r="C245" i="39"/>
  <c r="C242" i="39"/>
  <c r="C398" i="39" l="1"/>
  <c r="C399" i="39"/>
  <c r="C400" i="39"/>
  <c r="C401" i="39"/>
  <c r="C402" i="39"/>
  <c r="C403" i="39"/>
  <c r="C404" i="39"/>
  <c r="C405" i="39"/>
  <c r="C406" i="39"/>
  <c r="C407" i="39"/>
  <c r="C408" i="39"/>
  <c r="C409" i="39"/>
  <c r="C376" i="39"/>
  <c r="C397" i="39" s="1"/>
  <c r="D340" i="39"/>
  <c r="D339" i="39"/>
  <c r="D338" i="39"/>
  <c r="D335" i="39"/>
  <c r="D334" i="39"/>
  <c r="D333" i="39"/>
  <c r="D332" i="39"/>
  <c r="D328" i="39"/>
  <c r="I232" i="39"/>
  <c r="K16" i="15"/>
  <c r="C172" i="32"/>
  <c r="D204" i="32" s="1"/>
  <c r="C171" i="32"/>
  <c r="C204" i="32" s="1"/>
  <c r="K1219" i="30"/>
  <c r="I1219" i="30"/>
  <c r="H1219" i="30"/>
  <c r="E1219" i="30"/>
  <c r="D246" i="39" l="1"/>
  <c r="E138" i="32"/>
  <c r="D250" i="39"/>
  <c r="D251" i="39"/>
  <c r="F1219" i="30"/>
  <c r="G1228" i="30" s="1"/>
  <c r="C1219" i="30"/>
  <c r="C1228" i="30" s="1"/>
  <c r="M1228" i="30"/>
  <c r="I1228" i="30"/>
  <c r="H1228" i="30"/>
  <c r="K1228" i="30"/>
  <c r="L1228" i="30"/>
  <c r="E1228" i="30"/>
  <c r="N1228" i="30" l="1"/>
  <c r="J1228" i="30"/>
  <c r="C1166" i="30" l="1"/>
  <c r="F171" i="28"/>
  <c r="C334" i="28"/>
  <c r="E334" i="28" s="1"/>
  <c r="F81" i="28"/>
  <c r="F80" i="28"/>
  <c r="E1166" i="30" l="1"/>
  <c r="D1166" i="30"/>
  <c r="F79" i="28"/>
  <c r="D63" i="28" s="1"/>
  <c r="C1171" i="30" l="1"/>
  <c r="D148" i="25"/>
  <c r="E74" i="39" l="1"/>
  <c r="E76" i="39" s="1"/>
  <c r="C427" i="17" l="1"/>
  <c r="E240" i="32" l="1"/>
  <c r="H240" i="32" s="1"/>
  <c r="E239" i="32"/>
  <c r="H239" i="32" s="1"/>
  <c r="E238" i="32"/>
  <c r="H238" i="32" s="1"/>
  <c r="E236" i="32"/>
  <c r="H236" i="32" s="1"/>
  <c r="E235" i="32"/>
  <c r="H235" i="32" s="1"/>
  <c r="H237" i="32"/>
  <c r="D136" i="32"/>
  <c r="D135" i="32"/>
  <c r="D134" i="32"/>
  <c r="D133" i="32"/>
  <c r="D132" i="32"/>
  <c r="D131" i="32"/>
  <c r="D130" i="32"/>
  <c r="C90" i="32"/>
  <c r="C136" i="32" s="1"/>
  <c r="C133" i="32"/>
  <c r="C87" i="32"/>
  <c r="C86" i="32"/>
  <c r="C85" i="32"/>
  <c r="C219" i="14"/>
  <c r="C88" i="32" l="1"/>
  <c r="C130" i="32" s="1"/>
  <c r="C139" i="32" s="1"/>
  <c r="D139" i="32"/>
  <c r="D241" i="14"/>
  <c r="I230" i="14"/>
  <c r="D231" i="14"/>
  <c r="E241" i="14" l="1"/>
  <c r="E231" i="14"/>
  <c r="F231" i="14"/>
  <c r="D238" i="14"/>
  <c r="D235" i="14"/>
  <c r="D234" i="14"/>
  <c r="E240" i="14"/>
  <c r="F240" i="14" s="1"/>
  <c r="F241" i="14" l="1"/>
  <c r="H241" i="14" s="1"/>
  <c r="E235" i="14"/>
  <c r="F235" i="14" s="1"/>
  <c r="H235" i="14" s="1"/>
  <c r="E234" i="14"/>
  <c r="F234" i="14" s="1"/>
  <c r="E238" i="14"/>
  <c r="F238" i="14" s="1"/>
  <c r="H230" i="14"/>
  <c r="H240" i="14"/>
  <c r="C268" i="37"/>
  <c r="D72" i="37"/>
  <c r="D54" i="37"/>
  <c r="H238" i="14" l="1"/>
  <c r="C321" i="37" l="1"/>
  <c r="C322" i="37"/>
  <c r="E304" i="37"/>
  <c r="E303" i="37"/>
  <c r="N328" i="22"/>
  <c r="D338" i="22"/>
  <c r="D339" i="22"/>
  <c r="D340" i="22"/>
  <c r="D337" i="22"/>
  <c r="C96" i="33" l="1"/>
  <c r="S55" i="31"/>
  <c r="C360" i="22"/>
  <c r="E360" i="22"/>
  <c r="D321" i="37"/>
  <c r="D322" i="37"/>
  <c r="D350" i="37" s="1"/>
  <c r="C380" i="37" l="1"/>
  <c r="D349" i="37"/>
  <c r="F380" i="37"/>
  <c r="C400" i="37"/>
  <c r="D400" i="37" s="1"/>
  <c r="C381" i="37"/>
  <c r="F381" i="37"/>
  <c r="C401" i="37"/>
  <c r="D401" i="37" s="1"/>
  <c r="I233" i="39" l="1"/>
  <c r="I235" i="39"/>
  <c r="D242" i="39" s="1"/>
  <c r="I236" i="39"/>
  <c r="C360" i="39"/>
  <c r="G84" i="39"/>
  <c r="G85" i="39"/>
  <c r="G83" i="39"/>
  <c r="G80" i="39"/>
  <c r="G78" i="39"/>
  <c r="G77" i="39"/>
  <c r="G79" i="39"/>
  <c r="G81" i="39"/>
  <c r="G86" i="39"/>
  <c r="G76" i="39"/>
  <c r="H76" i="39" s="1"/>
  <c r="C135" i="39"/>
  <c r="C61" i="39"/>
  <c r="C331" i="39"/>
  <c r="E313" i="39"/>
  <c r="C309" i="39"/>
  <c r="C308" i="39"/>
  <c r="C307" i="39"/>
  <c r="C329" i="39"/>
  <c r="C281" i="39"/>
  <c r="F313" i="39" l="1"/>
  <c r="C337" i="39" s="1"/>
  <c r="D254" i="39"/>
  <c r="D253" i="39"/>
  <c r="D249" i="39"/>
  <c r="D248" i="39"/>
  <c r="D247" i="39"/>
  <c r="D243" i="39"/>
  <c r="D245" i="39"/>
  <c r="D244" i="39"/>
  <c r="D252" i="39"/>
  <c r="E135" i="39"/>
  <c r="G135" i="39" s="1"/>
  <c r="H12" i="39"/>
  <c r="C330" i="39"/>
  <c r="D330" i="39" s="1"/>
  <c r="C336" i="39"/>
  <c r="D329" i="39"/>
  <c r="I12" i="39" l="1"/>
  <c r="C206" i="39" l="1"/>
  <c r="C195" i="39"/>
  <c r="C191" i="39" s="1"/>
  <c r="C188" i="39"/>
  <c r="E187" i="39"/>
  <c r="C193" i="39" l="1"/>
  <c r="C194" i="39"/>
  <c r="C192" i="39"/>
  <c r="C205" i="14"/>
  <c r="F139" i="39"/>
  <c r="C332" i="39" s="1"/>
  <c r="F140" i="39"/>
  <c r="C333" i="39" s="1"/>
  <c r="F141" i="39"/>
  <c r="C334" i="39" s="1"/>
  <c r="F142" i="39"/>
  <c r="C335" i="39" s="1"/>
  <c r="F143" i="39"/>
  <c r="D336" i="39" s="1"/>
  <c r="F144" i="39"/>
  <c r="D337" i="39" s="1"/>
  <c r="F145" i="39"/>
  <c r="C338" i="39" s="1"/>
  <c r="F146" i="39"/>
  <c r="C339" i="39" s="1"/>
  <c r="F147" i="39"/>
  <c r="C340" i="39" s="1"/>
  <c r="F138" i="39"/>
  <c r="D331" i="39" s="1"/>
  <c r="D139" i="39"/>
  <c r="D140" i="39"/>
  <c r="D141" i="39"/>
  <c r="D142" i="39"/>
  <c r="D143" i="39"/>
  <c r="D144" i="39"/>
  <c r="D145" i="39"/>
  <c r="D146" i="39"/>
  <c r="D147" i="39"/>
  <c r="D138" i="39"/>
  <c r="C137" i="39"/>
  <c r="C136" i="39"/>
  <c r="C48" i="39"/>
  <c r="C37" i="39"/>
  <c r="E86" i="39"/>
  <c r="H86" i="39" s="1"/>
  <c r="C196" i="39" l="1"/>
  <c r="C117" i="25" s="1"/>
  <c r="G13" i="39"/>
  <c r="H13" i="39"/>
  <c r="G14" i="39"/>
  <c r="H14" i="39"/>
  <c r="E136" i="39"/>
  <c r="E137" i="39"/>
  <c r="G137" i="39" s="1"/>
  <c r="E85" i="39"/>
  <c r="H85" i="39" s="1"/>
  <c r="E78" i="39"/>
  <c r="H78" i="39" s="1"/>
  <c r="C147" i="39"/>
  <c r="J86" i="39"/>
  <c r="E79" i="39"/>
  <c r="H79" i="39" s="1"/>
  <c r="E84" i="39"/>
  <c r="H84" i="39" s="1"/>
  <c r="E77" i="39"/>
  <c r="H77" i="39" s="1"/>
  <c r="E80" i="39"/>
  <c r="H80" i="39" s="1"/>
  <c r="E81" i="39"/>
  <c r="H81" i="39" s="1"/>
  <c r="C143" i="39" s="1"/>
  <c r="E82" i="39"/>
  <c r="E83" i="39"/>
  <c r="H83" i="39" s="1"/>
  <c r="F449" i="16"/>
  <c r="F464" i="16" s="1"/>
  <c r="C439" i="16"/>
  <c r="C449" i="16" s="1"/>
  <c r="BA143" i="39" l="1"/>
  <c r="G136" i="39"/>
  <c r="D13" i="39" s="1"/>
  <c r="C118" i="25"/>
  <c r="C119" i="25"/>
  <c r="G24" i="39"/>
  <c r="H24" i="39"/>
  <c r="G20" i="39"/>
  <c r="H20" i="39"/>
  <c r="I14" i="39"/>
  <c r="D12" i="39"/>
  <c r="D14" i="39"/>
  <c r="J83" i="39"/>
  <c r="C145" i="39"/>
  <c r="C139" i="39"/>
  <c r="J77" i="39"/>
  <c r="J84" i="39"/>
  <c r="J81" i="39"/>
  <c r="C138" i="39"/>
  <c r="J76" i="39"/>
  <c r="C146" i="39"/>
  <c r="J85" i="39"/>
  <c r="C140" i="39"/>
  <c r="J78" i="39"/>
  <c r="C142" i="39"/>
  <c r="J80" i="39"/>
  <c r="C141" i="39"/>
  <c r="J79" i="39"/>
  <c r="F463" i="16"/>
  <c r="C463" i="16"/>
  <c r="C464" i="16"/>
  <c r="BA142" i="39" l="1"/>
  <c r="E13" i="39"/>
  <c r="I13" i="39"/>
  <c r="G19" i="39"/>
  <c r="H19" i="39"/>
  <c r="G23" i="39"/>
  <c r="H23" i="39"/>
  <c r="G22" i="39"/>
  <c r="H22" i="39"/>
  <c r="G17" i="39"/>
  <c r="H17" i="39"/>
  <c r="G16" i="39"/>
  <c r="H16" i="39"/>
  <c r="G18" i="39"/>
  <c r="H18" i="39"/>
  <c r="G15" i="39"/>
  <c r="H15" i="39"/>
  <c r="C505" i="16"/>
  <c r="C506" i="16"/>
  <c r="C163" i="16"/>
  <c r="C162" i="16"/>
  <c r="C155" i="16"/>
  <c r="C154" i="16"/>
  <c r="C153" i="16"/>
  <c r="C377" i="16"/>
  <c r="C369" i="16"/>
  <c r="D161" i="16"/>
  <c r="D160" i="16"/>
  <c r="C276" i="16"/>
  <c r="C388" i="16" s="1"/>
  <c r="D369" i="16" l="1"/>
  <c r="D42" i="16" s="1"/>
  <c r="L38" i="16" s="1"/>
  <c r="E163" i="16"/>
  <c r="C498" i="16"/>
  <c r="C456" i="16"/>
  <c r="F456" i="16"/>
  <c r="E162" i="16"/>
  <c r="E155" i="16"/>
  <c r="E154" i="16"/>
  <c r="E153" i="16"/>
  <c r="F400" i="17"/>
  <c r="J464" i="16" l="1"/>
  <c r="D506" i="16"/>
  <c r="H43" i="16" s="1"/>
  <c r="P39" i="16" s="1"/>
  <c r="G456" i="16"/>
  <c r="J456" i="16"/>
  <c r="G464" i="16"/>
  <c r="D498" i="16"/>
  <c r="H35" i="16" s="1"/>
  <c r="P36" i="16" s="1"/>
  <c r="D505" i="16"/>
  <c r="H42" i="16" s="1"/>
  <c r="P38" i="16" s="1"/>
  <c r="J463" i="16"/>
  <c r="G463" i="16"/>
  <c r="C588" i="17" l="1"/>
  <c r="C591" i="17"/>
  <c r="C446" i="17"/>
  <c r="C449" i="17" s="1"/>
  <c r="C16" i="17"/>
  <c r="C74" i="17"/>
  <c r="C660" i="17"/>
  <c r="C659" i="17"/>
  <c r="C701" i="17"/>
  <c r="C705" i="17" s="1"/>
  <c r="C702" i="17"/>
  <c r="C722" i="17"/>
  <c r="C723" i="17"/>
  <c r="C724" i="17"/>
  <c r="C725" i="17"/>
  <c r="C726" i="17"/>
  <c r="C727" i="17"/>
  <c r="C721" i="17"/>
  <c r="C666" i="17"/>
  <c r="C667" i="17"/>
  <c r="C668" i="17"/>
  <c r="C669" i="17"/>
  <c r="C670" i="17"/>
  <c r="C671" i="17"/>
  <c r="C665" i="17"/>
  <c r="D391" i="14"/>
  <c r="D392" i="14"/>
  <c r="D393" i="14"/>
  <c r="D394" i="14"/>
  <c r="D395" i="14"/>
  <c r="D396" i="14"/>
  <c r="D397" i="14"/>
  <c r="D398" i="14"/>
  <c r="D399" i="14"/>
  <c r="D400" i="14"/>
  <c r="D401" i="14"/>
  <c r="C677" i="17" l="1"/>
  <c r="C57" i="17" s="1"/>
  <c r="D22" i="17"/>
  <c r="G16" i="17"/>
  <c r="D61" i="44" s="1"/>
  <c r="F16" i="17"/>
  <c r="E16" i="17"/>
  <c r="C61" i="44" s="1"/>
  <c r="D16" i="17"/>
  <c r="C706" i="17"/>
  <c r="C58" i="17" s="1"/>
  <c r="C171" i="39"/>
  <c r="G22" i="17" l="1"/>
  <c r="D67" i="44" s="1"/>
  <c r="E22" i="17"/>
  <c r="C67" i="44" s="1"/>
  <c r="F22" i="17"/>
  <c r="C22" i="17"/>
  <c r="C172" i="39" l="1"/>
  <c r="C170" i="39"/>
  <c r="C168" i="39"/>
  <c r="C166" i="39"/>
  <c r="C165" i="39"/>
  <c r="C164" i="39"/>
  <c r="C163" i="39"/>
  <c r="C173" i="39" s="1"/>
  <c r="D74" i="39" l="1"/>
  <c r="D77" i="39" s="1"/>
  <c r="G210" i="37"/>
  <c r="H210" i="37"/>
  <c r="G211" i="37"/>
  <c r="H211" i="37"/>
  <c r="G212" i="37"/>
  <c r="H212" i="37"/>
  <c r="G213" i="37"/>
  <c r="H213" i="37"/>
  <c r="G214" i="37"/>
  <c r="H214" i="37"/>
  <c r="G215" i="37"/>
  <c r="H215" i="37"/>
  <c r="G216" i="37"/>
  <c r="H216" i="37"/>
  <c r="G217" i="37"/>
  <c r="H217" i="37"/>
  <c r="G218" i="37"/>
  <c r="H218" i="37"/>
  <c r="G219" i="37"/>
  <c r="H219" i="37"/>
  <c r="G220" i="37"/>
  <c r="H220" i="37"/>
  <c r="G221" i="37"/>
  <c r="H221" i="37"/>
  <c r="G222" i="37"/>
  <c r="H222" i="37"/>
  <c r="G223" i="37"/>
  <c r="H223" i="37"/>
  <c r="G224" i="37"/>
  <c r="H224" i="37"/>
  <c r="G225" i="37"/>
  <c r="H225" i="37"/>
  <c r="G226" i="37"/>
  <c r="H226" i="37"/>
  <c r="G227" i="37"/>
  <c r="H227" i="37"/>
  <c r="G228" i="37"/>
  <c r="H228" i="37"/>
  <c r="G209" i="37"/>
  <c r="H209" i="37"/>
  <c r="G144" i="37"/>
  <c r="H144" i="37"/>
  <c r="G145" i="37"/>
  <c r="H145" i="37"/>
  <c r="G146" i="37"/>
  <c r="H146" i="37"/>
  <c r="G147" i="37"/>
  <c r="H147" i="37"/>
  <c r="G148" i="37"/>
  <c r="H148" i="37"/>
  <c r="G149" i="37"/>
  <c r="H149" i="37"/>
  <c r="G150" i="37"/>
  <c r="H150" i="37"/>
  <c r="G151" i="37"/>
  <c r="H151" i="37"/>
  <c r="G152" i="37"/>
  <c r="H152" i="37"/>
  <c r="G153" i="37"/>
  <c r="H153" i="37"/>
  <c r="G154" i="37"/>
  <c r="H154" i="37"/>
  <c r="G155" i="37"/>
  <c r="H155" i="37"/>
  <c r="G156" i="37"/>
  <c r="H156" i="37"/>
  <c r="G157" i="37"/>
  <c r="H157" i="37"/>
  <c r="G158" i="37"/>
  <c r="H158" i="37"/>
  <c r="G159" i="37"/>
  <c r="H159" i="37"/>
  <c r="G160" i="37"/>
  <c r="H160" i="37"/>
  <c r="G161" i="37"/>
  <c r="H161" i="37"/>
  <c r="G162" i="37"/>
  <c r="H162" i="37"/>
  <c r="G163" i="37"/>
  <c r="H163" i="37"/>
  <c r="G164" i="37"/>
  <c r="H164" i="37"/>
  <c r="G165" i="37"/>
  <c r="H165" i="37"/>
  <c r="G166" i="37"/>
  <c r="H166" i="37"/>
  <c r="G167" i="37"/>
  <c r="H167" i="37"/>
  <c r="G168" i="37"/>
  <c r="H168" i="37"/>
  <c r="G169" i="37"/>
  <c r="H169" i="37"/>
  <c r="G170" i="37"/>
  <c r="H170" i="37"/>
  <c r="G171" i="37"/>
  <c r="H171" i="37"/>
  <c r="G172" i="37"/>
  <c r="H172" i="37"/>
  <c r="G173" i="37"/>
  <c r="H173" i="37"/>
  <c r="G174" i="37"/>
  <c r="H174" i="37"/>
  <c r="G175" i="37"/>
  <c r="H175" i="37"/>
  <c r="G176" i="37"/>
  <c r="H176" i="37"/>
  <c r="G177" i="37"/>
  <c r="H177" i="37"/>
  <c r="G178" i="37"/>
  <c r="H178" i="37"/>
  <c r="G179" i="37"/>
  <c r="H179" i="37"/>
  <c r="G180" i="37"/>
  <c r="H180" i="37"/>
  <c r="G181" i="37"/>
  <c r="H181" i="37"/>
  <c r="G182" i="37"/>
  <c r="H182" i="37"/>
  <c r="G183" i="37"/>
  <c r="H183" i="37"/>
  <c r="G184" i="37"/>
  <c r="H184" i="37"/>
  <c r="G185" i="37"/>
  <c r="H185" i="37"/>
  <c r="G186" i="37"/>
  <c r="H186" i="37"/>
  <c r="G187" i="37"/>
  <c r="H187" i="37"/>
  <c r="G188" i="37"/>
  <c r="H188" i="37"/>
  <c r="G189" i="37"/>
  <c r="H189" i="37"/>
  <c r="G190" i="37"/>
  <c r="H190" i="37"/>
  <c r="G191" i="37"/>
  <c r="H191" i="37"/>
  <c r="G192" i="37"/>
  <c r="H192" i="37"/>
  <c r="G193" i="37"/>
  <c r="H193" i="37"/>
  <c r="G194" i="37"/>
  <c r="H194" i="37"/>
  <c r="G195" i="37"/>
  <c r="H195" i="37"/>
  <c r="G196" i="37"/>
  <c r="H196" i="37"/>
  <c r="G197" i="37"/>
  <c r="H197" i="37"/>
  <c r="G198" i="37"/>
  <c r="H198" i="37"/>
  <c r="G199" i="37"/>
  <c r="H199" i="37"/>
  <c r="G200" i="37"/>
  <c r="H200" i="37"/>
  <c r="G201" i="37"/>
  <c r="H201" i="37"/>
  <c r="G202" i="37"/>
  <c r="H202" i="37"/>
  <c r="G203" i="37"/>
  <c r="H203" i="37"/>
  <c r="G204" i="37"/>
  <c r="H204" i="37"/>
  <c r="G205" i="37"/>
  <c r="H205" i="37"/>
  <c r="G206" i="37"/>
  <c r="H206" i="37"/>
  <c r="G207" i="37"/>
  <c r="H207" i="37"/>
  <c r="G208" i="37"/>
  <c r="H208" i="37"/>
  <c r="H143" i="37"/>
  <c r="G143" i="37"/>
  <c r="D84" i="39" l="1"/>
  <c r="D78" i="39"/>
  <c r="D85" i="39"/>
  <c r="BA141" i="39"/>
  <c r="D79" i="39"/>
  <c r="D83" i="39"/>
  <c r="D80" i="39"/>
  <c r="D86" i="39"/>
  <c r="D82" i="39"/>
  <c r="H82" i="39" s="1"/>
  <c r="D81" i="39"/>
  <c r="D76" i="39"/>
  <c r="H229" i="37"/>
  <c r="C241" i="37" s="1"/>
  <c r="G229" i="37"/>
  <c r="C240" i="37" s="1"/>
  <c r="D95" i="37"/>
  <c r="C346" i="37" s="1"/>
  <c r="D283" i="37" l="1"/>
  <c r="K380" i="37"/>
  <c r="H380" i="37"/>
  <c r="D284" i="37"/>
  <c r="H381" i="37"/>
  <c r="K381" i="37"/>
  <c r="J82" i="39"/>
  <c r="C144" i="39"/>
  <c r="E146" i="39"/>
  <c r="G146" i="39" s="1"/>
  <c r="E142" i="39"/>
  <c r="G142" i="39" s="1"/>
  <c r="E145" i="39"/>
  <c r="G145" i="39" s="1"/>
  <c r="G139" i="39"/>
  <c r="E138" i="39"/>
  <c r="E143" i="39"/>
  <c r="G143" i="39" s="1"/>
  <c r="E141" i="39"/>
  <c r="G141" i="39" s="1"/>
  <c r="E147" i="39"/>
  <c r="G147" i="39" s="1"/>
  <c r="E140" i="39"/>
  <c r="G140" i="39" s="1"/>
  <c r="C282" i="37"/>
  <c r="C281" i="37"/>
  <c r="C319" i="37" s="1"/>
  <c r="C267" i="37"/>
  <c r="C280" i="37" s="1"/>
  <c r="C318" i="37" s="1"/>
  <c r="E260" i="37"/>
  <c r="E252" i="37"/>
  <c r="E253" i="37"/>
  <c r="E254" i="37"/>
  <c r="E255" i="37"/>
  <c r="E256" i="37"/>
  <c r="E257" i="37"/>
  <c r="E258" i="37"/>
  <c r="E259" i="37"/>
  <c r="E251" i="37"/>
  <c r="F251" i="37" s="1"/>
  <c r="D127" i="37"/>
  <c r="D137" i="37" s="1"/>
  <c r="C235" i="37"/>
  <c r="C237" i="37"/>
  <c r="D280" i="37" s="1"/>
  <c r="D121" i="37"/>
  <c r="C347" i="37" s="1"/>
  <c r="E284" i="37" l="1"/>
  <c r="F303" i="37"/>
  <c r="D17" i="37" s="1"/>
  <c r="BA149" i="39"/>
  <c r="BA147" i="39"/>
  <c r="BA150" i="39"/>
  <c r="BA145" i="39"/>
  <c r="BA146" i="39"/>
  <c r="I16" i="39"/>
  <c r="I22" i="39"/>
  <c r="I24" i="39"/>
  <c r="I20" i="39"/>
  <c r="I19" i="39"/>
  <c r="I17" i="39"/>
  <c r="I23" i="39"/>
  <c r="I18" i="39"/>
  <c r="G21" i="39"/>
  <c r="H21" i="39"/>
  <c r="H25" i="39" s="1"/>
  <c r="E400" i="37"/>
  <c r="I17" i="37" s="1"/>
  <c r="E283" i="37"/>
  <c r="D331" i="37"/>
  <c r="F17" i="37" s="1"/>
  <c r="E401" i="37"/>
  <c r="I18" i="37" s="1"/>
  <c r="F304" i="37"/>
  <c r="D18" i="37" s="1"/>
  <c r="D332" i="37"/>
  <c r="F18" i="37" s="1"/>
  <c r="E302" i="37"/>
  <c r="E144" i="39"/>
  <c r="G144" i="39" s="1"/>
  <c r="E20" i="39"/>
  <c r="D20" i="39"/>
  <c r="E22" i="39"/>
  <c r="D22" i="39"/>
  <c r="E18" i="39"/>
  <c r="D18" i="39"/>
  <c r="D16" i="39"/>
  <c r="E19" i="39"/>
  <c r="D19" i="39"/>
  <c r="E17" i="39"/>
  <c r="D17" i="39"/>
  <c r="E23" i="39"/>
  <c r="D23" i="39"/>
  <c r="E24" i="39"/>
  <c r="D24" i="39"/>
  <c r="G138" i="39"/>
  <c r="D318" i="37"/>
  <c r="D319" i="37"/>
  <c r="D278" i="37"/>
  <c r="C320" i="37"/>
  <c r="C238" i="37"/>
  <c r="D281" i="37" s="1"/>
  <c r="E300" i="37"/>
  <c r="F300" i="37" s="1"/>
  <c r="D14" i="37" s="1"/>
  <c r="E280" i="37"/>
  <c r="C239" i="37"/>
  <c r="D282" i="37" s="1"/>
  <c r="F258" i="37"/>
  <c r="C236" i="37"/>
  <c r="D279" i="37" s="1"/>
  <c r="F253" i="37"/>
  <c r="C279" i="37" s="1"/>
  <c r="F255" i="37"/>
  <c r="E282" i="37" l="1"/>
  <c r="E281" i="37"/>
  <c r="BA151" i="39"/>
  <c r="E149" i="39"/>
  <c r="G149" i="39"/>
  <c r="BA144" i="39"/>
  <c r="I21" i="39"/>
  <c r="I15" i="39"/>
  <c r="E21" i="39"/>
  <c r="D347" i="37"/>
  <c r="C378" i="37"/>
  <c r="H378" i="37" s="1"/>
  <c r="F378" i="37"/>
  <c r="K378" i="37" s="1"/>
  <c r="C377" i="37"/>
  <c r="H377" i="37" s="1"/>
  <c r="F377" i="37"/>
  <c r="K377" i="37" s="1"/>
  <c r="D21" i="39"/>
  <c r="D15" i="39"/>
  <c r="D329" i="37"/>
  <c r="F15" i="37" s="1"/>
  <c r="C398" i="37"/>
  <c r="D398" i="37" s="1"/>
  <c r="E398" i="37" s="1"/>
  <c r="I15" i="37" s="1"/>
  <c r="D328" i="37"/>
  <c r="F14" i="37" s="1"/>
  <c r="C397" i="37"/>
  <c r="D397" i="37" s="1"/>
  <c r="E397" i="37" s="1"/>
  <c r="I14" i="37" s="1"/>
  <c r="D346" i="37"/>
  <c r="D320" i="37"/>
  <c r="C317" i="37"/>
  <c r="F302" i="37"/>
  <c r="D16" i="37" s="1"/>
  <c r="C278" i="37"/>
  <c r="E279" i="37"/>
  <c r="C63" i="21"/>
  <c r="D354" i="22"/>
  <c r="D353" i="22" s="1"/>
  <c r="D444" i="16"/>
  <c r="C444" i="16"/>
  <c r="D443" i="16"/>
  <c r="D445" i="16" s="1"/>
  <c r="C443" i="16"/>
  <c r="C445" i="16" l="1"/>
  <c r="E449" i="16" s="1"/>
  <c r="E464" i="16" s="1"/>
  <c r="I464" i="16" s="1"/>
  <c r="C316" i="37"/>
  <c r="I25" i="39"/>
  <c r="C379" i="37"/>
  <c r="H379" i="37" s="1"/>
  <c r="F379" i="37"/>
  <c r="K379" i="37" s="1"/>
  <c r="D25" i="39"/>
  <c r="D330" i="37"/>
  <c r="F16" i="37" s="1"/>
  <c r="C399" i="37"/>
  <c r="D399" i="37" s="1"/>
  <c r="E399" i="37" s="1"/>
  <c r="I16" i="37" s="1"/>
  <c r="D317" i="37"/>
  <c r="D348" i="37"/>
  <c r="E278" i="37"/>
  <c r="D88" i="16"/>
  <c r="C158" i="16"/>
  <c r="C160" i="16"/>
  <c r="E160" i="16" s="1"/>
  <c r="C161" i="16"/>
  <c r="E161" i="16" s="1"/>
  <c r="D84" i="16"/>
  <c r="C159" i="16" s="1"/>
  <c r="E159" i="16" s="1"/>
  <c r="C84" i="16"/>
  <c r="G320" i="16"/>
  <c r="G321" i="16"/>
  <c r="G322" i="16"/>
  <c r="G323" i="16"/>
  <c r="G324" i="16"/>
  <c r="G325" i="16"/>
  <c r="Q323" i="16"/>
  <c r="Q324" i="16"/>
  <c r="Q325" i="16"/>
  <c r="E323" i="16"/>
  <c r="F323" i="16"/>
  <c r="H323" i="16"/>
  <c r="I323" i="16"/>
  <c r="J323" i="16"/>
  <c r="K323" i="16"/>
  <c r="L323" i="16"/>
  <c r="M323" i="16"/>
  <c r="N323" i="16"/>
  <c r="O323" i="16"/>
  <c r="P323" i="16"/>
  <c r="E324" i="16"/>
  <c r="F324" i="16"/>
  <c r="H324" i="16"/>
  <c r="I324" i="16"/>
  <c r="J324" i="16"/>
  <c r="K324" i="16"/>
  <c r="L324" i="16"/>
  <c r="M324" i="16"/>
  <c r="N324" i="16"/>
  <c r="O324" i="16"/>
  <c r="P324" i="16"/>
  <c r="E325" i="16"/>
  <c r="F325" i="16"/>
  <c r="H325" i="16"/>
  <c r="I325" i="16"/>
  <c r="J325" i="16"/>
  <c r="K325" i="16"/>
  <c r="L325" i="16"/>
  <c r="M325" i="16"/>
  <c r="N325" i="16"/>
  <c r="O325" i="16"/>
  <c r="P325" i="16"/>
  <c r="D325" i="16"/>
  <c r="D323" i="16"/>
  <c r="E320" i="16"/>
  <c r="F320" i="16"/>
  <c r="H320" i="16"/>
  <c r="I320" i="16"/>
  <c r="J320" i="16"/>
  <c r="K320" i="16"/>
  <c r="L320" i="16"/>
  <c r="M320" i="16"/>
  <c r="N320" i="16"/>
  <c r="O320" i="16"/>
  <c r="P320" i="16"/>
  <c r="Q320" i="16"/>
  <c r="D320" i="16"/>
  <c r="E321" i="16"/>
  <c r="F321" i="16"/>
  <c r="H321" i="16"/>
  <c r="I321" i="16"/>
  <c r="J321" i="16"/>
  <c r="K321" i="16"/>
  <c r="L321" i="16"/>
  <c r="M321" i="16"/>
  <c r="N321" i="16"/>
  <c r="O321" i="16"/>
  <c r="P321" i="16"/>
  <c r="Q321" i="16"/>
  <c r="D321" i="16"/>
  <c r="D324" i="16"/>
  <c r="Q322" i="16"/>
  <c r="E322" i="16"/>
  <c r="F322" i="16"/>
  <c r="H322" i="16"/>
  <c r="I322" i="16"/>
  <c r="J322" i="16"/>
  <c r="K322" i="16"/>
  <c r="L322" i="16"/>
  <c r="M322" i="16"/>
  <c r="N322" i="16"/>
  <c r="O322" i="16"/>
  <c r="P322" i="16"/>
  <c r="D322" i="16"/>
  <c r="C157" i="16"/>
  <c r="E157" i="16" s="1"/>
  <c r="C156" i="16"/>
  <c r="E156" i="16" s="1"/>
  <c r="C247" i="16"/>
  <c r="C387" i="16" s="1"/>
  <c r="D377" i="16" l="1"/>
  <c r="D43" i="16" s="1"/>
  <c r="L39" i="16" s="1"/>
  <c r="D316" i="37"/>
  <c r="D161" i="31"/>
  <c r="C183" i="31"/>
  <c r="E456" i="16"/>
  <c r="I456" i="16" s="1"/>
  <c r="E463" i="16"/>
  <c r="I463" i="16" s="1"/>
  <c r="C376" i="37"/>
  <c r="H376" i="37" s="1"/>
  <c r="F376" i="37"/>
  <c r="K376" i="37" s="1"/>
  <c r="C497" i="16"/>
  <c r="D497" i="16" s="1"/>
  <c r="H34" i="16" s="1"/>
  <c r="P35" i="16" s="1"/>
  <c r="C455" i="16"/>
  <c r="G455" i="16" s="1"/>
  <c r="F455" i="16"/>
  <c r="J455" i="16" s="1"/>
  <c r="E455" i="16"/>
  <c r="I455" i="16" s="1"/>
  <c r="D327" i="37"/>
  <c r="F13" i="37" s="1"/>
  <c r="C396" i="37"/>
  <c r="D396" i="37" s="1"/>
  <c r="E396" i="37" s="1"/>
  <c r="I13" i="37" s="1"/>
  <c r="D345" i="37"/>
  <c r="C322" i="16"/>
  <c r="C391" i="16" s="1"/>
  <c r="C323" i="16"/>
  <c r="C392" i="16" s="1"/>
  <c r="C325" i="16"/>
  <c r="C394" i="16" s="1"/>
  <c r="C324" i="16"/>
  <c r="C393" i="16" s="1"/>
  <c r="C321" i="16"/>
  <c r="C390" i="16" s="1"/>
  <c r="C320" i="16"/>
  <c r="C389" i="16" s="1"/>
  <c r="D48" i="34"/>
  <c r="D47" i="34"/>
  <c r="D45" i="34"/>
  <c r="D15" i="34"/>
  <c r="C375" i="37" l="1"/>
  <c r="H375" i="37" s="1"/>
  <c r="H382" i="37" s="1"/>
  <c r="C395" i="37"/>
  <c r="D395" i="37" s="1"/>
  <c r="E395" i="37" s="1"/>
  <c r="I12" i="37" s="1"/>
  <c r="I19" i="37" s="1"/>
  <c r="D138" i="27" s="1"/>
  <c r="D344" i="37"/>
  <c r="F375" i="37"/>
  <c r="K375" i="37" s="1"/>
  <c r="D326" i="37"/>
  <c r="F12" i="37" s="1"/>
  <c r="F19" i="37" s="1"/>
  <c r="D135" i="27" s="1"/>
  <c r="C502" i="16"/>
  <c r="D502" i="16" s="1"/>
  <c r="H39" i="16" s="1"/>
  <c r="C460" i="16"/>
  <c r="G460" i="16" s="1"/>
  <c r="F460" i="16"/>
  <c r="J460" i="16" s="1"/>
  <c r="E460" i="16"/>
  <c r="I460" i="16" s="1"/>
  <c r="C501" i="16"/>
  <c r="F459" i="16"/>
  <c r="E459" i="16"/>
  <c r="C459" i="16"/>
  <c r="C500" i="16"/>
  <c r="D500" i="16" s="1"/>
  <c r="H37" i="16" s="1"/>
  <c r="E458" i="16"/>
  <c r="I458" i="16" s="1"/>
  <c r="C458" i="16"/>
  <c r="G458" i="16" s="1"/>
  <c r="F458" i="16"/>
  <c r="C499" i="16"/>
  <c r="D499" i="16" s="1"/>
  <c r="H36" i="16" s="1"/>
  <c r="E457" i="16"/>
  <c r="I457" i="16" s="1"/>
  <c r="F457" i="16"/>
  <c r="J457" i="16" s="1"/>
  <c r="C457" i="16"/>
  <c r="G457" i="16" s="1"/>
  <c r="C503" i="16"/>
  <c r="D503" i="16" s="1"/>
  <c r="H40" i="16" s="1"/>
  <c r="C461" i="16"/>
  <c r="G461" i="16" s="1"/>
  <c r="E461" i="16"/>
  <c r="I461" i="16" s="1"/>
  <c r="F461" i="16"/>
  <c r="J461" i="16" s="1"/>
  <c r="C504" i="16"/>
  <c r="D504" i="16" s="1"/>
  <c r="F462" i="16"/>
  <c r="J462" i="16" s="1"/>
  <c r="E462" i="16"/>
  <c r="I462" i="16" s="1"/>
  <c r="C462" i="16"/>
  <c r="G462" i="16" s="1"/>
  <c r="E402" i="37" l="1"/>
  <c r="D333" i="37"/>
  <c r="K382" i="37"/>
  <c r="J458" i="16"/>
  <c r="I48" i="31"/>
  <c r="F48" i="31"/>
  <c r="H41" i="16"/>
  <c r="F983" i="30"/>
  <c r="D983" i="30" s="1"/>
  <c r="E983" i="30"/>
  <c r="C983" i="30"/>
  <c r="C361" i="30"/>
  <c r="F368" i="30"/>
  <c r="G368" i="30" s="1"/>
  <c r="H368" i="30"/>
  <c r="F369" i="30"/>
  <c r="G369" i="30" s="1"/>
  <c r="H369" i="30"/>
  <c r="F370" i="30"/>
  <c r="G370" i="30" s="1"/>
  <c r="H370" i="30"/>
  <c r="F371" i="30"/>
  <c r="G371" i="30" s="1"/>
  <c r="H371" i="30"/>
  <c r="F372" i="30"/>
  <c r="G372" i="30" s="1"/>
  <c r="H372" i="30"/>
  <c r="F373" i="30"/>
  <c r="G373" i="30" s="1"/>
  <c r="H373" i="30"/>
  <c r="F374" i="30"/>
  <c r="G374" i="30" s="1"/>
  <c r="H374" i="30"/>
  <c r="C375" i="30"/>
  <c r="F376" i="30"/>
  <c r="G376" i="30" s="1"/>
  <c r="H376" i="30"/>
  <c r="F377" i="30"/>
  <c r="G377" i="30" s="1"/>
  <c r="H377" i="30"/>
  <c r="F378" i="30"/>
  <c r="G378" i="30" s="1"/>
  <c r="H378" i="30"/>
  <c r="F379" i="30"/>
  <c r="G379" i="30" s="1"/>
  <c r="H379" i="30"/>
  <c r="F380" i="30"/>
  <c r="G380" i="30" s="1"/>
  <c r="H380" i="30"/>
  <c r="F381" i="30"/>
  <c r="G381" i="30" s="1"/>
  <c r="H381" i="30"/>
  <c r="F382" i="30"/>
  <c r="G382" i="30" s="1"/>
  <c r="H382" i="30"/>
  <c r="F383" i="30"/>
  <c r="G383" i="30" s="1"/>
  <c r="H383" i="30"/>
  <c r="F384" i="30"/>
  <c r="G384" i="30" s="1"/>
  <c r="H384" i="30"/>
  <c r="F385" i="30"/>
  <c r="G385" i="30" s="1"/>
  <c r="H385" i="30"/>
  <c r="F386" i="30"/>
  <c r="G386" i="30" s="1"/>
  <c r="H386" i="30"/>
  <c r="F387" i="30"/>
  <c r="G387" i="30" s="1"/>
  <c r="H387" i="30"/>
  <c r="F388" i="30"/>
  <c r="G388" i="30" s="1"/>
  <c r="H388" i="30"/>
  <c r="F389" i="30"/>
  <c r="G389" i="30" s="1"/>
  <c r="H389" i="30"/>
  <c r="F390" i="30"/>
  <c r="G390" i="30" s="1"/>
  <c r="H390" i="30"/>
  <c r="F391" i="30"/>
  <c r="G391" i="30" s="1"/>
  <c r="H391" i="30"/>
  <c r="F392" i="30"/>
  <c r="G392" i="30" s="1"/>
  <c r="H392" i="30"/>
  <c r="F393" i="30"/>
  <c r="G393" i="30" s="1"/>
  <c r="H393" i="30"/>
  <c r="F394" i="30"/>
  <c r="G394" i="30" s="1"/>
  <c r="H394" i="30"/>
  <c r="F395" i="30"/>
  <c r="G395" i="30" s="1"/>
  <c r="H395" i="30"/>
  <c r="F396" i="30"/>
  <c r="G396" i="30" s="1"/>
  <c r="H396" i="30"/>
  <c r="F397" i="30"/>
  <c r="G397" i="30" s="1"/>
  <c r="H397" i="30"/>
  <c r="F398" i="30"/>
  <c r="G398" i="30" s="1"/>
  <c r="H398" i="30"/>
  <c r="F399" i="30"/>
  <c r="G399" i="30" s="1"/>
  <c r="H399" i="30"/>
  <c r="F400" i="30"/>
  <c r="G400" i="30" s="1"/>
  <c r="H400" i="30"/>
  <c r="F401" i="30"/>
  <c r="G401" i="30" s="1"/>
  <c r="H401" i="30"/>
  <c r="F402" i="30"/>
  <c r="G402" i="30" s="1"/>
  <c r="H402" i="30"/>
  <c r="F403" i="30"/>
  <c r="G403" i="30" s="1"/>
  <c r="H403" i="30"/>
  <c r="F404" i="30"/>
  <c r="G404" i="30" s="1"/>
  <c r="H404" i="30"/>
  <c r="F405" i="30"/>
  <c r="G405" i="30" s="1"/>
  <c r="H405" i="30"/>
  <c r="F406" i="30"/>
  <c r="G406" i="30" s="1"/>
  <c r="H406" i="30"/>
  <c r="F407" i="30"/>
  <c r="G407" i="30" s="1"/>
  <c r="H407" i="30"/>
  <c r="F408" i="30"/>
  <c r="G408" i="30" s="1"/>
  <c r="H408" i="30"/>
  <c r="F409" i="30"/>
  <c r="G409" i="30" s="1"/>
  <c r="H409" i="30"/>
  <c r="F410" i="30"/>
  <c r="G410" i="30" s="1"/>
  <c r="H410" i="30"/>
  <c r="F411" i="30"/>
  <c r="G411" i="30" s="1"/>
  <c r="H411" i="30"/>
  <c r="F412" i="30"/>
  <c r="G412" i="30" s="1"/>
  <c r="H412" i="30"/>
  <c r="F413" i="30"/>
  <c r="G413" i="30" s="1"/>
  <c r="H413" i="30"/>
  <c r="F414" i="30"/>
  <c r="G414" i="30" s="1"/>
  <c r="H414" i="30"/>
  <c r="F415" i="30"/>
  <c r="G415" i="30" s="1"/>
  <c r="H415" i="30"/>
  <c r="F416" i="30"/>
  <c r="G416" i="30" s="1"/>
  <c r="H416" i="30"/>
  <c r="C417" i="30"/>
  <c r="F418" i="30"/>
  <c r="G418" i="30" s="1"/>
  <c r="H418" i="30"/>
  <c r="F419" i="30"/>
  <c r="G419" i="30" s="1"/>
  <c r="H419" i="30"/>
  <c r="F420" i="30"/>
  <c r="G420" i="30" s="1"/>
  <c r="H420" i="30"/>
  <c r="F421" i="30"/>
  <c r="G421" i="30" s="1"/>
  <c r="H421" i="30"/>
  <c r="C422" i="30"/>
  <c r="D423" i="30"/>
  <c r="F423" i="30" s="1"/>
  <c r="G423" i="30" s="1"/>
  <c r="H423" i="30"/>
  <c r="D424" i="30"/>
  <c r="F424" i="30" s="1"/>
  <c r="G424" i="30" s="1"/>
  <c r="H424" i="30"/>
  <c r="D425" i="30"/>
  <c r="F425" i="30" s="1"/>
  <c r="G425" i="30" s="1"/>
  <c r="H425" i="30"/>
  <c r="D426" i="30"/>
  <c r="F426" i="30" s="1"/>
  <c r="G426" i="30" s="1"/>
  <c r="H426" i="30"/>
  <c r="D427" i="30"/>
  <c r="F427" i="30" s="1"/>
  <c r="G427" i="30" s="1"/>
  <c r="H427" i="30"/>
  <c r="D428" i="30"/>
  <c r="F428" i="30" s="1"/>
  <c r="G428" i="30" s="1"/>
  <c r="H428" i="30"/>
  <c r="F429" i="30"/>
  <c r="G429" i="30" s="1"/>
  <c r="H429" i="30"/>
  <c r="F430" i="30"/>
  <c r="G430" i="30" s="1"/>
  <c r="H430" i="30"/>
  <c r="F431" i="30"/>
  <c r="G431" i="30" s="1"/>
  <c r="H431" i="30"/>
  <c r="F432" i="30"/>
  <c r="G432" i="30" s="1"/>
  <c r="H432" i="30"/>
  <c r="F433" i="30"/>
  <c r="G433" i="30" s="1"/>
  <c r="H433" i="30"/>
  <c r="F434" i="30"/>
  <c r="G434" i="30" s="1"/>
  <c r="H434" i="30"/>
  <c r="F435" i="30"/>
  <c r="G435" i="30" s="1"/>
  <c r="H435" i="30"/>
  <c r="F436" i="30"/>
  <c r="G436" i="30" s="1"/>
  <c r="H436" i="30"/>
  <c r="F437" i="30"/>
  <c r="G437" i="30" s="1"/>
  <c r="H437" i="30"/>
  <c r="F438" i="30"/>
  <c r="G438" i="30" s="1"/>
  <c r="H438" i="30"/>
  <c r="F439" i="30"/>
  <c r="G439" i="30" s="1"/>
  <c r="H439" i="30"/>
  <c r="F440" i="30"/>
  <c r="G440" i="30" s="1"/>
  <c r="H440" i="30"/>
  <c r="F441" i="30"/>
  <c r="G441" i="30" s="1"/>
  <c r="H441" i="30"/>
  <c r="F442" i="30"/>
  <c r="G442" i="30" s="1"/>
  <c r="H442" i="30"/>
  <c r="F443" i="30"/>
  <c r="G443" i="30" s="1"/>
  <c r="H443" i="30"/>
  <c r="F444" i="30"/>
  <c r="G444" i="30" s="1"/>
  <c r="H444" i="30"/>
  <c r="F445" i="30"/>
  <c r="G445" i="30" s="1"/>
  <c r="H445" i="30"/>
  <c r="F446" i="30"/>
  <c r="G446" i="30" s="1"/>
  <c r="H446" i="30"/>
  <c r="F447" i="30"/>
  <c r="G447" i="30" s="1"/>
  <c r="H447" i="30"/>
  <c r="F448" i="30"/>
  <c r="G448" i="30" s="1"/>
  <c r="H448" i="30"/>
  <c r="F449" i="30"/>
  <c r="G449" i="30" s="1"/>
  <c r="H449" i="30"/>
  <c r="F450" i="30"/>
  <c r="G450" i="30" s="1"/>
  <c r="H450" i="30"/>
  <c r="F451" i="30"/>
  <c r="G451" i="30" s="1"/>
  <c r="H451" i="30"/>
  <c r="F452" i="30"/>
  <c r="G452" i="30" s="1"/>
  <c r="H452" i="30"/>
  <c r="F453" i="30"/>
  <c r="G453" i="30" s="1"/>
  <c r="H453" i="30"/>
  <c r="F454" i="30"/>
  <c r="G454" i="30" s="1"/>
  <c r="H454" i="30"/>
  <c r="D455" i="30"/>
  <c r="F455" i="30" s="1"/>
  <c r="G455" i="30" s="1"/>
  <c r="H455" i="30"/>
  <c r="D456" i="30"/>
  <c r="F456" i="30" s="1"/>
  <c r="G456" i="30" s="1"/>
  <c r="H456" i="30"/>
  <c r="D457" i="30"/>
  <c r="F457" i="30" s="1"/>
  <c r="G457" i="30" s="1"/>
  <c r="H457" i="30"/>
  <c r="D458" i="30"/>
  <c r="F458" i="30" s="1"/>
  <c r="G458" i="30" s="1"/>
  <c r="H458" i="30"/>
  <c r="D459" i="30"/>
  <c r="F459" i="30" s="1"/>
  <c r="G459" i="30" s="1"/>
  <c r="H459" i="30"/>
  <c r="D460" i="30"/>
  <c r="F460" i="30" s="1"/>
  <c r="G460" i="30" s="1"/>
  <c r="H460" i="30"/>
  <c r="D461" i="30"/>
  <c r="F461" i="30" s="1"/>
  <c r="G461" i="30" s="1"/>
  <c r="H461" i="30"/>
  <c r="D462" i="30"/>
  <c r="F462" i="30" s="1"/>
  <c r="G462" i="30" s="1"/>
  <c r="H462" i="30"/>
  <c r="D463" i="30"/>
  <c r="F463" i="30" s="1"/>
  <c r="G463" i="30" s="1"/>
  <c r="H463" i="30"/>
  <c r="D464" i="30"/>
  <c r="F464" i="30" s="1"/>
  <c r="G464" i="30" s="1"/>
  <c r="H464" i="30"/>
  <c r="F465" i="30"/>
  <c r="G465" i="30" s="1"/>
  <c r="H465" i="30"/>
  <c r="F466" i="30"/>
  <c r="G466" i="30" s="1"/>
  <c r="H466" i="30"/>
  <c r="F467" i="30"/>
  <c r="G467" i="30" s="1"/>
  <c r="H467" i="30"/>
  <c r="F468" i="30"/>
  <c r="G468" i="30" s="1"/>
  <c r="H468" i="30"/>
  <c r="F469" i="30"/>
  <c r="G469" i="30" s="1"/>
  <c r="H469" i="30"/>
  <c r="F470" i="30"/>
  <c r="G470" i="30" s="1"/>
  <c r="H470" i="30"/>
  <c r="D471" i="30"/>
  <c r="F471" i="30" s="1"/>
  <c r="G471" i="30" s="1"/>
  <c r="H471" i="30"/>
  <c r="D472" i="30"/>
  <c r="F472" i="30" s="1"/>
  <c r="G472" i="30" s="1"/>
  <c r="H472" i="30"/>
  <c r="F473" i="30"/>
  <c r="G473" i="30" s="1"/>
  <c r="H473" i="30"/>
  <c r="D474" i="30"/>
  <c r="F474" i="30" s="1"/>
  <c r="G474" i="30" s="1"/>
  <c r="H474" i="30"/>
  <c r="D475" i="30"/>
  <c r="F475" i="30" s="1"/>
  <c r="G475" i="30" s="1"/>
  <c r="H475" i="30"/>
  <c r="D476" i="30"/>
  <c r="F476" i="30" s="1"/>
  <c r="G476" i="30" s="1"/>
  <c r="H476" i="30"/>
  <c r="F477" i="30"/>
  <c r="G477" i="30" s="1"/>
  <c r="H477" i="30"/>
  <c r="F478" i="30"/>
  <c r="G478" i="30" s="1"/>
  <c r="H478" i="30"/>
  <c r="F479" i="30"/>
  <c r="G479" i="30" s="1"/>
  <c r="H479" i="30"/>
  <c r="F480" i="30"/>
  <c r="G480" i="30" s="1"/>
  <c r="H480" i="30"/>
  <c r="F481" i="30"/>
  <c r="G481" i="30" s="1"/>
  <c r="H481" i="30"/>
  <c r="C482" i="30"/>
  <c r="D483" i="30"/>
  <c r="F483" i="30" s="1"/>
  <c r="G483" i="30" s="1"/>
  <c r="H483" i="30"/>
  <c r="D484" i="30"/>
  <c r="F484" i="30" s="1"/>
  <c r="G484" i="30" s="1"/>
  <c r="H484" i="30"/>
  <c r="D485" i="30"/>
  <c r="F485" i="30" s="1"/>
  <c r="G485" i="30" s="1"/>
  <c r="H485" i="30"/>
  <c r="F486" i="30"/>
  <c r="G486" i="30" s="1"/>
  <c r="H486" i="30"/>
  <c r="F487" i="30"/>
  <c r="G487" i="30" s="1"/>
  <c r="H487" i="30"/>
  <c r="F488" i="30"/>
  <c r="G488" i="30" s="1"/>
  <c r="H488" i="30"/>
  <c r="F489" i="30"/>
  <c r="G489" i="30" s="1"/>
  <c r="H489" i="30"/>
  <c r="F490" i="30"/>
  <c r="G490" i="30" s="1"/>
  <c r="H490" i="30"/>
  <c r="F491" i="30"/>
  <c r="G491" i="30" s="1"/>
  <c r="H491" i="30"/>
  <c r="F492" i="30"/>
  <c r="G492" i="30" s="1"/>
  <c r="H492" i="30"/>
  <c r="F493" i="30"/>
  <c r="G493" i="30" s="1"/>
  <c r="H493" i="30"/>
  <c r="F494" i="30"/>
  <c r="G494" i="30" s="1"/>
  <c r="H494" i="30"/>
  <c r="F495" i="30"/>
  <c r="G495" i="30" s="1"/>
  <c r="H495" i="30"/>
  <c r="F496" i="30"/>
  <c r="G496" i="30" s="1"/>
  <c r="H496" i="30"/>
  <c r="F497" i="30"/>
  <c r="G497" i="30" s="1"/>
  <c r="H497" i="30"/>
  <c r="F498" i="30"/>
  <c r="G498" i="30" s="1"/>
  <c r="H498" i="30"/>
  <c r="F499" i="30"/>
  <c r="G499" i="30" s="1"/>
  <c r="H499" i="30"/>
  <c r="F500" i="30"/>
  <c r="G500" i="30" s="1"/>
  <c r="H500" i="30"/>
  <c r="F501" i="30"/>
  <c r="G501" i="30" s="1"/>
  <c r="H501" i="30"/>
  <c r="F502" i="30"/>
  <c r="G502" i="30" s="1"/>
  <c r="H502" i="30"/>
  <c r="F503" i="30"/>
  <c r="G503" i="30" s="1"/>
  <c r="H503" i="30"/>
  <c r="F504" i="30"/>
  <c r="G504" i="30" s="1"/>
  <c r="H504" i="30"/>
  <c r="F505" i="30"/>
  <c r="G505" i="30" s="1"/>
  <c r="H505" i="30"/>
  <c r="F506" i="30"/>
  <c r="G506" i="30" s="1"/>
  <c r="H506" i="30"/>
  <c r="F507" i="30"/>
  <c r="G507" i="30" s="1"/>
  <c r="H507" i="30"/>
  <c r="F508" i="30"/>
  <c r="G508" i="30" s="1"/>
  <c r="H508" i="30"/>
  <c r="F509" i="30"/>
  <c r="G509" i="30" s="1"/>
  <c r="H509" i="30"/>
  <c r="F510" i="30"/>
  <c r="G510" i="30" s="1"/>
  <c r="H510" i="30"/>
  <c r="F511" i="30"/>
  <c r="G511" i="30" s="1"/>
  <c r="H511" i="30"/>
  <c r="F512" i="30"/>
  <c r="G512" i="30" s="1"/>
  <c r="H512" i="30"/>
  <c r="F513" i="30"/>
  <c r="G513" i="30" s="1"/>
  <c r="H513" i="30"/>
  <c r="F514" i="30"/>
  <c r="G514" i="30" s="1"/>
  <c r="H514" i="30"/>
  <c r="F515" i="30"/>
  <c r="G515" i="30" s="1"/>
  <c r="H515" i="30"/>
  <c r="F516" i="30"/>
  <c r="G516" i="30" s="1"/>
  <c r="H516" i="30"/>
  <c r="F517" i="30"/>
  <c r="G517" i="30" s="1"/>
  <c r="H517" i="30"/>
  <c r="F518" i="30"/>
  <c r="G518" i="30" s="1"/>
  <c r="H518" i="30"/>
  <c r="F519" i="30"/>
  <c r="G519" i="30" s="1"/>
  <c r="H519" i="30"/>
  <c r="F520" i="30"/>
  <c r="G520" i="30" s="1"/>
  <c r="H520" i="30"/>
  <c r="F521" i="30"/>
  <c r="G521" i="30" s="1"/>
  <c r="H521" i="30"/>
  <c r="F522" i="30"/>
  <c r="G522" i="30" s="1"/>
  <c r="H522" i="30"/>
  <c r="F523" i="30"/>
  <c r="G523" i="30" s="1"/>
  <c r="H523" i="30"/>
  <c r="F524" i="30"/>
  <c r="G524" i="30" s="1"/>
  <c r="H524" i="30"/>
  <c r="F525" i="30"/>
  <c r="G525" i="30" s="1"/>
  <c r="H525" i="30"/>
  <c r="F526" i="30"/>
  <c r="G526" i="30" s="1"/>
  <c r="H526" i="30"/>
  <c r="F527" i="30"/>
  <c r="G527" i="30" s="1"/>
  <c r="H527" i="30"/>
  <c r="F528" i="30"/>
  <c r="G528" i="30" s="1"/>
  <c r="H528" i="30"/>
  <c r="F529" i="30"/>
  <c r="G529" i="30" s="1"/>
  <c r="H529" i="30"/>
  <c r="F530" i="30"/>
  <c r="G530" i="30" s="1"/>
  <c r="H530" i="30"/>
  <c r="F531" i="30"/>
  <c r="G531" i="30" s="1"/>
  <c r="H531" i="30"/>
  <c r="F532" i="30"/>
  <c r="G532" i="30" s="1"/>
  <c r="H532" i="30"/>
  <c r="F533" i="30"/>
  <c r="G533" i="30" s="1"/>
  <c r="H533" i="30"/>
  <c r="F534" i="30"/>
  <c r="G534" i="30" s="1"/>
  <c r="H534" i="30"/>
  <c r="F535" i="30"/>
  <c r="G535" i="30" s="1"/>
  <c r="H535" i="30"/>
  <c r="F536" i="30"/>
  <c r="G536" i="30" s="1"/>
  <c r="H536" i="30"/>
  <c r="F537" i="30"/>
  <c r="G537" i="30" s="1"/>
  <c r="H537" i="30"/>
  <c r="F538" i="30"/>
  <c r="G538" i="30" s="1"/>
  <c r="H538" i="30"/>
  <c r="F539" i="30"/>
  <c r="G539" i="30" s="1"/>
  <c r="H539" i="30"/>
  <c r="F540" i="30"/>
  <c r="G540" i="30" s="1"/>
  <c r="H540" i="30"/>
  <c r="F541" i="30"/>
  <c r="G541" i="30" s="1"/>
  <c r="H541" i="30"/>
  <c r="F542" i="30"/>
  <c r="G542" i="30" s="1"/>
  <c r="H542" i="30"/>
  <c r="F543" i="30"/>
  <c r="G543" i="30" s="1"/>
  <c r="H543" i="30"/>
  <c r="F544" i="30"/>
  <c r="G544" i="30" s="1"/>
  <c r="H544" i="30"/>
  <c r="F545" i="30"/>
  <c r="G545" i="30" s="1"/>
  <c r="H545" i="30"/>
  <c r="F546" i="30"/>
  <c r="G546" i="30" s="1"/>
  <c r="H546" i="30"/>
  <c r="F547" i="30"/>
  <c r="G547" i="30" s="1"/>
  <c r="H547" i="30"/>
  <c r="F548" i="30"/>
  <c r="G548" i="30" s="1"/>
  <c r="H548" i="30"/>
  <c r="F549" i="30"/>
  <c r="G549" i="30" s="1"/>
  <c r="H549" i="30"/>
  <c r="F550" i="30"/>
  <c r="G550" i="30" s="1"/>
  <c r="H550" i="30"/>
  <c r="F551" i="30"/>
  <c r="G551" i="30" s="1"/>
  <c r="H551" i="30"/>
  <c r="F552" i="30"/>
  <c r="G552" i="30" s="1"/>
  <c r="H552" i="30"/>
  <c r="F553" i="30"/>
  <c r="G553" i="30" s="1"/>
  <c r="H553" i="30"/>
  <c r="F554" i="30"/>
  <c r="G554" i="30" s="1"/>
  <c r="H554" i="30"/>
  <c r="F555" i="30"/>
  <c r="G555" i="30" s="1"/>
  <c r="H555" i="30"/>
  <c r="F556" i="30"/>
  <c r="G556" i="30" s="1"/>
  <c r="H556" i="30"/>
  <c r="F557" i="30"/>
  <c r="G557" i="30" s="1"/>
  <c r="H557" i="30"/>
  <c r="F558" i="30"/>
  <c r="G558" i="30" s="1"/>
  <c r="H558" i="30"/>
  <c r="F559" i="30"/>
  <c r="G559" i="30" s="1"/>
  <c r="H559" i="30"/>
  <c r="F560" i="30"/>
  <c r="G560" i="30" s="1"/>
  <c r="H560" i="30"/>
  <c r="F561" i="30"/>
  <c r="G561" i="30" s="1"/>
  <c r="H561" i="30"/>
  <c r="F562" i="30"/>
  <c r="G562" i="30" s="1"/>
  <c r="H562" i="30"/>
  <c r="F563" i="30"/>
  <c r="G563" i="30" s="1"/>
  <c r="H563" i="30"/>
  <c r="F564" i="30"/>
  <c r="G564" i="30" s="1"/>
  <c r="H564" i="30"/>
  <c r="F565" i="30"/>
  <c r="G565" i="30" s="1"/>
  <c r="H565" i="30"/>
  <c r="F566" i="30"/>
  <c r="G566" i="30" s="1"/>
  <c r="H566" i="30"/>
  <c r="F567" i="30"/>
  <c r="G567" i="30" s="1"/>
  <c r="H567" i="30"/>
  <c r="F568" i="30"/>
  <c r="G568" i="30" s="1"/>
  <c r="H568" i="30"/>
  <c r="F569" i="30"/>
  <c r="G569" i="30" s="1"/>
  <c r="H569" i="30"/>
  <c r="F570" i="30"/>
  <c r="G570" i="30" s="1"/>
  <c r="H570" i="30"/>
  <c r="F571" i="30"/>
  <c r="G571" i="30" s="1"/>
  <c r="H571" i="30"/>
  <c r="F572" i="30"/>
  <c r="G572" i="30" s="1"/>
  <c r="H572" i="30"/>
  <c r="F573" i="30"/>
  <c r="G573" i="30" s="1"/>
  <c r="H573" i="30"/>
  <c r="F574" i="30"/>
  <c r="G574" i="30" s="1"/>
  <c r="H574" i="30"/>
  <c r="F575" i="30"/>
  <c r="G575" i="30" s="1"/>
  <c r="H575" i="30"/>
  <c r="F576" i="30"/>
  <c r="G576" i="30" s="1"/>
  <c r="H576" i="30"/>
  <c r="F577" i="30"/>
  <c r="G577" i="30" s="1"/>
  <c r="H577" i="30"/>
  <c r="F578" i="30"/>
  <c r="G578" i="30" s="1"/>
  <c r="H578" i="30"/>
  <c r="F579" i="30"/>
  <c r="G579" i="30" s="1"/>
  <c r="H579" i="30"/>
  <c r="F580" i="30"/>
  <c r="G580" i="30" s="1"/>
  <c r="H580" i="30"/>
  <c r="F581" i="30"/>
  <c r="G581" i="30" s="1"/>
  <c r="H581" i="30"/>
  <c r="F582" i="30"/>
  <c r="G582" i="30" s="1"/>
  <c r="H582" i="30"/>
  <c r="F583" i="30"/>
  <c r="G583" i="30" s="1"/>
  <c r="H583" i="30"/>
  <c r="F584" i="30"/>
  <c r="G584" i="30" s="1"/>
  <c r="H584" i="30"/>
  <c r="F585" i="30"/>
  <c r="G585" i="30" s="1"/>
  <c r="H585" i="30"/>
  <c r="F586" i="30"/>
  <c r="G586" i="30" s="1"/>
  <c r="H586" i="30"/>
  <c r="F587" i="30"/>
  <c r="G587" i="30" s="1"/>
  <c r="H587" i="30"/>
  <c r="F588" i="30"/>
  <c r="G588" i="30" s="1"/>
  <c r="H588" i="30"/>
  <c r="F589" i="30"/>
  <c r="G589" i="30" s="1"/>
  <c r="H589" i="30"/>
  <c r="F590" i="30"/>
  <c r="G590" i="30" s="1"/>
  <c r="H590" i="30"/>
  <c r="F591" i="30"/>
  <c r="G591" i="30" s="1"/>
  <c r="H591" i="30"/>
  <c r="F592" i="30"/>
  <c r="G592" i="30" s="1"/>
  <c r="H592" i="30"/>
  <c r="F593" i="30"/>
  <c r="G593" i="30" s="1"/>
  <c r="H593" i="30"/>
  <c r="F594" i="30"/>
  <c r="G594" i="30" s="1"/>
  <c r="H594" i="30"/>
  <c r="F595" i="30"/>
  <c r="G595" i="30" s="1"/>
  <c r="H595" i="30"/>
  <c r="F596" i="30"/>
  <c r="G596" i="30" s="1"/>
  <c r="H596" i="30"/>
  <c r="F597" i="30"/>
  <c r="G597" i="30" s="1"/>
  <c r="H597" i="30"/>
  <c r="F598" i="30"/>
  <c r="G598" i="30" s="1"/>
  <c r="H598" i="30"/>
  <c r="F599" i="30"/>
  <c r="G599" i="30" s="1"/>
  <c r="H599" i="30"/>
  <c r="F600" i="30"/>
  <c r="G600" i="30" s="1"/>
  <c r="H600" i="30"/>
  <c r="F601" i="30"/>
  <c r="G601" i="30" s="1"/>
  <c r="H601" i="30"/>
  <c r="F602" i="30"/>
  <c r="G602" i="30" s="1"/>
  <c r="H602" i="30"/>
  <c r="F603" i="30"/>
  <c r="G603" i="30" s="1"/>
  <c r="H603" i="30"/>
  <c r="F604" i="30"/>
  <c r="G604" i="30" s="1"/>
  <c r="H604" i="30"/>
  <c r="F605" i="30"/>
  <c r="G605" i="30" s="1"/>
  <c r="H605" i="30"/>
  <c r="F606" i="30"/>
  <c r="G606" i="30" s="1"/>
  <c r="H606" i="30"/>
  <c r="F607" i="30"/>
  <c r="G607" i="30" s="1"/>
  <c r="H607" i="30"/>
  <c r="F608" i="30"/>
  <c r="G608" i="30" s="1"/>
  <c r="H608" i="30"/>
  <c r="F609" i="30"/>
  <c r="G609" i="30" s="1"/>
  <c r="H609" i="30"/>
  <c r="F610" i="30"/>
  <c r="G610" i="30" s="1"/>
  <c r="H610" i="30"/>
  <c r="F611" i="30"/>
  <c r="G611" i="30" s="1"/>
  <c r="H611" i="30"/>
  <c r="F612" i="30"/>
  <c r="G612" i="30" s="1"/>
  <c r="H612" i="30"/>
  <c r="F613" i="30"/>
  <c r="G613" i="30" s="1"/>
  <c r="H613" i="30"/>
  <c r="F614" i="30"/>
  <c r="G614" i="30" s="1"/>
  <c r="H614" i="30"/>
  <c r="F615" i="30"/>
  <c r="G615" i="30" s="1"/>
  <c r="H615" i="30"/>
  <c r="F616" i="30"/>
  <c r="G616" i="30" s="1"/>
  <c r="H616" i="30"/>
  <c r="F617" i="30"/>
  <c r="G617" i="30" s="1"/>
  <c r="H617" i="30"/>
  <c r="F618" i="30"/>
  <c r="G618" i="30" s="1"/>
  <c r="H618" i="30"/>
  <c r="F619" i="30"/>
  <c r="G619" i="30" s="1"/>
  <c r="H619" i="30"/>
  <c r="F620" i="30"/>
  <c r="G620" i="30" s="1"/>
  <c r="H620" i="30"/>
  <c r="F621" i="30"/>
  <c r="G621" i="30" s="1"/>
  <c r="H621" i="30"/>
  <c r="F622" i="30"/>
  <c r="G622" i="30" s="1"/>
  <c r="H622" i="30"/>
  <c r="F623" i="30"/>
  <c r="G623" i="30" s="1"/>
  <c r="H623" i="30"/>
  <c r="C638" i="30"/>
  <c r="F820" i="30"/>
  <c r="G820" i="30" s="1"/>
  <c r="F821" i="30"/>
  <c r="G821" i="30" s="1"/>
  <c r="F822" i="30"/>
  <c r="G822" i="30" s="1"/>
  <c r="F823" i="30"/>
  <c r="G823" i="30" s="1"/>
  <c r="F824" i="30"/>
  <c r="G824" i="30" s="1"/>
  <c r="F825" i="30"/>
  <c r="G825" i="30" s="1"/>
  <c r="F826" i="30"/>
  <c r="G826" i="30" s="1"/>
  <c r="F827" i="30"/>
  <c r="G827" i="30" s="1"/>
  <c r="F828" i="30"/>
  <c r="G828" i="30" s="1"/>
  <c r="F829" i="30"/>
  <c r="G829" i="30" s="1"/>
  <c r="F830" i="30"/>
  <c r="G830" i="30" s="1"/>
  <c r="F831" i="30"/>
  <c r="G831" i="30" s="1"/>
  <c r="F832" i="30"/>
  <c r="G832" i="30" s="1"/>
  <c r="F833" i="30"/>
  <c r="G833" i="30" s="1"/>
  <c r="F834" i="30"/>
  <c r="G834" i="30" s="1"/>
  <c r="F835" i="30"/>
  <c r="G835" i="30" s="1"/>
  <c r="F836" i="30"/>
  <c r="G836" i="30" s="1"/>
  <c r="F837" i="30"/>
  <c r="G837" i="30" s="1"/>
  <c r="F838" i="30"/>
  <c r="G838" i="30" s="1"/>
  <c r="F839" i="30"/>
  <c r="G839" i="30" s="1"/>
  <c r="F840" i="30"/>
  <c r="G840" i="30" s="1"/>
  <c r="F841" i="30"/>
  <c r="G841" i="30" s="1"/>
  <c r="F842" i="30"/>
  <c r="G842" i="30" s="1"/>
  <c r="F843" i="30"/>
  <c r="G843" i="30" s="1"/>
  <c r="F844" i="30"/>
  <c r="G844" i="30" s="1"/>
  <c r="F846" i="30"/>
  <c r="F847" i="30"/>
  <c r="G847" i="30" s="1"/>
  <c r="F848" i="30"/>
  <c r="G848" i="30" s="1"/>
  <c r="F849" i="30"/>
  <c r="G849" i="30" s="1"/>
  <c r="F850" i="30"/>
  <c r="G850" i="30" s="1"/>
  <c r="F851" i="30"/>
  <c r="G851" i="30" s="1"/>
  <c r="F852" i="30"/>
  <c r="G852" i="30" s="1"/>
  <c r="F853" i="30"/>
  <c r="G853" i="30" s="1"/>
  <c r="F854" i="30"/>
  <c r="G854" i="30" s="1"/>
  <c r="F855" i="30"/>
  <c r="G855" i="30" s="1"/>
  <c r="F856" i="30"/>
  <c r="G856" i="30" s="1"/>
  <c r="F857" i="30"/>
  <c r="G857" i="30" s="1"/>
  <c r="F858" i="30"/>
  <c r="G858" i="30" s="1"/>
  <c r="F859" i="30"/>
  <c r="G859" i="30" s="1"/>
  <c r="F860" i="30"/>
  <c r="G860" i="30" s="1"/>
  <c r="F861" i="30"/>
  <c r="G861" i="30" s="1"/>
  <c r="F862" i="30"/>
  <c r="G862" i="30" s="1"/>
  <c r="F863" i="30"/>
  <c r="G863" i="30" s="1"/>
  <c r="F864" i="30"/>
  <c r="G864" i="30" s="1"/>
  <c r="F865" i="30"/>
  <c r="G865" i="30" s="1"/>
  <c r="F866" i="30"/>
  <c r="G866" i="30" s="1"/>
  <c r="F867" i="30"/>
  <c r="G867" i="30" s="1"/>
  <c r="F868" i="30"/>
  <c r="G868" i="30" s="1"/>
  <c r="F869" i="30"/>
  <c r="G869" i="30" s="1"/>
  <c r="F870" i="30"/>
  <c r="G870" i="30" s="1"/>
  <c r="F871" i="30"/>
  <c r="G871" i="30" s="1"/>
  <c r="F872" i="30"/>
  <c r="G872" i="30" s="1"/>
  <c r="F873" i="30"/>
  <c r="G873" i="30" s="1"/>
  <c r="F874" i="30"/>
  <c r="G874" i="30" s="1"/>
  <c r="F875" i="30"/>
  <c r="G875" i="30" s="1"/>
  <c r="F876" i="30"/>
  <c r="G876" i="30" s="1"/>
  <c r="F877" i="30"/>
  <c r="G877" i="30" s="1"/>
  <c r="F878" i="30"/>
  <c r="G878" i="30" s="1"/>
  <c r="F879" i="30"/>
  <c r="G879" i="30" s="1"/>
  <c r="F880" i="30"/>
  <c r="G880" i="30" s="1"/>
  <c r="F881" i="30"/>
  <c r="G881" i="30" s="1"/>
  <c r="F882" i="30"/>
  <c r="G882" i="30" s="1"/>
  <c r="F883" i="30"/>
  <c r="G883" i="30" s="1"/>
  <c r="F884" i="30"/>
  <c r="G884" i="30" s="1"/>
  <c r="F885" i="30"/>
  <c r="G885" i="30" s="1"/>
  <c r="F886" i="30"/>
  <c r="G886" i="30" s="1"/>
  <c r="F887" i="30"/>
  <c r="G887" i="30" s="1"/>
  <c r="F888" i="30"/>
  <c r="G888" i="30" s="1"/>
  <c r="F889" i="30"/>
  <c r="G889" i="30" s="1"/>
  <c r="F890" i="30"/>
  <c r="G890" i="30" s="1"/>
  <c r="F891" i="30"/>
  <c r="G891" i="30" s="1"/>
  <c r="F892" i="30"/>
  <c r="G892" i="30" s="1"/>
  <c r="F893" i="30"/>
  <c r="G893" i="30" s="1"/>
  <c r="F894" i="30"/>
  <c r="G894" i="30" s="1"/>
  <c r="F895" i="30"/>
  <c r="G895" i="30" s="1"/>
  <c r="F896" i="30"/>
  <c r="G896" i="30" s="1"/>
  <c r="F897" i="30"/>
  <c r="G897" i="30" s="1"/>
  <c r="F898" i="30"/>
  <c r="G898" i="30" s="1"/>
  <c r="F899" i="30"/>
  <c r="G899" i="30" s="1"/>
  <c r="F900" i="30"/>
  <c r="G900" i="30" s="1"/>
  <c r="F901" i="30"/>
  <c r="G901" i="30" s="1"/>
  <c r="F902" i="30"/>
  <c r="G902" i="30" s="1"/>
  <c r="F903" i="30"/>
  <c r="G903" i="30" s="1"/>
  <c r="F904" i="30"/>
  <c r="G904" i="30" s="1"/>
  <c r="F905" i="30"/>
  <c r="G905" i="30" s="1"/>
  <c r="F906" i="30"/>
  <c r="G906" i="30" s="1"/>
  <c r="F907" i="30"/>
  <c r="G907" i="30" s="1"/>
  <c r="F908" i="30"/>
  <c r="G908" i="30" s="1"/>
  <c r="F909" i="30"/>
  <c r="G909" i="30" s="1"/>
  <c r="F910" i="30"/>
  <c r="G910" i="30" s="1"/>
  <c r="F911" i="30"/>
  <c r="G911" i="30" s="1"/>
  <c r="F912" i="30"/>
  <c r="G912" i="30" s="1"/>
  <c r="F913" i="30"/>
  <c r="G913" i="30" s="1"/>
  <c r="F914" i="30"/>
  <c r="G914" i="30" s="1"/>
  <c r="F915" i="30"/>
  <c r="G915" i="30" s="1"/>
  <c r="F916" i="30"/>
  <c r="G916" i="30" s="1"/>
  <c r="F917" i="30"/>
  <c r="G917" i="30" s="1"/>
  <c r="F918" i="30"/>
  <c r="G918" i="30" s="1"/>
  <c r="F919" i="30"/>
  <c r="G919" i="30" s="1"/>
  <c r="F920" i="30"/>
  <c r="G920" i="30" s="1"/>
  <c r="F921" i="30"/>
  <c r="G921" i="30" s="1"/>
  <c r="F922" i="30"/>
  <c r="G922" i="30" s="1"/>
  <c r="F923" i="30"/>
  <c r="G923" i="30" s="1"/>
  <c r="F924" i="30"/>
  <c r="G924" i="30" s="1"/>
  <c r="F925" i="30"/>
  <c r="G925" i="30" s="1"/>
  <c r="F926" i="30"/>
  <c r="G926" i="30" s="1"/>
  <c r="F927" i="30"/>
  <c r="G927" i="30" s="1"/>
  <c r="F928" i="30"/>
  <c r="G928" i="30" s="1"/>
  <c r="F929" i="30"/>
  <c r="G929" i="30" s="1"/>
  <c r="F930" i="30"/>
  <c r="G930" i="30" s="1"/>
  <c r="F931" i="30"/>
  <c r="G931" i="30" s="1"/>
  <c r="F932" i="30"/>
  <c r="G932" i="30" s="1"/>
  <c r="F933" i="30"/>
  <c r="G933" i="30" s="1"/>
  <c r="F934" i="30"/>
  <c r="G934" i="30" s="1"/>
  <c r="F935" i="30"/>
  <c r="G935" i="30" s="1"/>
  <c r="F936" i="30"/>
  <c r="G936" i="30" s="1"/>
  <c r="F937" i="30"/>
  <c r="G937" i="30" s="1"/>
  <c r="F938" i="30"/>
  <c r="G938" i="30" s="1"/>
  <c r="F939" i="30"/>
  <c r="G939" i="30" s="1"/>
  <c r="F940" i="30"/>
  <c r="G940" i="30" s="1"/>
  <c r="F941" i="30"/>
  <c r="G941" i="30" s="1"/>
  <c r="F942" i="30"/>
  <c r="G942" i="30" s="1"/>
  <c r="F943" i="30"/>
  <c r="G943" i="30" s="1"/>
  <c r="F944" i="30"/>
  <c r="G944" i="30" s="1"/>
  <c r="F945" i="30"/>
  <c r="G945" i="30" s="1"/>
  <c r="F946" i="30"/>
  <c r="G946" i="30" s="1"/>
  <c r="F947" i="30"/>
  <c r="G947" i="30" s="1"/>
  <c r="F948" i="30"/>
  <c r="G948" i="30" s="1"/>
  <c r="F949" i="30"/>
  <c r="G949" i="30" s="1"/>
  <c r="F950" i="30"/>
  <c r="G950" i="30" s="1"/>
  <c r="F951" i="30"/>
  <c r="G951" i="30" s="1"/>
  <c r="F952" i="30"/>
  <c r="G952" i="30" s="1"/>
  <c r="F953" i="30"/>
  <c r="G953" i="30" s="1"/>
  <c r="F954" i="30"/>
  <c r="G954" i="30" s="1"/>
  <c r="F955" i="30"/>
  <c r="G955" i="30" s="1"/>
  <c r="F956" i="30"/>
  <c r="G956" i="30" s="1"/>
  <c r="F957" i="30"/>
  <c r="G957" i="30" s="1"/>
  <c r="F958" i="30"/>
  <c r="G958" i="30" s="1"/>
  <c r="F959" i="30"/>
  <c r="G959" i="30" s="1"/>
  <c r="F960" i="30"/>
  <c r="G960" i="30" s="1"/>
  <c r="F961" i="30"/>
  <c r="G961" i="30" s="1"/>
  <c r="F962" i="30"/>
  <c r="G962" i="30" s="1"/>
  <c r="F963" i="30"/>
  <c r="G963" i="30" s="1"/>
  <c r="F964" i="30"/>
  <c r="G964" i="30" s="1"/>
  <c r="F965" i="30"/>
  <c r="G965" i="30" s="1"/>
  <c r="F966" i="30"/>
  <c r="G966" i="30" s="1"/>
  <c r="F967" i="30"/>
  <c r="G967" i="30" s="1"/>
  <c r="F968" i="30"/>
  <c r="G968" i="30" s="1"/>
  <c r="F969" i="30"/>
  <c r="G969" i="30" s="1"/>
  <c r="F970" i="30"/>
  <c r="G970" i="30" s="1"/>
  <c r="F971" i="30"/>
  <c r="G971" i="30" s="1"/>
  <c r="F972" i="30"/>
  <c r="G972" i="30" s="1"/>
  <c r="F973" i="30"/>
  <c r="G973" i="30" s="1"/>
  <c r="F974" i="30"/>
  <c r="G974" i="30" s="1"/>
  <c r="F975" i="30"/>
  <c r="G975" i="30" s="1"/>
  <c r="F976" i="30"/>
  <c r="G976" i="30" s="1"/>
  <c r="F977" i="30"/>
  <c r="G977" i="30" s="1"/>
  <c r="C978" i="30"/>
  <c r="C845" i="30"/>
  <c r="C819" i="30"/>
  <c r="F801" i="30"/>
  <c r="G801" i="30" s="1"/>
  <c r="H801" i="30"/>
  <c r="F802" i="30"/>
  <c r="G802" i="30" s="1"/>
  <c r="H802" i="30"/>
  <c r="F803" i="30"/>
  <c r="G803" i="30" s="1"/>
  <c r="H803" i="30"/>
  <c r="F804" i="30"/>
  <c r="G804" i="30" s="1"/>
  <c r="H804" i="30"/>
  <c r="F805" i="30"/>
  <c r="G805" i="30" s="1"/>
  <c r="H805" i="30"/>
  <c r="F806" i="30"/>
  <c r="G806" i="30" s="1"/>
  <c r="H806" i="30"/>
  <c r="F807" i="30"/>
  <c r="G807" i="30" s="1"/>
  <c r="H807" i="30"/>
  <c r="F808" i="30"/>
  <c r="G808" i="30" s="1"/>
  <c r="H808" i="30"/>
  <c r="F809" i="30"/>
  <c r="G809" i="30" s="1"/>
  <c r="H809" i="30"/>
  <c r="F810" i="30"/>
  <c r="G810" i="30" s="1"/>
  <c r="H810" i="30"/>
  <c r="F811" i="30"/>
  <c r="G811" i="30" s="1"/>
  <c r="H811" i="30"/>
  <c r="F812" i="30"/>
  <c r="G812" i="30" s="1"/>
  <c r="H812" i="30"/>
  <c r="F813" i="30"/>
  <c r="G813" i="30" s="1"/>
  <c r="H813" i="30"/>
  <c r="F814" i="30"/>
  <c r="G814" i="30" s="1"/>
  <c r="H814" i="30"/>
  <c r="F815" i="30"/>
  <c r="G815" i="30" s="1"/>
  <c r="H815" i="30"/>
  <c r="F816" i="30"/>
  <c r="G816" i="30" s="1"/>
  <c r="H816" i="30"/>
  <c r="F817" i="30"/>
  <c r="G817" i="30" s="1"/>
  <c r="H817" i="30"/>
  <c r="F818" i="30"/>
  <c r="G818" i="30" s="1"/>
  <c r="H818" i="30"/>
  <c r="H820" i="30"/>
  <c r="H821" i="30"/>
  <c r="H822" i="30"/>
  <c r="H823" i="30"/>
  <c r="H824" i="30"/>
  <c r="H825" i="30"/>
  <c r="H826" i="30"/>
  <c r="H827" i="30"/>
  <c r="H828" i="30"/>
  <c r="H829" i="30"/>
  <c r="H830" i="30"/>
  <c r="H831" i="30"/>
  <c r="H832" i="30"/>
  <c r="H833" i="30"/>
  <c r="H834" i="30"/>
  <c r="H835" i="30"/>
  <c r="H836" i="30"/>
  <c r="H837" i="30"/>
  <c r="H838" i="30"/>
  <c r="H839" i="30"/>
  <c r="H840" i="30"/>
  <c r="H841" i="30"/>
  <c r="H842" i="30"/>
  <c r="H843" i="30"/>
  <c r="H844" i="30"/>
  <c r="H846" i="30"/>
  <c r="H847" i="30"/>
  <c r="H848" i="30"/>
  <c r="H849" i="30"/>
  <c r="H850" i="30"/>
  <c r="H851" i="30"/>
  <c r="H852" i="30"/>
  <c r="H853" i="30"/>
  <c r="H854" i="30"/>
  <c r="H855" i="30"/>
  <c r="H856" i="30"/>
  <c r="H857" i="30"/>
  <c r="H858" i="30"/>
  <c r="H859" i="30"/>
  <c r="H860" i="30"/>
  <c r="H861" i="30"/>
  <c r="H862" i="30"/>
  <c r="H863" i="30"/>
  <c r="H864" i="30"/>
  <c r="H865" i="30"/>
  <c r="H866" i="30"/>
  <c r="H867" i="30"/>
  <c r="H868" i="30"/>
  <c r="H869" i="30"/>
  <c r="H870" i="30"/>
  <c r="H871" i="30"/>
  <c r="H872" i="30"/>
  <c r="H873" i="30"/>
  <c r="H874" i="30"/>
  <c r="H875" i="30"/>
  <c r="H876" i="30"/>
  <c r="H877" i="30"/>
  <c r="H878" i="30"/>
  <c r="H879" i="30"/>
  <c r="H880" i="30"/>
  <c r="H881" i="30"/>
  <c r="H882" i="30"/>
  <c r="H883" i="30"/>
  <c r="H884" i="30"/>
  <c r="H885" i="30"/>
  <c r="H886" i="30"/>
  <c r="H887" i="30"/>
  <c r="H888" i="30"/>
  <c r="H889" i="30"/>
  <c r="H890" i="30"/>
  <c r="H891" i="30"/>
  <c r="H892" i="30"/>
  <c r="H893" i="30"/>
  <c r="H894" i="30"/>
  <c r="H895" i="30"/>
  <c r="H896" i="30"/>
  <c r="H897" i="30"/>
  <c r="H898" i="30"/>
  <c r="H899" i="30"/>
  <c r="H900" i="30"/>
  <c r="H901" i="30"/>
  <c r="H902" i="30"/>
  <c r="H903" i="30"/>
  <c r="H904" i="30"/>
  <c r="H905" i="30"/>
  <c r="H906" i="30"/>
  <c r="H907" i="30"/>
  <c r="H908" i="30"/>
  <c r="H909" i="30"/>
  <c r="H910" i="30"/>
  <c r="H911" i="30"/>
  <c r="H912" i="30"/>
  <c r="H913" i="30"/>
  <c r="H914" i="30"/>
  <c r="H915" i="30"/>
  <c r="H916" i="30"/>
  <c r="H917" i="30"/>
  <c r="H918" i="30"/>
  <c r="H919" i="30"/>
  <c r="H920" i="30"/>
  <c r="H921" i="30"/>
  <c r="H922" i="30"/>
  <c r="H923" i="30"/>
  <c r="H924" i="30"/>
  <c r="H925" i="30"/>
  <c r="H926" i="30"/>
  <c r="H927" i="30"/>
  <c r="H928" i="30"/>
  <c r="H929" i="30"/>
  <c r="H930" i="30"/>
  <c r="H931" i="30"/>
  <c r="H932" i="30"/>
  <c r="H933" i="30"/>
  <c r="H934" i="30"/>
  <c r="H935" i="30"/>
  <c r="H936" i="30"/>
  <c r="H937" i="30"/>
  <c r="H938" i="30"/>
  <c r="H939" i="30"/>
  <c r="H940" i="30"/>
  <c r="H941" i="30"/>
  <c r="H942" i="30"/>
  <c r="H943" i="30"/>
  <c r="H944" i="30"/>
  <c r="H945" i="30"/>
  <c r="H946" i="30"/>
  <c r="H947" i="30"/>
  <c r="H948" i="30"/>
  <c r="H949" i="30"/>
  <c r="H950" i="30"/>
  <c r="H951" i="30"/>
  <c r="H952" i="30"/>
  <c r="H953" i="30"/>
  <c r="H954" i="30"/>
  <c r="H955" i="30"/>
  <c r="H956" i="30"/>
  <c r="H957" i="30"/>
  <c r="H958" i="30"/>
  <c r="H959" i="30"/>
  <c r="H960" i="30"/>
  <c r="H961" i="30"/>
  <c r="H962" i="30"/>
  <c r="H963" i="30"/>
  <c r="H964" i="30"/>
  <c r="H965" i="30"/>
  <c r="H966" i="30"/>
  <c r="H967" i="30"/>
  <c r="H968" i="30"/>
  <c r="H969" i="30"/>
  <c r="H970" i="30"/>
  <c r="H971" i="30"/>
  <c r="H972" i="30"/>
  <c r="H973" i="30"/>
  <c r="H974" i="30"/>
  <c r="H975" i="30"/>
  <c r="H976" i="30"/>
  <c r="H977" i="30"/>
  <c r="H800" i="30"/>
  <c r="F800" i="30"/>
  <c r="G800" i="30" s="1"/>
  <c r="H763" i="30"/>
  <c r="H764" i="30"/>
  <c r="H765" i="30"/>
  <c r="H766" i="30"/>
  <c r="H767" i="30"/>
  <c r="H768" i="30"/>
  <c r="H769" i="30"/>
  <c r="H770" i="30"/>
  <c r="H771" i="30"/>
  <c r="H772" i="30"/>
  <c r="H773" i="30"/>
  <c r="H774" i="30"/>
  <c r="H775" i="30"/>
  <c r="H776" i="30"/>
  <c r="H777" i="30"/>
  <c r="H778" i="30"/>
  <c r="H779" i="30"/>
  <c r="H780" i="30"/>
  <c r="H781" i="30"/>
  <c r="H782" i="30"/>
  <c r="H783" i="30"/>
  <c r="H784" i="30"/>
  <c r="H785" i="30"/>
  <c r="H786" i="30"/>
  <c r="H787" i="30"/>
  <c r="H788" i="30"/>
  <c r="H789" i="30"/>
  <c r="H790" i="30"/>
  <c r="H791" i="30"/>
  <c r="H792" i="30"/>
  <c r="H793" i="30"/>
  <c r="H794" i="30"/>
  <c r="H795" i="30"/>
  <c r="H796" i="30"/>
  <c r="H797" i="30"/>
  <c r="H798" i="30"/>
  <c r="H760" i="30"/>
  <c r="H761" i="30"/>
  <c r="H762" i="30"/>
  <c r="F760" i="30"/>
  <c r="G760" i="30" s="1"/>
  <c r="F761" i="30"/>
  <c r="G761" i="30" s="1"/>
  <c r="F762" i="30"/>
  <c r="G762" i="30" s="1"/>
  <c r="F763" i="30"/>
  <c r="G763" i="30" s="1"/>
  <c r="F764" i="30"/>
  <c r="G764" i="30" s="1"/>
  <c r="F765" i="30"/>
  <c r="G765" i="30" s="1"/>
  <c r="F766" i="30"/>
  <c r="G766" i="30" s="1"/>
  <c r="F767" i="30"/>
  <c r="G767" i="30" s="1"/>
  <c r="F768" i="30"/>
  <c r="G768" i="30" s="1"/>
  <c r="F769" i="30"/>
  <c r="G769" i="30" s="1"/>
  <c r="F770" i="30"/>
  <c r="G770" i="30" s="1"/>
  <c r="F771" i="30"/>
  <c r="G771" i="30" s="1"/>
  <c r="F772" i="30"/>
  <c r="G772" i="30" s="1"/>
  <c r="F773" i="30"/>
  <c r="G773" i="30" s="1"/>
  <c r="F774" i="30"/>
  <c r="G774" i="30" s="1"/>
  <c r="F775" i="30"/>
  <c r="G775" i="30" s="1"/>
  <c r="F776" i="30"/>
  <c r="G776" i="30" s="1"/>
  <c r="F777" i="30"/>
  <c r="G777" i="30" s="1"/>
  <c r="F778" i="30"/>
  <c r="G778" i="30" s="1"/>
  <c r="F779" i="30"/>
  <c r="G779" i="30" s="1"/>
  <c r="F780" i="30"/>
  <c r="G780" i="30" s="1"/>
  <c r="F781" i="30"/>
  <c r="G781" i="30" s="1"/>
  <c r="F782" i="30"/>
  <c r="G782" i="30" s="1"/>
  <c r="F783" i="30"/>
  <c r="G783" i="30" s="1"/>
  <c r="F784" i="30"/>
  <c r="G784" i="30" s="1"/>
  <c r="F785" i="30"/>
  <c r="G785" i="30" s="1"/>
  <c r="F786" i="30"/>
  <c r="G786" i="30" s="1"/>
  <c r="F787" i="30"/>
  <c r="G787" i="30" s="1"/>
  <c r="F788" i="30"/>
  <c r="G788" i="30" s="1"/>
  <c r="F789" i="30"/>
  <c r="G789" i="30" s="1"/>
  <c r="F790" i="30"/>
  <c r="G790" i="30" s="1"/>
  <c r="F791" i="30"/>
  <c r="G791" i="30" s="1"/>
  <c r="F792" i="30"/>
  <c r="G792" i="30" s="1"/>
  <c r="F793" i="30"/>
  <c r="G793" i="30" s="1"/>
  <c r="F794" i="30"/>
  <c r="G794" i="30" s="1"/>
  <c r="F795" i="30"/>
  <c r="G795" i="30" s="1"/>
  <c r="F796" i="30"/>
  <c r="G796" i="30" s="1"/>
  <c r="F797" i="30"/>
  <c r="G797" i="30" s="1"/>
  <c r="F798" i="30"/>
  <c r="G798" i="30" s="1"/>
  <c r="H759" i="30"/>
  <c r="F759" i="30"/>
  <c r="G759" i="30" s="1"/>
  <c r="C799" i="30"/>
  <c r="F729" i="30"/>
  <c r="G729" i="30" s="1"/>
  <c r="H729" i="30"/>
  <c r="F730" i="30"/>
  <c r="G730" i="30" s="1"/>
  <c r="H730" i="30"/>
  <c r="F731" i="30"/>
  <c r="G731" i="30" s="1"/>
  <c r="H731" i="30"/>
  <c r="F732" i="30"/>
  <c r="G732" i="30" s="1"/>
  <c r="H732" i="30"/>
  <c r="F733" i="30"/>
  <c r="G733" i="30" s="1"/>
  <c r="H733" i="30"/>
  <c r="F734" i="30"/>
  <c r="G734" i="30" s="1"/>
  <c r="H734" i="30"/>
  <c r="F735" i="30"/>
  <c r="G735" i="30" s="1"/>
  <c r="H735" i="30"/>
  <c r="F736" i="30"/>
  <c r="G736" i="30" s="1"/>
  <c r="H736" i="30"/>
  <c r="F737" i="30"/>
  <c r="G737" i="30" s="1"/>
  <c r="H737" i="30"/>
  <c r="F738" i="30"/>
  <c r="G738" i="30" s="1"/>
  <c r="H738" i="30"/>
  <c r="F739" i="30"/>
  <c r="G739" i="30" s="1"/>
  <c r="H739" i="30"/>
  <c r="F740" i="30"/>
  <c r="G740" i="30" s="1"/>
  <c r="H740" i="30"/>
  <c r="F741" i="30"/>
  <c r="G741" i="30" s="1"/>
  <c r="H741" i="30"/>
  <c r="F742" i="30"/>
  <c r="G742" i="30" s="1"/>
  <c r="H742" i="30"/>
  <c r="F743" i="30"/>
  <c r="G743" i="30" s="1"/>
  <c r="H743" i="30"/>
  <c r="F744" i="30"/>
  <c r="G744" i="30" s="1"/>
  <c r="H744" i="30"/>
  <c r="F745" i="30"/>
  <c r="G745" i="30" s="1"/>
  <c r="H745" i="30"/>
  <c r="F746" i="30"/>
  <c r="G746" i="30" s="1"/>
  <c r="H746" i="30"/>
  <c r="F747" i="30"/>
  <c r="G747" i="30" s="1"/>
  <c r="H747" i="30"/>
  <c r="F748" i="30"/>
  <c r="G748" i="30" s="1"/>
  <c r="H748" i="30"/>
  <c r="F749" i="30"/>
  <c r="G749" i="30" s="1"/>
  <c r="H749" i="30"/>
  <c r="F750" i="30"/>
  <c r="G750" i="30" s="1"/>
  <c r="H750" i="30"/>
  <c r="F751" i="30"/>
  <c r="G751" i="30" s="1"/>
  <c r="H751" i="30"/>
  <c r="F752" i="30"/>
  <c r="G752" i="30" s="1"/>
  <c r="H752" i="30"/>
  <c r="F753" i="30"/>
  <c r="G753" i="30" s="1"/>
  <c r="H753" i="30"/>
  <c r="F754" i="30"/>
  <c r="G754" i="30" s="1"/>
  <c r="H754" i="30"/>
  <c r="F755" i="30"/>
  <c r="G755" i="30" s="1"/>
  <c r="H755" i="30"/>
  <c r="F756" i="30"/>
  <c r="G756" i="30" s="1"/>
  <c r="H756" i="30"/>
  <c r="F757" i="30"/>
  <c r="G757" i="30" s="1"/>
  <c r="H757" i="30"/>
  <c r="H728" i="30"/>
  <c r="F728" i="30"/>
  <c r="G728" i="30" s="1"/>
  <c r="C758" i="30"/>
  <c r="C720" i="30"/>
  <c r="F624" i="30"/>
  <c r="G624" i="30" s="1"/>
  <c r="H624" i="30"/>
  <c r="F625" i="30"/>
  <c r="G625" i="30" s="1"/>
  <c r="H625" i="30"/>
  <c r="F626" i="30"/>
  <c r="G626" i="30" s="1"/>
  <c r="H626" i="30"/>
  <c r="F627" i="30"/>
  <c r="G627" i="30" s="1"/>
  <c r="H627" i="30"/>
  <c r="F628" i="30"/>
  <c r="G628" i="30" s="1"/>
  <c r="H628" i="30"/>
  <c r="F629" i="30"/>
  <c r="G629" i="30" s="1"/>
  <c r="H629" i="30"/>
  <c r="F630" i="30"/>
  <c r="G630" i="30" s="1"/>
  <c r="H630" i="30"/>
  <c r="F631" i="30"/>
  <c r="G631" i="30" s="1"/>
  <c r="H631" i="30"/>
  <c r="F632" i="30"/>
  <c r="G632" i="30" s="1"/>
  <c r="H632" i="30"/>
  <c r="F633" i="30"/>
  <c r="G633" i="30" s="1"/>
  <c r="H633" i="30"/>
  <c r="F634" i="30"/>
  <c r="G634" i="30" s="1"/>
  <c r="H634" i="30"/>
  <c r="F635" i="30"/>
  <c r="G635" i="30" s="1"/>
  <c r="H635" i="30"/>
  <c r="F636" i="30"/>
  <c r="G636" i="30" s="1"/>
  <c r="H636" i="30"/>
  <c r="F637" i="30"/>
  <c r="G637" i="30" s="1"/>
  <c r="H637" i="30"/>
  <c r="F639" i="30"/>
  <c r="G639" i="30" s="1"/>
  <c r="H639" i="30"/>
  <c r="F640" i="30"/>
  <c r="G640" i="30" s="1"/>
  <c r="H640" i="30"/>
  <c r="F641" i="30"/>
  <c r="G641" i="30" s="1"/>
  <c r="H641" i="30"/>
  <c r="F642" i="30"/>
  <c r="G642" i="30" s="1"/>
  <c r="H642" i="30"/>
  <c r="F643" i="30"/>
  <c r="G643" i="30" s="1"/>
  <c r="H643" i="30"/>
  <c r="F644" i="30"/>
  <c r="G644" i="30" s="1"/>
  <c r="H644" i="30"/>
  <c r="F645" i="30"/>
  <c r="G645" i="30" s="1"/>
  <c r="H645" i="30"/>
  <c r="F646" i="30"/>
  <c r="G646" i="30" s="1"/>
  <c r="H646" i="30"/>
  <c r="F647" i="30"/>
  <c r="G647" i="30" s="1"/>
  <c r="H647" i="30"/>
  <c r="F648" i="30"/>
  <c r="G648" i="30" s="1"/>
  <c r="H648" i="30"/>
  <c r="F649" i="30"/>
  <c r="G649" i="30" s="1"/>
  <c r="H649" i="30"/>
  <c r="F650" i="30"/>
  <c r="G650" i="30" s="1"/>
  <c r="H650" i="30"/>
  <c r="F651" i="30"/>
  <c r="G651" i="30" s="1"/>
  <c r="H651" i="30"/>
  <c r="F652" i="30"/>
  <c r="G652" i="30" s="1"/>
  <c r="H652" i="30"/>
  <c r="F653" i="30"/>
  <c r="G653" i="30" s="1"/>
  <c r="H653" i="30"/>
  <c r="F654" i="30"/>
  <c r="G654" i="30" s="1"/>
  <c r="H654" i="30"/>
  <c r="F655" i="30"/>
  <c r="G655" i="30" s="1"/>
  <c r="H655" i="30"/>
  <c r="F656" i="30"/>
  <c r="G656" i="30" s="1"/>
  <c r="H656" i="30"/>
  <c r="F657" i="30"/>
  <c r="G657" i="30" s="1"/>
  <c r="H657" i="30"/>
  <c r="F658" i="30"/>
  <c r="G658" i="30" s="1"/>
  <c r="H658" i="30"/>
  <c r="F659" i="30"/>
  <c r="G659" i="30" s="1"/>
  <c r="H659" i="30"/>
  <c r="F660" i="30"/>
  <c r="G660" i="30" s="1"/>
  <c r="H660" i="30"/>
  <c r="F661" i="30"/>
  <c r="G661" i="30" s="1"/>
  <c r="H661" i="30"/>
  <c r="F662" i="30"/>
  <c r="G662" i="30" s="1"/>
  <c r="H662" i="30"/>
  <c r="F663" i="30"/>
  <c r="G663" i="30" s="1"/>
  <c r="H663" i="30"/>
  <c r="F664" i="30"/>
  <c r="G664" i="30" s="1"/>
  <c r="H664" i="30"/>
  <c r="F665" i="30"/>
  <c r="G665" i="30" s="1"/>
  <c r="H665" i="30"/>
  <c r="F666" i="30"/>
  <c r="G666" i="30" s="1"/>
  <c r="H666" i="30"/>
  <c r="F667" i="30"/>
  <c r="G667" i="30" s="1"/>
  <c r="H667" i="30"/>
  <c r="F668" i="30"/>
  <c r="G668" i="30" s="1"/>
  <c r="H668" i="30"/>
  <c r="F669" i="30"/>
  <c r="G669" i="30" s="1"/>
  <c r="H669" i="30"/>
  <c r="F670" i="30"/>
  <c r="G670" i="30" s="1"/>
  <c r="H670" i="30"/>
  <c r="F671" i="30"/>
  <c r="G671" i="30" s="1"/>
  <c r="H671" i="30"/>
  <c r="F672" i="30"/>
  <c r="G672" i="30" s="1"/>
  <c r="H672" i="30"/>
  <c r="F673" i="30"/>
  <c r="G673" i="30" s="1"/>
  <c r="H673" i="30"/>
  <c r="F674" i="30"/>
  <c r="G674" i="30" s="1"/>
  <c r="H674" i="30"/>
  <c r="F675" i="30"/>
  <c r="G675" i="30" s="1"/>
  <c r="H675" i="30"/>
  <c r="F676" i="30"/>
  <c r="G676" i="30" s="1"/>
  <c r="H676" i="30"/>
  <c r="F677" i="30"/>
  <c r="G677" i="30" s="1"/>
  <c r="H677" i="30"/>
  <c r="F678" i="30"/>
  <c r="G678" i="30" s="1"/>
  <c r="H678" i="30"/>
  <c r="F679" i="30"/>
  <c r="G679" i="30" s="1"/>
  <c r="H679" i="30"/>
  <c r="F680" i="30"/>
  <c r="G680" i="30" s="1"/>
  <c r="H680" i="30"/>
  <c r="F681" i="30"/>
  <c r="G681" i="30" s="1"/>
  <c r="H681" i="30"/>
  <c r="F682" i="30"/>
  <c r="G682" i="30" s="1"/>
  <c r="H682" i="30"/>
  <c r="F683" i="30"/>
  <c r="G683" i="30" s="1"/>
  <c r="H683" i="30"/>
  <c r="F684" i="30"/>
  <c r="G684" i="30" s="1"/>
  <c r="H684" i="30"/>
  <c r="F685" i="30"/>
  <c r="G685" i="30" s="1"/>
  <c r="H685" i="30"/>
  <c r="F686" i="30"/>
  <c r="G686" i="30" s="1"/>
  <c r="H686" i="30"/>
  <c r="F687" i="30"/>
  <c r="G687" i="30" s="1"/>
  <c r="H687" i="30"/>
  <c r="F688" i="30"/>
  <c r="G688" i="30" s="1"/>
  <c r="H688" i="30"/>
  <c r="F689" i="30"/>
  <c r="G689" i="30" s="1"/>
  <c r="H689" i="30"/>
  <c r="F690" i="30"/>
  <c r="G690" i="30" s="1"/>
  <c r="H690" i="30"/>
  <c r="F691" i="30"/>
  <c r="G691" i="30" s="1"/>
  <c r="H691" i="30"/>
  <c r="F692" i="30"/>
  <c r="G692" i="30" s="1"/>
  <c r="H692" i="30"/>
  <c r="F693" i="30"/>
  <c r="G693" i="30" s="1"/>
  <c r="H693" i="30"/>
  <c r="F694" i="30"/>
  <c r="G694" i="30" s="1"/>
  <c r="H694" i="30"/>
  <c r="F695" i="30"/>
  <c r="G695" i="30" s="1"/>
  <c r="H695" i="30"/>
  <c r="F696" i="30"/>
  <c r="G696" i="30" s="1"/>
  <c r="H696" i="30"/>
  <c r="F697" i="30"/>
  <c r="G697" i="30" s="1"/>
  <c r="H697" i="30"/>
  <c r="F698" i="30"/>
  <c r="G698" i="30" s="1"/>
  <c r="H698" i="30"/>
  <c r="F699" i="30"/>
  <c r="G699" i="30" s="1"/>
  <c r="H699" i="30"/>
  <c r="F700" i="30"/>
  <c r="G700" i="30" s="1"/>
  <c r="H700" i="30"/>
  <c r="F701" i="30"/>
  <c r="G701" i="30" s="1"/>
  <c r="H701" i="30"/>
  <c r="F702" i="30"/>
  <c r="G702" i="30" s="1"/>
  <c r="H702" i="30"/>
  <c r="F703" i="30"/>
  <c r="G703" i="30" s="1"/>
  <c r="H703" i="30"/>
  <c r="F704" i="30"/>
  <c r="G704" i="30" s="1"/>
  <c r="H704" i="30"/>
  <c r="F705" i="30"/>
  <c r="G705" i="30" s="1"/>
  <c r="H705" i="30"/>
  <c r="F706" i="30"/>
  <c r="G706" i="30" s="1"/>
  <c r="H706" i="30"/>
  <c r="F707" i="30"/>
  <c r="G707" i="30" s="1"/>
  <c r="H707" i="30"/>
  <c r="F708" i="30"/>
  <c r="G708" i="30" s="1"/>
  <c r="H708" i="30"/>
  <c r="F709" i="30"/>
  <c r="G709" i="30" s="1"/>
  <c r="H709" i="30"/>
  <c r="F710" i="30"/>
  <c r="G710" i="30" s="1"/>
  <c r="H710" i="30"/>
  <c r="F711" i="30"/>
  <c r="G711" i="30" s="1"/>
  <c r="H711" i="30"/>
  <c r="F712" i="30"/>
  <c r="G712" i="30" s="1"/>
  <c r="H712" i="30"/>
  <c r="F713" i="30"/>
  <c r="G713" i="30" s="1"/>
  <c r="H713" i="30"/>
  <c r="F714" i="30"/>
  <c r="G714" i="30" s="1"/>
  <c r="H714" i="30"/>
  <c r="F715" i="30"/>
  <c r="G715" i="30" s="1"/>
  <c r="H715" i="30"/>
  <c r="F716" i="30"/>
  <c r="G716" i="30" s="1"/>
  <c r="H716" i="30"/>
  <c r="F717" i="30"/>
  <c r="G717" i="30" s="1"/>
  <c r="H717" i="30"/>
  <c r="F718" i="30"/>
  <c r="G718" i="30" s="1"/>
  <c r="H718" i="30"/>
  <c r="F719" i="30"/>
  <c r="G719" i="30" s="1"/>
  <c r="H719" i="30"/>
  <c r="F60" i="33"/>
  <c r="F59" i="33"/>
  <c r="H57" i="33"/>
  <c r="F57" i="33" s="1"/>
  <c r="E58" i="33"/>
  <c r="C57" i="33"/>
  <c r="C124" i="23"/>
  <c r="C138" i="23" s="1"/>
  <c r="F123" i="23"/>
  <c r="G123" i="23" s="1"/>
  <c r="C123" i="23"/>
  <c r="C137" i="23" s="1"/>
  <c r="F122" i="23"/>
  <c r="G122" i="23" s="1"/>
  <c r="C122" i="23"/>
  <c r="C136" i="23" s="1"/>
  <c r="C150" i="23" s="1"/>
  <c r="F121" i="23"/>
  <c r="G121" i="23" s="1"/>
  <c r="C121" i="23"/>
  <c r="C135" i="23" s="1"/>
  <c r="C149" i="23" s="1"/>
  <c r="F120" i="23"/>
  <c r="G120" i="23" s="1"/>
  <c r="C120" i="23"/>
  <c r="C134" i="23" s="1"/>
  <c r="C148" i="23" s="1"/>
  <c r="F119" i="23"/>
  <c r="G119" i="23" s="1"/>
  <c r="C119" i="23"/>
  <c r="C113" i="23"/>
  <c r="C112" i="23"/>
  <c r="C111" i="23"/>
  <c r="C110" i="23"/>
  <c r="C109" i="23"/>
  <c r="C108" i="23"/>
  <c r="D96" i="23"/>
  <c r="E96" i="23" s="1"/>
  <c r="H96" i="23" s="1"/>
  <c r="D95" i="23"/>
  <c r="E95" i="23" s="1"/>
  <c r="H95" i="23" s="1"/>
  <c r="D94" i="23"/>
  <c r="C94" i="23"/>
  <c r="E94" i="23" s="1"/>
  <c r="H94" i="23" s="1"/>
  <c r="D93" i="23"/>
  <c r="E93" i="23" s="1"/>
  <c r="H93" i="23" s="1"/>
  <c r="D92" i="23"/>
  <c r="E92" i="23" s="1"/>
  <c r="H92" i="23" s="1"/>
  <c r="E91" i="23"/>
  <c r="H91" i="23" s="1"/>
  <c r="D90" i="23"/>
  <c r="E90" i="23" s="1"/>
  <c r="H90" i="23" s="1"/>
  <c r="D89" i="23"/>
  <c r="E89" i="23" s="1"/>
  <c r="H89" i="23" s="1"/>
  <c r="D88" i="23"/>
  <c r="C88" i="23"/>
  <c r="E88" i="23" s="1"/>
  <c r="H88" i="23" s="1"/>
  <c r="D87" i="23"/>
  <c r="E87" i="23" s="1"/>
  <c r="H87" i="23" s="1"/>
  <c r="D86" i="23"/>
  <c r="E86" i="23" s="1"/>
  <c r="H86" i="23" s="1"/>
  <c r="D85" i="23"/>
  <c r="E85" i="23" s="1"/>
  <c r="H85" i="23" s="1"/>
  <c r="D84" i="23"/>
  <c r="E84" i="23" s="1"/>
  <c r="H84" i="23" s="1"/>
  <c r="D83" i="23"/>
  <c r="E83" i="23" s="1"/>
  <c r="H83" i="23" s="1"/>
  <c r="D82" i="23"/>
  <c r="E82" i="23" s="1"/>
  <c r="H82" i="23" s="1"/>
  <c r="D81" i="23"/>
  <c r="C81" i="23"/>
  <c r="D80" i="23"/>
  <c r="E80" i="23" s="1"/>
  <c r="H80" i="23" s="1"/>
  <c r="D79" i="23"/>
  <c r="E79" i="23" s="1"/>
  <c r="H79" i="23" s="1"/>
  <c r="D78" i="23"/>
  <c r="E78" i="23" s="1"/>
  <c r="H78" i="23" s="1"/>
  <c r="D77" i="23"/>
  <c r="E77" i="23" s="1"/>
  <c r="H77" i="23" s="1"/>
  <c r="D76" i="23"/>
  <c r="E76" i="23" s="1"/>
  <c r="H76" i="23" s="1"/>
  <c r="D75" i="23"/>
  <c r="E75" i="23" s="1"/>
  <c r="H75" i="23" s="1"/>
  <c r="D74" i="23"/>
  <c r="E74" i="23" s="1"/>
  <c r="H74" i="23" s="1"/>
  <c r="D73" i="23"/>
  <c r="E73" i="23" s="1"/>
  <c r="H73" i="23" s="1"/>
  <c r="D72" i="23"/>
  <c r="E72" i="23" s="1"/>
  <c r="H72" i="23" s="1"/>
  <c r="D71" i="23"/>
  <c r="E71" i="23" s="1"/>
  <c r="H71" i="23" s="1"/>
  <c r="D70" i="23"/>
  <c r="E70" i="23" s="1"/>
  <c r="H70" i="23" s="1"/>
  <c r="D69" i="23"/>
  <c r="E69" i="23" s="1"/>
  <c r="H69" i="23" s="1"/>
  <c r="D68" i="23"/>
  <c r="E68" i="23" s="1"/>
  <c r="H68" i="23" s="1"/>
  <c r="D67" i="23"/>
  <c r="E67" i="23" s="1"/>
  <c r="H67" i="23" s="1"/>
  <c r="D66" i="23"/>
  <c r="E66" i="23" s="1"/>
  <c r="H66" i="23" s="1"/>
  <c r="D65" i="23"/>
  <c r="E65" i="23" s="1"/>
  <c r="H65" i="23" s="1"/>
  <c r="D64" i="23"/>
  <c r="E64" i="23" s="1"/>
  <c r="H64" i="23" s="1"/>
  <c r="D63" i="23"/>
  <c r="E63" i="23" s="1"/>
  <c r="H63" i="23" s="1"/>
  <c r="D62" i="23"/>
  <c r="E62" i="23" s="1"/>
  <c r="H62" i="23" s="1"/>
  <c r="D61" i="23"/>
  <c r="E61" i="23" s="1"/>
  <c r="H61" i="23" s="1"/>
  <c r="D60" i="23"/>
  <c r="E60" i="23" s="1"/>
  <c r="H60" i="23" s="1"/>
  <c r="D59" i="23"/>
  <c r="C59" i="23"/>
  <c r="E59" i="23" s="1"/>
  <c r="H59" i="23" s="1"/>
  <c r="D58" i="23"/>
  <c r="E58" i="23" s="1"/>
  <c r="H58" i="23" s="1"/>
  <c r="D57" i="23"/>
  <c r="E57" i="23" s="1"/>
  <c r="H57" i="23" s="1"/>
  <c r="D56" i="23"/>
  <c r="E56" i="23" s="1"/>
  <c r="H56" i="23" s="1"/>
  <c r="D55" i="23"/>
  <c r="C55" i="23"/>
  <c r="D54" i="23"/>
  <c r="E54" i="23" s="1"/>
  <c r="H54" i="23" s="1"/>
  <c r="D53" i="23"/>
  <c r="E53" i="23" s="1"/>
  <c r="H53" i="23" s="1"/>
  <c r="D52" i="23"/>
  <c r="E52" i="23" s="1"/>
  <c r="H52" i="23" s="1"/>
  <c r="D51" i="23"/>
  <c r="E51" i="23" s="1"/>
  <c r="H51" i="23" s="1"/>
  <c r="D50" i="23"/>
  <c r="E50" i="23" s="1"/>
  <c r="H50" i="23" s="1"/>
  <c r="D49" i="23"/>
  <c r="E49" i="23" s="1"/>
  <c r="H49" i="23" s="1"/>
  <c r="D48" i="23"/>
  <c r="E48" i="23" s="1"/>
  <c r="H48" i="23" s="1"/>
  <c r="D47" i="23"/>
  <c r="E47" i="23" s="1"/>
  <c r="H47" i="23" s="1"/>
  <c r="D46" i="23"/>
  <c r="E46" i="23" s="1"/>
  <c r="H46" i="23" s="1"/>
  <c r="D45" i="23"/>
  <c r="E45" i="23" s="1"/>
  <c r="H45" i="23" s="1"/>
  <c r="D44" i="23"/>
  <c r="E44" i="23" s="1"/>
  <c r="H44" i="23" s="1"/>
  <c r="D43" i="23"/>
  <c r="E43" i="23" s="1"/>
  <c r="H43" i="23" s="1"/>
  <c r="D42" i="23"/>
  <c r="E42" i="23" s="1"/>
  <c r="H42" i="23" s="1"/>
  <c r="D41" i="23"/>
  <c r="E41" i="23" s="1"/>
  <c r="H41" i="23" s="1"/>
  <c r="D40" i="23"/>
  <c r="E40" i="23" s="1"/>
  <c r="H40" i="23" s="1"/>
  <c r="D39" i="23"/>
  <c r="C39" i="23"/>
  <c r="D38" i="23"/>
  <c r="E38" i="23" s="1"/>
  <c r="H38" i="23" s="1"/>
  <c r="D37" i="23"/>
  <c r="E37" i="23" s="1"/>
  <c r="H37" i="23" s="1"/>
  <c r="D36" i="23"/>
  <c r="E36" i="23" s="1"/>
  <c r="H36" i="23" s="1"/>
  <c r="D35" i="23"/>
  <c r="E35" i="23" s="1"/>
  <c r="H35" i="23" s="1"/>
  <c r="D34" i="23"/>
  <c r="E34" i="23" s="1"/>
  <c r="H34" i="23" s="1"/>
  <c r="D33" i="23"/>
  <c r="E33" i="23" s="1"/>
  <c r="H33" i="23" s="1"/>
  <c r="D113" i="23" s="1"/>
  <c r="D32" i="23"/>
  <c r="E32" i="23" s="1"/>
  <c r="H32" i="23" s="1"/>
  <c r="D112" i="23" s="1"/>
  <c r="D31" i="23"/>
  <c r="E31" i="23" s="1"/>
  <c r="H31" i="23" s="1"/>
  <c r="D111" i="23" s="1"/>
  <c r="D30" i="23"/>
  <c r="C30" i="23"/>
  <c r="E30" i="23" s="1"/>
  <c r="H30" i="23" s="1"/>
  <c r="D110" i="23" s="1"/>
  <c r="D29" i="23"/>
  <c r="C29" i="23"/>
  <c r="D28" i="23"/>
  <c r="C28" i="23"/>
  <c r="H276" i="22"/>
  <c r="H269" i="22"/>
  <c r="I256" i="22"/>
  <c r="I254" i="22"/>
  <c r="F253" i="22"/>
  <c r="F252" i="22"/>
  <c r="G247" i="22"/>
  <c r="F247" i="22"/>
  <c r="G256" i="22" s="1"/>
  <c r="E247" i="22"/>
  <c r="D247" i="22"/>
  <c r="E256" i="22" s="1"/>
  <c r="H244" i="22"/>
  <c r="I255" i="22" s="1"/>
  <c r="G244" i="22"/>
  <c r="H255" i="22" s="1"/>
  <c r="F244" i="22"/>
  <c r="G255" i="22" s="1"/>
  <c r="E244" i="22"/>
  <c r="E246" i="22" s="1"/>
  <c r="D244" i="22"/>
  <c r="H243" i="22"/>
  <c r="H245" i="22" s="1"/>
  <c r="G243" i="22"/>
  <c r="G245" i="22" s="1"/>
  <c r="F243" i="22"/>
  <c r="F245" i="22" s="1"/>
  <c r="E243" i="22"/>
  <c r="E245" i="22" s="1"/>
  <c r="D243" i="22"/>
  <c r="D245" i="22" s="1"/>
  <c r="H242" i="22"/>
  <c r="I252" i="22" s="1"/>
  <c r="G242" i="22"/>
  <c r="F242" i="22"/>
  <c r="G252" i="22" s="1"/>
  <c r="D242" i="22"/>
  <c r="E253" i="22" s="1"/>
  <c r="F218" i="22"/>
  <c r="E206" i="22"/>
  <c r="C203" i="22"/>
  <c r="C202" i="22"/>
  <c r="E194" i="22"/>
  <c r="E193" i="22"/>
  <c r="C177" i="22"/>
  <c r="C176" i="22"/>
  <c r="C175" i="22"/>
  <c r="C174" i="22"/>
  <c r="C147" i="22"/>
  <c r="C206" i="22" s="1"/>
  <c r="C146" i="22"/>
  <c r="C205" i="22" s="1"/>
  <c r="E217" i="22" s="1"/>
  <c r="F13" i="22" s="1"/>
  <c r="C145" i="22"/>
  <c r="C204" i="22" s="1"/>
  <c r="C217" i="22" s="1"/>
  <c r="C116" i="22"/>
  <c r="C195" i="22" s="1"/>
  <c r="C113" i="22"/>
  <c r="C192" i="22" s="1"/>
  <c r="C112" i="22"/>
  <c r="C191" i="22" s="1"/>
  <c r="C252" i="22" s="1"/>
  <c r="C111" i="22"/>
  <c r="C190" i="22" s="1"/>
  <c r="C114" i="22"/>
  <c r="C193" i="22" s="1"/>
  <c r="C254" i="22" s="1"/>
  <c r="C84" i="22"/>
  <c r="C88" i="22" s="1"/>
  <c r="E53" i="22"/>
  <c r="E52" i="22"/>
  <c r="D95" i="21"/>
  <c r="C95" i="21"/>
  <c r="D94" i="21"/>
  <c r="C94" i="21"/>
  <c r="D81" i="21"/>
  <c r="D82" i="21" s="1"/>
  <c r="C81" i="21"/>
  <c r="C82" i="21" s="1"/>
  <c r="C62" i="21"/>
  <c r="C65" i="21" s="1"/>
  <c r="C73" i="21" s="1"/>
  <c r="C74" i="21" s="1"/>
  <c r="C38" i="21"/>
  <c r="C292" i="11"/>
  <c r="C297" i="11" s="1"/>
  <c r="C274" i="11"/>
  <c r="C273" i="11"/>
  <c r="C272" i="11"/>
  <c r="C239" i="11"/>
  <c r="C238" i="11"/>
  <c r="C237" i="11"/>
  <c r="D190" i="11"/>
  <c r="C190" i="11"/>
  <c r="D189" i="11"/>
  <c r="C189" i="11"/>
  <c r="C130" i="11"/>
  <c r="C129" i="11"/>
  <c r="C128" i="11"/>
  <c r="C127" i="11"/>
  <c r="C121" i="11"/>
  <c r="F86" i="11"/>
  <c r="E86" i="11"/>
  <c r="D86" i="11"/>
  <c r="C85" i="11"/>
  <c r="C83" i="11"/>
  <c r="G79" i="11"/>
  <c r="C59" i="11"/>
  <c r="F87" i="11" s="1"/>
  <c r="F88" i="11" s="1"/>
  <c r="D51" i="11"/>
  <c r="C51" i="11"/>
  <c r="C159" i="20"/>
  <c r="E136" i="20"/>
  <c r="C145" i="20" s="1"/>
  <c r="D136" i="20"/>
  <c r="D60" i="20"/>
  <c r="C60" i="20"/>
  <c r="C33" i="20"/>
  <c r="N167" i="29"/>
  <c r="J167" i="29"/>
  <c r="F167" i="29"/>
  <c r="Q148" i="29"/>
  <c r="P148" i="29"/>
  <c r="O148" i="29"/>
  <c r="N148" i="29"/>
  <c r="M148" i="29"/>
  <c r="L148" i="29"/>
  <c r="K148" i="29"/>
  <c r="J148" i="29"/>
  <c r="I148" i="29"/>
  <c r="H148" i="29"/>
  <c r="G148" i="29"/>
  <c r="F148" i="29"/>
  <c r="E148" i="29"/>
  <c r="F101" i="29"/>
  <c r="D101" i="29"/>
  <c r="C101" i="29"/>
  <c r="H100" i="29"/>
  <c r="H101" i="29" s="1"/>
  <c r="G98" i="29"/>
  <c r="E98" i="29"/>
  <c r="E101" i="29" s="1"/>
  <c r="D107" i="29" s="1"/>
  <c r="C93" i="29"/>
  <c r="E93" i="29" s="1"/>
  <c r="D108" i="29" s="1"/>
  <c r="C92" i="29"/>
  <c r="E92" i="29" s="1"/>
  <c r="C91" i="29"/>
  <c r="E91" i="29" s="1"/>
  <c r="D106" i="29" s="1"/>
  <c r="C90" i="29"/>
  <c r="E90" i="29" s="1"/>
  <c r="C89" i="29"/>
  <c r="E89" i="29" s="1"/>
  <c r="D105" i="29" s="1"/>
  <c r="C88" i="29"/>
  <c r="E88" i="29" s="1"/>
  <c r="C71" i="29"/>
  <c r="C70" i="29"/>
  <c r="C69" i="29"/>
  <c r="C68" i="29"/>
  <c r="C67" i="29"/>
  <c r="L68" i="29" s="1"/>
  <c r="C66" i="29"/>
  <c r="L67" i="29" s="1"/>
  <c r="C65" i="29"/>
  <c r="L66" i="29" s="1"/>
  <c r="C1128" i="30"/>
  <c r="C1106" i="30"/>
  <c r="C1074" i="30"/>
  <c r="C1073" i="30"/>
  <c r="C1039" i="30"/>
  <c r="C353" i="30"/>
  <c r="H352" i="30"/>
  <c r="F352" i="30"/>
  <c r="G352" i="30" s="1"/>
  <c r="H351" i="30"/>
  <c r="F351" i="30"/>
  <c r="G351" i="30" s="1"/>
  <c r="H350" i="30"/>
  <c r="F350" i="30"/>
  <c r="G350" i="30" s="1"/>
  <c r="H349" i="30"/>
  <c r="F349" i="30"/>
  <c r="G349" i="30" s="1"/>
  <c r="H348" i="30"/>
  <c r="F348" i="30"/>
  <c r="G348" i="30" s="1"/>
  <c r="H347" i="30"/>
  <c r="F347" i="30"/>
  <c r="G347" i="30" s="1"/>
  <c r="H346" i="30"/>
  <c r="F346" i="30"/>
  <c r="G346" i="30" s="1"/>
  <c r="H345" i="30"/>
  <c r="F345" i="30"/>
  <c r="G345" i="30" s="1"/>
  <c r="H344" i="30"/>
  <c r="F344" i="30"/>
  <c r="G344" i="30" s="1"/>
  <c r="H343" i="30"/>
  <c r="F343" i="30"/>
  <c r="G343" i="30" s="1"/>
  <c r="H342" i="30"/>
  <c r="F342" i="30"/>
  <c r="G342" i="30" s="1"/>
  <c r="H341" i="30"/>
  <c r="F341" i="30"/>
  <c r="G341" i="30" s="1"/>
  <c r="H340" i="30"/>
  <c r="F340" i="30"/>
  <c r="G340" i="30" s="1"/>
  <c r="H339" i="30"/>
  <c r="F339" i="30"/>
  <c r="G339" i="30" s="1"/>
  <c r="H338" i="30"/>
  <c r="F338" i="30"/>
  <c r="G338" i="30" s="1"/>
  <c r="H337" i="30"/>
  <c r="F337" i="30"/>
  <c r="G337" i="30" s="1"/>
  <c r="H336" i="30"/>
  <c r="F336" i="30"/>
  <c r="G336" i="30" s="1"/>
  <c r="H335" i="30"/>
  <c r="F335" i="30"/>
  <c r="G335" i="30" s="1"/>
  <c r="H334" i="30"/>
  <c r="F334" i="30"/>
  <c r="G334" i="30" s="1"/>
  <c r="H333" i="30"/>
  <c r="F333" i="30"/>
  <c r="G333" i="30" s="1"/>
  <c r="H332" i="30"/>
  <c r="F332" i="30"/>
  <c r="G332" i="30" s="1"/>
  <c r="H331" i="30"/>
  <c r="F331" i="30"/>
  <c r="G331" i="30" s="1"/>
  <c r="H330" i="30"/>
  <c r="F330" i="30"/>
  <c r="G330" i="30" s="1"/>
  <c r="H329" i="30"/>
  <c r="F329" i="30"/>
  <c r="G329" i="30" s="1"/>
  <c r="H328" i="30"/>
  <c r="F328" i="30"/>
  <c r="G328" i="30" s="1"/>
  <c r="H327" i="30"/>
  <c r="F327" i="30"/>
  <c r="G327" i="30" s="1"/>
  <c r="H326" i="30"/>
  <c r="F326" i="30"/>
  <c r="G326" i="30" s="1"/>
  <c r="H325" i="30"/>
  <c r="F325" i="30"/>
  <c r="G325" i="30" s="1"/>
  <c r="H324" i="30"/>
  <c r="F324" i="30"/>
  <c r="G324" i="30" s="1"/>
  <c r="H323" i="30"/>
  <c r="F323" i="30"/>
  <c r="G323" i="30" s="1"/>
  <c r="H322" i="30"/>
  <c r="F322" i="30"/>
  <c r="G322" i="30" s="1"/>
  <c r="H321" i="30"/>
  <c r="F321" i="30"/>
  <c r="G321" i="30" s="1"/>
  <c r="H320" i="30"/>
  <c r="F320" i="30"/>
  <c r="G320" i="30" s="1"/>
  <c r="H319" i="30"/>
  <c r="F319" i="30"/>
  <c r="G319" i="30" s="1"/>
  <c r="H318" i="30"/>
  <c r="F318" i="30"/>
  <c r="G318" i="30" s="1"/>
  <c r="H317" i="30"/>
  <c r="F317" i="30"/>
  <c r="G317" i="30" s="1"/>
  <c r="H316" i="30"/>
  <c r="F316" i="30"/>
  <c r="G316" i="30" s="1"/>
  <c r="H315" i="30"/>
  <c r="F315" i="30"/>
  <c r="G315" i="30" s="1"/>
  <c r="C314" i="30"/>
  <c r="H313" i="30"/>
  <c r="F313" i="30"/>
  <c r="G313" i="30" s="1"/>
  <c r="H312" i="30"/>
  <c r="F312" i="30"/>
  <c r="G312" i="30" s="1"/>
  <c r="H311" i="30"/>
  <c r="F311" i="30"/>
  <c r="G311" i="30" s="1"/>
  <c r="H310" i="30"/>
  <c r="F310" i="30"/>
  <c r="G310" i="30" s="1"/>
  <c r="H309" i="30"/>
  <c r="F309" i="30"/>
  <c r="G309" i="30" s="1"/>
  <c r="H308" i="30"/>
  <c r="F308" i="30"/>
  <c r="G308" i="30" s="1"/>
  <c r="H307" i="30"/>
  <c r="F307" i="30"/>
  <c r="G307" i="30" s="1"/>
  <c r="H306" i="30"/>
  <c r="F306" i="30"/>
  <c r="G306" i="30" s="1"/>
  <c r="H305" i="30"/>
  <c r="F305" i="30"/>
  <c r="G305" i="30" s="1"/>
  <c r="H304" i="30"/>
  <c r="F304" i="30"/>
  <c r="G304" i="30" s="1"/>
  <c r="H303" i="30"/>
  <c r="F303" i="30"/>
  <c r="G303" i="30" s="1"/>
  <c r="H302" i="30"/>
  <c r="F302" i="30"/>
  <c r="G302" i="30" s="1"/>
  <c r="H301" i="30"/>
  <c r="F301" i="30"/>
  <c r="G301" i="30" s="1"/>
  <c r="H300" i="30"/>
  <c r="F300" i="30"/>
  <c r="G300" i="30" s="1"/>
  <c r="H299" i="30"/>
  <c r="F299" i="30"/>
  <c r="G299" i="30" s="1"/>
  <c r="H298" i="30"/>
  <c r="F298" i="30"/>
  <c r="G298" i="30" s="1"/>
  <c r="H297" i="30"/>
  <c r="F297" i="30"/>
  <c r="G297" i="30" s="1"/>
  <c r="H296" i="30"/>
  <c r="F296" i="30"/>
  <c r="G296" i="30" s="1"/>
  <c r="H295" i="30"/>
  <c r="F295" i="30"/>
  <c r="G295" i="30" s="1"/>
  <c r="H294" i="30"/>
  <c r="F294" i="30"/>
  <c r="G294" i="30" s="1"/>
  <c r="H293" i="30"/>
  <c r="F293" i="30"/>
  <c r="G293" i="30" s="1"/>
  <c r="H292" i="30"/>
  <c r="F292" i="30"/>
  <c r="G292" i="30" s="1"/>
  <c r="H291" i="30"/>
  <c r="F291" i="30"/>
  <c r="G291" i="30" s="1"/>
  <c r="H290" i="30"/>
  <c r="F290" i="30"/>
  <c r="G290" i="30" s="1"/>
  <c r="H289" i="30"/>
  <c r="F289" i="30"/>
  <c r="G289" i="30" s="1"/>
  <c r="H288" i="30"/>
  <c r="F288" i="30"/>
  <c r="G288" i="30" s="1"/>
  <c r="H287" i="30"/>
  <c r="F287" i="30"/>
  <c r="G287" i="30" s="1"/>
  <c r="H286" i="30"/>
  <c r="F286" i="30"/>
  <c r="G286" i="30" s="1"/>
  <c r="H285" i="30"/>
  <c r="F285" i="30"/>
  <c r="G285" i="30" s="1"/>
  <c r="H284" i="30"/>
  <c r="F284" i="30"/>
  <c r="G284" i="30" s="1"/>
  <c r="H283" i="30"/>
  <c r="F283" i="30"/>
  <c r="G283" i="30" s="1"/>
  <c r="H282" i="30"/>
  <c r="F282" i="30"/>
  <c r="G282" i="30" s="1"/>
  <c r="H281" i="30"/>
  <c r="F281" i="30"/>
  <c r="G281" i="30" s="1"/>
  <c r="H280" i="30"/>
  <c r="F280" i="30"/>
  <c r="G280" i="30" s="1"/>
  <c r="H279" i="30"/>
  <c r="F279" i="30"/>
  <c r="G279" i="30" s="1"/>
  <c r="H278" i="30"/>
  <c r="F278" i="30"/>
  <c r="G278" i="30" s="1"/>
  <c r="H277" i="30"/>
  <c r="F277" i="30"/>
  <c r="G277" i="30" s="1"/>
  <c r="H276" i="30"/>
  <c r="F276" i="30"/>
  <c r="G276" i="30" s="1"/>
  <c r="H275" i="30"/>
  <c r="F275" i="30"/>
  <c r="G275" i="30" s="1"/>
  <c r="H274" i="30"/>
  <c r="F274" i="30"/>
  <c r="G274" i="30" s="1"/>
  <c r="H273" i="30"/>
  <c r="F273" i="30"/>
  <c r="G273" i="30" s="1"/>
  <c r="H272" i="30"/>
  <c r="F272" i="30"/>
  <c r="G272" i="30" s="1"/>
  <c r="H271" i="30"/>
  <c r="F271" i="30"/>
  <c r="G271" i="30" s="1"/>
  <c r="H270" i="30"/>
  <c r="F270" i="30"/>
  <c r="G270" i="30" s="1"/>
  <c r="H269" i="30"/>
  <c r="F269" i="30"/>
  <c r="G269" i="30" s="1"/>
  <c r="H268" i="30"/>
  <c r="F268" i="30"/>
  <c r="G268" i="30" s="1"/>
  <c r="H267" i="30"/>
  <c r="F267" i="30"/>
  <c r="G267" i="30" s="1"/>
  <c r="H266" i="30"/>
  <c r="F266" i="30"/>
  <c r="G266" i="30" s="1"/>
  <c r="H265" i="30"/>
  <c r="F265" i="30"/>
  <c r="G265" i="30" s="1"/>
  <c r="H264" i="30"/>
  <c r="F264" i="30"/>
  <c r="G264" i="30" s="1"/>
  <c r="H263" i="30"/>
  <c r="F263" i="30"/>
  <c r="G263" i="30" s="1"/>
  <c r="H262" i="30"/>
  <c r="F262" i="30"/>
  <c r="G262" i="30" s="1"/>
  <c r="H261" i="30"/>
  <c r="F261" i="30"/>
  <c r="G261" i="30" s="1"/>
  <c r="H260" i="30"/>
  <c r="F260" i="30"/>
  <c r="G260" i="30" s="1"/>
  <c r="H259" i="30"/>
  <c r="F259" i="30"/>
  <c r="G259" i="30" s="1"/>
  <c r="H258" i="30"/>
  <c r="F258" i="30"/>
  <c r="G258" i="30" s="1"/>
  <c r="H257" i="30"/>
  <c r="F257" i="30"/>
  <c r="G257" i="30" s="1"/>
  <c r="H256" i="30"/>
  <c r="F256" i="30"/>
  <c r="G256" i="30" s="1"/>
  <c r="H255" i="30"/>
  <c r="F255" i="30"/>
  <c r="G255" i="30" s="1"/>
  <c r="H254" i="30"/>
  <c r="F254" i="30"/>
  <c r="G254" i="30" s="1"/>
  <c r="H253" i="30"/>
  <c r="F253" i="30"/>
  <c r="G253" i="30" s="1"/>
  <c r="H252" i="30"/>
  <c r="F252" i="30"/>
  <c r="G252" i="30" s="1"/>
  <c r="H251" i="30"/>
  <c r="F251" i="30"/>
  <c r="G251" i="30" s="1"/>
  <c r="H250" i="30"/>
  <c r="F250" i="30"/>
  <c r="G250" i="30" s="1"/>
  <c r="H249" i="30"/>
  <c r="F249" i="30"/>
  <c r="G249" i="30" s="1"/>
  <c r="H248" i="30"/>
  <c r="F248" i="30"/>
  <c r="G248" i="30" s="1"/>
  <c r="H247" i="30"/>
  <c r="F247" i="30"/>
  <c r="G247" i="30" s="1"/>
  <c r="H246" i="30"/>
  <c r="F246" i="30"/>
  <c r="G246" i="30" s="1"/>
  <c r="H245" i="30"/>
  <c r="F245" i="30"/>
  <c r="G245" i="30" s="1"/>
  <c r="H244" i="30"/>
  <c r="F244" i="30"/>
  <c r="G244" i="30" s="1"/>
  <c r="H243" i="30"/>
  <c r="F243" i="30"/>
  <c r="G243" i="30" s="1"/>
  <c r="H242" i="30"/>
  <c r="F242" i="30"/>
  <c r="G242" i="30" s="1"/>
  <c r="H241" i="30"/>
  <c r="F241" i="30"/>
  <c r="G241" i="30" s="1"/>
  <c r="H240" i="30"/>
  <c r="F240" i="30"/>
  <c r="G240" i="30" s="1"/>
  <c r="H239" i="30"/>
  <c r="F239" i="30"/>
  <c r="G239" i="30" s="1"/>
  <c r="H238" i="30"/>
  <c r="F238" i="30"/>
  <c r="G238" i="30" s="1"/>
  <c r="H237" i="30"/>
  <c r="F237" i="30"/>
  <c r="G237" i="30" s="1"/>
  <c r="H236" i="30"/>
  <c r="F236" i="30"/>
  <c r="G236" i="30" s="1"/>
  <c r="H235" i="30"/>
  <c r="F235" i="30"/>
  <c r="G235" i="30" s="1"/>
  <c r="H234" i="30"/>
  <c r="F234" i="30"/>
  <c r="G234" i="30" s="1"/>
  <c r="H233" i="30"/>
  <c r="F233" i="30"/>
  <c r="G233" i="30" s="1"/>
  <c r="H232" i="30"/>
  <c r="F232" i="30"/>
  <c r="G232" i="30" s="1"/>
  <c r="H231" i="30"/>
  <c r="F231" i="30"/>
  <c r="G231" i="30" s="1"/>
  <c r="H230" i="30"/>
  <c r="F230" i="30"/>
  <c r="G230" i="30" s="1"/>
  <c r="H229" i="30"/>
  <c r="F229" i="30"/>
  <c r="G229" i="30" s="1"/>
  <c r="H228" i="30"/>
  <c r="F228" i="30"/>
  <c r="G228" i="30" s="1"/>
  <c r="H227" i="30"/>
  <c r="F227" i="30"/>
  <c r="G227" i="30" s="1"/>
  <c r="H226" i="30"/>
  <c r="F226" i="30"/>
  <c r="G226" i="30" s="1"/>
  <c r="C225" i="30"/>
  <c r="H224" i="30"/>
  <c r="F224" i="30"/>
  <c r="G224" i="30" s="1"/>
  <c r="H223" i="30"/>
  <c r="F223" i="30"/>
  <c r="G223" i="30" s="1"/>
  <c r="H222" i="30"/>
  <c r="F222" i="30"/>
  <c r="G222" i="30" s="1"/>
  <c r="H221" i="30"/>
  <c r="F221" i="30"/>
  <c r="G221" i="30" s="1"/>
  <c r="H220" i="30"/>
  <c r="F220" i="30"/>
  <c r="G220" i="30" s="1"/>
  <c r="H219" i="30"/>
  <c r="F219" i="30"/>
  <c r="G219" i="30" s="1"/>
  <c r="H218" i="30"/>
  <c r="F218" i="30"/>
  <c r="G218" i="30" s="1"/>
  <c r="H217" i="30"/>
  <c r="F217" i="30"/>
  <c r="G217" i="30" s="1"/>
  <c r="H216" i="30"/>
  <c r="F216" i="30"/>
  <c r="G216" i="30" s="1"/>
  <c r="H215" i="30"/>
  <c r="F215" i="30"/>
  <c r="G215" i="30" s="1"/>
  <c r="H214" i="30"/>
  <c r="F214" i="30"/>
  <c r="G214" i="30" s="1"/>
  <c r="H213" i="30"/>
  <c r="F213" i="30"/>
  <c r="G213" i="30" s="1"/>
  <c r="H212" i="30"/>
  <c r="F212" i="30"/>
  <c r="G212" i="30" s="1"/>
  <c r="H211" i="30"/>
  <c r="F211" i="30"/>
  <c r="G211" i="30" s="1"/>
  <c r="H210" i="30"/>
  <c r="F210" i="30"/>
  <c r="G210" i="30" s="1"/>
  <c r="H209" i="30"/>
  <c r="F209" i="30"/>
  <c r="G209" i="30" s="1"/>
  <c r="H208" i="30"/>
  <c r="F208" i="30"/>
  <c r="G208" i="30" s="1"/>
  <c r="H207" i="30"/>
  <c r="F207" i="30"/>
  <c r="G207" i="30" s="1"/>
  <c r="H206" i="30"/>
  <c r="F206" i="30"/>
  <c r="G206" i="30" s="1"/>
  <c r="C205" i="30"/>
  <c r="H204" i="30"/>
  <c r="F204" i="30"/>
  <c r="G204" i="30" s="1"/>
  <c r="H203" i="30"/>
  <c r="F203" i="30"/>
  <c r="G203" i="30" s="1"/>
  <c r="H202" i="30"/>
  <c r="F202" i="30"/>
  <c r="G202" i="30" s="1"/>
  <c r="H201" i="30"/>
  <c r="F201" i="30"/>
  <c r="G201" i="30" s="1"/>
  <c r="H200" i="30"/>
  <c r="F200" i="30"/>
  <c r="G200" i="30" s="1"/>
  <c r="H199" i="30"/>
  <c r="F199" i="30"/>
  <c r="G199" i="30" s="1"/>
  <c r="H198" i="30"/>
  <c r="F198" i="30"/>
  <c r="G198" i="30" s="1"/>
  <c r="H197" i="30"/>
  <c r="F197" i="30"/>
  <c r="G197" i="30" s="1"/>
  <c r="H196" i="30"/>
  <c r="F196" i="30"/>
  <c r="G196" i="30" s="1"/>
  <c r="H195" i="30"/>
  <c r="F195" i="30"/>
  <c r="G195" i="30" s="1"/>
  <c r="H194" i="30"/>
  <c r="F194" i="30"/>
  <c r="G194" i="30" s="1"/>
  <c r="H193" i="30"/>
  <c r="F193" i="30"/>
  <c r="G193" i="30" s="1"/>
  <c r="H192" i="30"/>
  <c r="F192" i="30"/>
  <c r="G192" i="30" s="1"/>
  <c r="H191" i="30"/>
  <c r="F191" i="30"/>
  <c r="G191" i="30" s="1"/>
  <c r="H190" i="30"/>
  <c r="F190" i="30"/>
  <c r="G190" i="30" s="1"/>
  <c r="H189" i="30"/>
  <c r="F189" i="30"/>
  <c r="G189" i="30" s="1"/>
  <c r="H188" i="30"/>
  <c r="F188" i="30"/>
  <c r="G188" i="30" s="1"/>
  <c r="H187" i="30"/>
  <c r="F187" i="30"/>
  <c r="G187" i="30" s="1"/>
  <c r="H186" i="30"/>
  <c r="F186" i="30"/>
  <c r="G186" i="30" s="1"/>
  <c r="H185" i="30"/>
  <c r="F185" i="30"/>
  <c r="G185" i="30" s="1"/>
  <c r="H184" i="30"/>
  <c r="F184" i="30"/>
  <c r="G184" i="30" s="1"/>
  <c r="H183" i="30"/>
  <c r="F183" i="30"/>
  <c r="G183" i="30" s="1"/>
  <c r="H182" i="30"/>
  <c r="F182" i="30"/>
  <c r="G182" i="30" s="1"/>
  <c r="H181" i="30"/>
  <c r="F181" i="30"/>
  <c r="G181" i="30" s="1"/>
  <c r="H180" i="30"/>
  <c r="F180" i="30"/>
  <c r="G180" i="30" s="1"/>
  <c r="H179" i="30"/>
  <c r="F179" i="30"/>
  <c r="G179" i="30" s="1"/>
  <c r="H178" i="30"/>
  <c r="F178" i="30"/>
  <c r="G178" i="30" s="1"/>
  <c r="H177" i="30"/>
  <c r="F177" i="30"/>
  <c r="G177" i="30" s="1"/>
  <c r="H176" i="30"/>
  <c r="F176" i="30"/>
  <c r="G176" i="30" s="1"/>
  <c r="H175" i="30"/>
  <c r="F175" i="30"/>
  <c r="G175" i="30" s="1"/>
  <c r="H174" i="30"/>
  <c r="F174" i="30"/>
  <c r="G174" i="30" s="1"/>
  <c r="H173" i="30"/>
  <c r="F173" i="30"/>
  <c r="G173" i="30" s="1"/>
  <c r="H172" i="30"/>
  <c r="F172" i="30"/>
  <c r="G172" i="30" s="1"/>
  <c r="H171" i="30"/>
  <c r="F171" i="30"/>
  <c r="G171" i="30" s="1"/>
  <c r="H170" i="30"/>
  <c r="F170" i="30"/>
  <c r="G170" i="30" s="1"/>
  <c r="H169" i="30"/>
  <c r="F169" i="30"/>
  <c r="G169" i="30" s="1"/>
  <c r="H168" i="30"/>
  <c r="F168" i="30"/>
  <c r="G168" i="30" s="1"/>
  <c r="H167" i="30"/>
  <c r="F167" i="30"/>
  <c r="G167" i="30" s="1"/>
  <c r="H166" i="30"/>
  <c r="F166" i="30"/>
  <c r="G166" i="30" s="1"/>
  <c r="H165" i="30"/>
  <c r="F165" i="30"/>
  <c r="G165" i="30" s="1"/>
  <c r="H164" i="30"/>
  <c r="F164" i="30"/>
  <c r="G164" i="30" s="1"/>
  <c r="H163" i="30"/>
  <c r="F163" i="30"/>
  <c r="G163" i="30" s="1"/>
  <c r="H162" i="30"/>
  <c r="F162" i="30"/>
  <c r="G162" i="30" s="1"/>
  <c r="H161" i="30"/>
  <c r="F161" i="30"/>
  <c r="G161" i="30" s="1"/>
  <c r="H160" i="30"/>
  <c r="F160" i="30"/>
  <c r="G160" i="30" s="1"/>
  <c r="H159" i="30"/>
  <c r="F159" i="30"/>
  <c r="G159" i="30" s="1"/>
  <c r="H158" i="30"/>
  <c r="F158" i="30"/>
  <c r="G158" i="30" s="1"/>
  <c r="H157" i="30"/>
  <c r="F157" i="30"/>
  <c r="G157" i="30" s="1"/>
  <c r="H156" i="30"/>
  <c r="F156" i="30"/>
  <c r="G156" i="30" s="1"/>
  <c r="H155" i="30"/>
  <c r="F155" i="30"/>
  <c r="G155" i="30" s="1"/>
  <c r="H154" i="30"/>
  <c r="F154" i="30"/>
  <c r="G154" i="30" s="1"/>
  <c r="H153" i="30"/>
  <c r="F153" i="30"/>
  <c r="G153" i="30" s="1"/>
  <c r="H152" i="30"/>
  <c r="F152" i="30"/>
  <c r="G152" i="30" s="1"/>
  <c r="H151" i="30"/>
  <c r="F151" i="30"/>
  <c r="G151" i="30" s="1"/>
  <c r="H150" i="30"/>
  <c r="F150" i="30"/>
  <c r="G150" i="30" s="1"/>
  <c r="H149" i="30"/>
  <c r="F149" i="30"/>
  <c r="G149" i="30" s="1"/>
  <c r="H148" i="30"/>
  <c r="F148" i="30"/>
  <c r="G148" i="30" s="1"/>
  <c r="H147" i="30"/>
  <c r="F147" i="30"/>
  <c r="G147" i="30" s="1"/>
  <c r="H146" i="30"/>
  <c r="F146" i="30"/>
  <c r="G146" i="30" s="1"/>
  <c r="H145" i="30"/>
  <c r="F145" i="30"/>
  <c r="G145" i="30" s="1"/>
  <c r="H144" i="30"/>
  <c r="F144" i="30"/>
  <c r="G144" i="30" s="1"/>
  <c r="H143" i="30"/>
  <c r="F143" i="30"/>
  <c r="G143" i="30" s="1"/>
  <c r="H142" i="30"/>
  <c r="F142" i="30"/>
  <c r="G142" i="30" s="1"/>
  <c r="H141" i="30"/>
  <c r="F141" i="30"/>
  <c r="G141" i="30" s="1"/>
  <c r="H140" i="30"/>
  <c r="F140" i="30"/>
  <c r="G140" i="30" s="1"/>
  <c r="H139" i="30"/>
  <c r="F139" i="30"/>
  <c r="G139" i="30" s="1"/>
  <c r="H138" i="30"/>
  <c r="F138" i="30"/>
  <c r="G138" i="30" s="1"/>
  <c r="H137" i="30"/>
  <c r="F137" i="30"/>
  <c r="G137" i="30" s="1"/>
  <c r="H136" i="30"/>
  <c r="F136" i="30"/>
  <c r="G136" i="30" s="1"/>
  <c r="H135" i="30"/>
  <c r="F135" i="30"/>
  <c r="G135" i="30" s="1"/>
  <c r="H134" i="30"/>
  <c r="F134" i="30"/>
  <c r="G134" i="30" s="1"/>
  <c r="H133" i="30"/>
  <c r="F133" i="30"/>
  <c r="G133" i="30" s="1"/>
  <c r="H132" i="30"/>
  <c r="F132" i="30"/>
  <c r="G132" i="30" s="1"/>
  <c r="H131" i="30"/>
  <c r="F131" i="30"/>
  <c r="G131" i="30" s="1"/>
  <c r="H130" i="30"/>
  <c r="F130" i="30"/>
  <c r="G130" i="30" s="1"/>
  <c r="H129" i="30"/>
  <c r="F129" i="30"/>
  <c r="G129" i="30" s="1"/>
  <c r="H128" i="30"/>
  <c r="F128" i="30"/>
  <c r="G128" i="30" s="1"/>
  <c r="H127" i="30"/>
  <c r="F127" i="30"/>
  <c r="G127" i="30" s="1"/>
  <c r="H126" i="30"/>
  <c r="F126" i="30"/>
  <c r="G126" i="30" s="1"/>
  <c r="H125" i="30"/>
  <c r="F125" i="30"/>
  <c r="G125" i="30" s="1"/>
  <c r="H124" i="30"/>
  <c r="F124" i="30"/>
  <c r="G124" i="30" s="1"/>
  <c r="H123" i="30"/>
  <c r="F123" i="30"/>
  <c r="G123" i="30" s="1"/>
  <c r="H122" i="30"/>
  <c r="F122" i="30"/>
  <c r="G122" i="30" s="1"/>
  <c r="H121" i="30"/>
  <c r="F121" i="30"/>
  <c r="G121" i="30" s="1"/>
  <c r="H120" i="30"/>
  <c r="F120" i="30"/>
  <c r="G120" i="30" s="1"/>
  <c r="H119" i="30"/>
  <c r="F119" i="30"/>
  <c r="G119" i="30" s="1"/>
  <c r="H118" i="30"/>
  <c r="F118" i="30"/>
  <c r="G118" i="30" s="1"/>
  <c r="H117" i="30"/>
  <c r="F117" i="30"/>
  <c r="G117" i="30" s="1"/>
  <c r="H116" i="30"/>
  <c r="F116" i="30"/>
  <c r="G116" i="30" s="1"/>
  <c r="H115" i="30"/>
  <c r="F115" i="30"/>
  <c r="G115" i="30" s="1"/>
  <c r="H114" i="30"/>
  <c r="F114" i="30"/>
  <c r="G114" i="30" s="1"/>
  <c r="H113" i="30"/>
  <c r="F113" i="30"/>
  <c r="G113" i="30" s="1"/>
  <c r="H112" i="30"/>
  <c r="F112" i="30"/>
  <c r="G112" i="30" s="1"/>
  <c r="H111" i="30"/>
  <c r="F111" i="30"/>
  <c r="G111" i="30" s="1"/>
  <c r="H110" i="30"/>
  <c r="F110" i="30"/>
  <c r="G110" i="30" s="1"/>
  <c r="H109" i="30"/>
  <c r="F109" i="30"/>
  <c r="G109" i="30" s="1"/>
  <c r="H108" i="30"/>
  <c r="F108" i="30"/>
  <c r="G108" i="30" s="1"/>
  <c r="H107" i="30"/>
  <c r="F107" i="30"/>
  <c r="G107" i="30" s="1"/>
  <c r="H106" i="30"/>
  <c r="F106" i="30"/>
  <c r="G106" i="30" s="1"/>
  <c r="H105" i="30"/>
  <c r="F105" i="30"/>
  <c r="G105" i="30" s="1"/>
  <c r="E104" i="30"/>
  <c r="H104" i="30" s="1"/>
  <c r="E103" i="30"/>
  <c r="F103" i="30" s="1"/>
  <c r="G103" i="30" s="1"/>
  <c r="E102" i="30"/>
  <c r="H102" i="30" s="1"/>
  <c r="E101" i="30"/>
  <c r="F101" i="30" s="1"/>
  <c r="G101" i="30" s="1"/>
  <c r="E100" i="30"/>
  <c r="H100" i="30" s="1"/>
  <c r="E99" i="30"/>
  <c r="F99" i="30" s="1"/>
  <c r="G99" i="30" s="1"/>
  <c r="E98" i="30"/>
  <c r="H98" i="30" s="1"/>
  <c r="E97" i="30"/>
  <c r="F97" i="30" s="1"/>
  <c r="G97" i="30" s="1"/>
  <c r="E96" i="30"/>
  <c r="H96" i="30" s="1"/>
  <c r="E95" i="30"/>
  <c r="F95" i="30" s="1"/>
  <c r="G95" i="30" s="1"/>
  <c r="E94" i="30"/>
  <c r="H94" i="30" s="1"/>
  <c r="E93" i="30"/>
  <c r="F93" i="30" s="1"/>
  <c r="G93" i="30" s="1"/>
  <c r="E92" i="30"/>
  <c r="H92" i="30" s="1"/>
  <c r="E91" i="30"/>
  <c r="F91" i="30" s="1"/>
  <c r="G91" i="30" s="1"/>
  <c r="E90" i="30"/>
  <c r="H90" i="30" s="1"/>
  <c r="C82" i="30"/>
  <c r="C83" i="30" s="1"/>
  <c r="I81" i="30"/>
  <c r="J81" i="30" s="1"/>
  <c r="G81" i="30"/>
  <c r="H81" i="30" s="1"/>
  <c r="I80" i="30"/>
  <c r="J80" i="30" s="1"/>
  <c r="G80" i="30"/>
  <c r="H80" i="30" s="1"/>
  <c r="I79" i="30"/>
  <c r="J79" i="30" s="1"/>
  <c r="G79" i="30"/>
  <c r="H79" i="30" s="1"/>
  <c r="I78" i="30"/>
  <c r="J78" i="30" s="1"/>
  <c r="G78" i="30"/>
  <c r="H78" i="30" s="1"/>
  <c r="I77" i="30"/>
  <c r="G77" i="30"/>
  <c r="H77" i="30" s="1"/>
  <c r="I76" i="30"/>
  <c r="J76" i="30" s="1"/>
  <c r="G76" i="30"/>
  <c r="H76" i="30" s="1"/>
  <c r="I75" i="30"/>
  <c r="J75" i="30" s="1"/>
  <c r="G75" i="30"/>
  <c r="H75" i="30" s="1"/>
  <c r="I74" i="30"/>
  <c r="J74" i="30" s="1"/>
  <c r="G74" i="30"/>
  <c r="H74" i="30" s="1"/>
  <c r="C43" i="30"/>
  <c r="C305" i="28"/>
  <c r="L312" i="28" s="1"/>
  <c r="K301" i="28"/>
  <c r="I301" i="28"/>
  <c r="H301" i="28"/>
  <c r="F301" i="28"/>
  <c r="E301" i="28"/>
  <c r="C301" i="28"/>
  <c r="K300" i="28"/>
  <c r="I300" i="28"/>
  <c r="H300" i="28"/>
  <c r="F300" i="28"/>
  <c r="E300" i="28"/>
  <c r="C300" i="28"/>
  <c r="K299" i="28"/>
  <c r="I299" i="28"/>
  <c r="H299" i="28"/>
  <c r="F299" i="28"/>
  <c r="G312" i="28" s="1"/>
  <c r="E299" i="28"/>
  <c r="C299" i="28"/>
  <c r="C247" i="28"/>
  <c r="C246" i="28"/>
  <c r="C245" i="28"/>
  <c r="C232" i="28"/>
  <c r="C231" i="28"/>
  <c r="C230" i="28"/>
  <c r="C229" i="28"/>
  <c r="E204" i="28"/>
  <c r="G12" i="28"/>
  <c r="E145" i="28"/>
  <c r="D145" i="28"/>
  <c r="D161" i="28" s="1"/>
  <c r="D13" i="28" s="1"/>
  <c r="D108" i="28"/>
  <c r="C108" i="28"/>
  <c r="D107" i="28"/>
  <c r="C107" i="28"/>
  <c r="D100" i="28"/>
  <c r="C100" i="28"/>
  <c r="D99" i="28"/>
  <c r="C99" i="28"/>
  <c r="C101" i="28" s="1"/>
  <c r="D229" i="26"/>
  <c r="D228" i="26"/>
  <c r="D227" i="26"/>
  <c r="C218" i="26"/>
  <c r="C160" i="26"/>
  <c r="C157" i="26"/>
  <c r="C151" i="26"/>
  <c r="C200" i="26" s="1"/>
  <c r="C150" i="26"/>
  <c r="D150" i="26" s="1"/>
  <c r="C149" i="26"/>
  <c r="C198" i="26" s="1"/>
  <c r="C148" i="26"/>
  <c r="D148" i="26" s="1"/>
  <c r="C147" i="26"/>
  <c r="C196" i="26" s="1"/>
  <c r="N125" i="26"/>
  <c r="C109" i="26"/>
  <c r="C108" i="26"/>
  <c r="C102" i="26"/>
  <c r="L84" i="26"/>
  <c r="K84" i="26"/>
  <c r="J84" i="26"/>
  <c r="I84" i="26"/>
  <c r="L82" i="26"/>
  <c r="L83" i="26" s="1"/>
  <c r="K82" i="26"/>
  <c r="K83" i="26" s="1"/>
  <c r="J82" i="26"/>
  <c r="J83" i="26" s="1"/>
  <c r="I82" i="26"/>
  <c r="I83" i="26" s="1"/>
  <c r="L81" i="26"/>
  <c r="K81" i="26"/>
  <c r="J81" i="26"/>
  <c r="I81" i="26"/>
  <c r="L80" i="26"/>
  <c r="K80" i="26"/>
  <c r="J80" i="26"/>
  <c r="I80" i="26"/>
  <c r="C55" i="26"/>
  <c r="D44" i="26"/>
  <c r="D49" i="26" s="1"/>
  <c r="C77" i="27"/>
  <c r="C78" i="27" s="1"/>
  <c r="C33" i="27"/>
  <c r="C34" i="27" s="1"/>
  <c r="E401" i="14"/>
  <c r="C401" i="14"/>
  <c r="E400" i="14"/>
  <c r="C400" i="14"/>
  <c r="E399" i="14"/>
  <c r="C399" i="14"/>
  <c r="E398" i="14"/>
  <c r="C398" i="14"/>
  <c r="E397" i="14"/>
  <c r="C397" i="14"/>
  <c r="E396" i="14"/>
  <c r="C396" i="14"/>
  <c r="E395" i="14"/>
  <c r="C395" i="14"/>
  <c r="E394" i="14"/>
  <c r="C394" i="14"/>
  <c r="E393" i="14"/>
  <c r="C393" i="14"/>
  <c r="E392" i="14"/>
  <c r="C392" i="14"/>
  <c r="E391" i="14"/>
  <c r="C391" i="14"/>
  <c r="Q384" i="14"/>
  <c r="Q383" i="14"/>
  <c r="Q382" i="14"/>
  <c r="Q381" i="14"/>
  <c r="Q380" i="14"/>
  <c r="Q379" i="14"/>
  <c r="Q378" i="14"/>
  <c r="Q377" i="14"/>
  <c r="Q376" i="14"/>
  <c r="Q375" i="14"/>
  <c r="Q374" i="14"/>
  <c r="J341" i="14"/>
  <c r="I341" i="14"/>
  <c r="H341" i="14"/>
  <c r="J340" i="14"/>
  <c r="J339" i="14"/>
  <c r="J338" i="14"/>
  <c r="F338" i="14"/>
  <c r="F336" i="14" s="1"/>
  <c r="E338" i="14"/>
  <c r="E336" i="14" s="1"/>
  <c r="D338" i="14"/>
  <c r="I338" i="14" s="1"/>
  <c r="C338" i="14"/>
  <c r="C336" i="14" s="1"/>
  <c r="J337" i="14"/>
  <c r="J336" i="14"/>
  <c r="J335" i="14"/>
  <c r="J334" i="14"/>
  <c r="J333" i="14"/>
  <c r="I333" i="14"/>
  <c r="H333" i="14"/>
  <c r="J332" i="14"/>
  <c r="I332" i="14"/>
  <c r="H332" i="14"/>
  <c r="J331" i="14"/>
  <c r="I331" i="14"/>
  <c r="H331" i="14"/>
  <c r="J330" i="14"/>
  <c r="I330" i="14"/>
  <c r="I340" i="14" s="1"/>
  <c r="H330" i="14"/>
  <c r="H340" i="14" s="1"/>
  <c r="O317" i="14"/>
  <c r="F332" i="14" s="1"/>
  <c r="N317" i="14"/>
  <c r="E332" i="14" s="1"/>
  <c r="M317" i="14"/>
  <c r="D332" i="14" s="1"/>
  <c r="L317" i="14"/>
  <c r="C333" i="14" s="1"/>
  <c r="O316" i="14"/>
  <c r="N316" i="14"/>
  <c r="M316" i="14"/>
  <c r="L316" i="14"/>
  <c r="O315" i="14"/>
  <c r="F341" i="14" s="1"/>
  <c r="N315" i="14"/>
  <c r="E341" i="14" s="1"/>
  <c r="M315" i="14"/>
  <c r="D341" i="14" s="1"/>
  <c r="L315" i="14"/>
  <c r="C341" i="14" s="1"/>
  <c r="O314" i="14"/>
  <c r="N314" i="14"/>
  <c r="M314" i="14"/>
  <c r="L314" i="14"/>
  <c r="O313" i="14"/>
  <c r="N313" i="14"/>
  <c r="M313" i="14"/>
  <c r="L313" i="14"/>
  <c r="O311" i="14"/>
  <c r="N311" i="14"/>
  <c r="M311" i="14"/>
  <c r="L311" i="14"/>
  <c r="O310" i="14"/>
  <c r="N310" i="14"/>
  <c r="M310" i="14"/>
  <c r="L310" i="14"/>
  <c r="O309" i="14"/>
  <c r="N309" i="14"/>
  <c r="M309" i="14"/>
  <c r="L309" i="14"/>
  <c r="O308" i="14"/>
  <c r="N308" i="14"/>
  <c r="M308" i="14"/>
  <c r="L308" i="14"/>
  <c r="O307" i="14"/>
  <c r="N307" i="14"/>
  <c r="M307" i="14"/>
  <c r="L307" i="14"/>
  <c r="O306" i="14"/>
  <c r="N306" i="14"/>
  <c r="M306" i="14"/>
  <c r="L306" i="14"/>
  <c r="K304" i="14"/>
  <c r="O304" i="14" s="1"/>
  <c r="J304" i="14"/>
  <c r="N304" i="14" s="1"/>
  <c r="I304" i="14"/>
  <c r="M304" i="14" s="1"/>
  <c r="H304" i="14"/>
  <c r="L304" i="14" s="1"/>
  <c r="O303" i="14"/>
  <c r="N303" i="14"/>
  <c r="M303" i="14"/>
  <c r="L303" i="14"/>
  <c r="O302" i="14"/>
  <c r="N302" i="14"/>
  <c r="M302" i="14"/>
  <c r="L302" i="14"/>
  <c r="F270" i="14"/>
  <c r="F269" i="14"/>
  <c r="F268" i="14"/>
  <c r="F267" i="14"/>
  <c r="F266" i="14"/>
  <c r="F265" i="14"/>
  <c r="F264" i="14"/>
  <c r="F263" i="14"/>
  <c r="F262" i="14"/>
  <c r="F261" i="14"/>
  <c r="C260" i="14"/>
  <c r="F260" i="14" s="1"/>
  <c r="C259" i="14"/>
  <c r="F259" i="14" s="1"/>
  <c r="C258" i="14"/>
  <c r="F258" i="14" s="1"/>
  <c r="F257" i="14"/>
  <c r="F256" i="14"/>
  <c r="F255" i="14"/>
  <c r="F254" i="14"/>
  <c r="C216" i="14"/>
  <c r="C215" i="14"/>
  <c r="C213" i="14"/>
  <c r="C210" i="14"/>
  <c r="C209" i="14"/>
  <c r="C464" i="14"/>
  <c r="C199" i="14"/>
  <c r="C237" i="14" s="1"/>
  <c r="E194" i="14"/>
  <c r="D194" i="14"/>
  <c r="H193" i="14"/>
  <c r="H192" i="14"/>
  <c r="C239" i="14" s="1"/>
  <c r="H191" i="14"/>
  <c r="H190" i="14"/>
  <c r="C465" i="14" s="1"/>
  <c r="N183" i="14"/>
  <c r="C152" i="14"/>
  <c r="D152" i="14" s="1"/>
  <c r="C148" i="14"/>
  <c r="D148" i="14" s="1"/>
  <c r="BA133" i="39" s="1"/>
  <c r="C158" i="14"/>
  <c r="D158" i="14" s="1"/>
  <c r="C157" i="14"/>
  <c r="D157" i="14" s="1"/>
  <c r="E110" i="14"/>
  <c r="D110" i="14"/>
  <c r="F109" i="14"/>
  <c r="F110" i="14" s="1"/>
  <c r="H108" i="14"/>
  <c r="C101" i="14"/>
  <c r="C155" i="14" s="1"/>
  <c r="D155" i="14" s="1"/>
  <c r="C92" i="14"/>
  <c r="C154" i="14" s="1"/>
  <c r="C91" i="14"/>
  <c r="C153" i="14" s="1"/>
  <c r="D153" i="14" s="1"/>
  <c r="C75" i="14"/>
  <c r="C77" i="14" s="1"/>
  <c r="E71" i="14"/>
  <c r="E70" i="14"/>
  <c r="I60" i="14"/>
  <c r="C60" i="14"/>
  <c r="C150" i="14" s="1"/>
  <c r="I59" i="14"/>
  <c r="C59" i="14"/>
  <c r="C149" i="14" s="1"/>
  <c r="I58" i="14"/>
  <c r="I57" i="14"/>
  <c r="C307" i="25"/>
  <c r="H15" i="25" s="1"/>
  <c r="C305" i="25"/>
  <c r="H13" i="25" s="1"/>
  <c r="L225" i="25"/>
  <c r="J225" i="25"/>
  <c r="I225" i="25"/>
  <c r="G225" i="25"/>
  <c r="F225" i="25"/>
  <c r="C225" i="25"/>
  <c r="L224" i="25"/>
  <c r="J224" i="25"/>
  <c r="I224" i="25"/>
  <c r="G224" i="25"/>
  <c r="F224" i="25"/>
  <c r="C224" i="25"/>
  <c r="C219" i="25"/>
  <c r="C215" i="25"/>
  <c r="C214" i="25"/>
  <c r="D150" i="25"/>
  <c r="H148" i="25"/>
  <c r="C120" i="25"/>
  <c r="C113" i="25"/>
  <c r="C112" i="25"/>
  <c r="C111" i="25"/>
  <c r="D110" i="25"/>
  <c r="C110" i="25" s="1"/>
  <c r="C109" i="25"/>
  <c r="C108" i="25"/>
  <c r="C107" i="25"/>
  <c r="C90" i="25"/>
  <c r="C288" i="25" s="1"/>
  <c r="C80" i="25"/>
  <c r="E79" i="25"/>
  <c r="D78" i="25"/>
  <c r="E77" i="25"/>
  <c r="E76" i="25"/>
  <c r="E63" i="25"/>
  <c r="E62" i="25"/>
  <c r="E61" i="25"/>
  <c r="E60" i="25"/>
  <c r="D59" i="25"/>
  <c r="D64" i="25" s="1"/>
  <c r="C59" i="25"/>
  <c r="C64" i="25" s="1"/>
  <c r="E58" i="25"/>
  <c r="E57" i="25"/>
  <c r="D90" i="25"/>
  <c r="D46" i="25"/>
  <c r="D45" i="25"/>
  <c r="D44" i="25"/>
  <c r="E357" i="18"/>
  <c r="E356" i="18"/>
  <c r="E355" i="18"/>
  <c r="E354" i="18"/>
  <c r="E353" i="18"/>
  <c r="C349" i="18"/>
  <c r="D285" i="18" s="1"/>
  <c r="C348" i="18"/>
  <c r="D281" i="18" s="1"/>
  <c r="C347" i="18"/>
  <c r="D283" i="18" s="1"/>
  <c r="C346" i="18"/>
  <c r="H348" i="18" s="1"/>
  <c r="C345" i="18"/>
  <c r="D280" i="18" s="1"/>
  <c r="F296" i="18"/>
  <c r="H259" i="18"/>
  <c r="G259" i="18"/>
  <c r="F259" i="18"/>
  <c r="G258" i="18"/>
  <c r="K256" i="18"/>
  <c r="J255" i="18"/>
  <c r="I255" i="18"/>
  <c r="H255" i="18"/>
  <c r="G255" i="18"/>
  <c r="I254" i="18"/>
  <c r="D254" i="18" s="1"/>
  <c r="C413" i="18" s="1"/>
  <c r="D413" i="18" s="1"/>
  <c r="G253" i="18"/>
  <c r="F253" i="18"/>
  <c r="D247" i="18"/>
  <c r="E258" i="18" s="1"/>
  <c r="D239" i="18"/>
  <c r="D238" i="18"/>
  <c r="D226" i="18"/>
  <c r="D225" i="18"/>
  <c r="G257" i="18" s="1"/>
  <c r="D219" i="18"/>
  <c r="D215" i="18"/>
  <c r="F200" i="18"/>
  <c r="F196" i="18"/>
  <c r="F193" i="18"/>
  <c r="F178" i="18"/>
  <c r="F163" i="18"/>
  <c r="C147" i="18"/>
  <c r="C146" i="18"/>
  <c r="C145" i="18"/>
  <c r="C301" i="18" s="1"/>
  <c r="C144" i="18"/>
  <c r="C143" i="18"/>
  <c r="C133" i="18"/>
  <c r="C123" i="18"/>
  <c r="C148" i="18" s="1"/>
  <c r="C100" i="18"/>
  <c r="D87" i="18"/>
  <c r="C87" i="18" s="1"/>
  <c r="C85" i="18"/>
  <c r="D85" i="18" s="1"/>
  <c r="C84" i="18"/>
  <c r="D84" i="18" s="1"/>
  <c r="C83" i="18"/>
  <c r="D83" i="18" s="1"/>
  <c r="C82" i="18"/>
  <c r="G82" i="18" s="1"/>
  <c r="D70" i="18"/>
  <c r="C86" i="18" s="1"/>
  <c r="E13" i="18"/>
  <c r="C188" i="16"/>
  <c r="C195" i="16" s="1"/>
  <c r="E168" i="31" s="1"/>
  <c r="C139" i="16"/>
  <c r="C137" i="16"/>
  <c r="C121" i="16"/>
  <c r="D99" i="16"/>
  <c r="C99" i="16"/>
  <c r="D80" i="16"/>
  <c r="C80" i="16"/>
  <c r="C288" i="19"/>
  <c r="C287" i="19"/>
  <c r="C286" i="19"/>
  <c r="C285" i="19"/>
  <c r="F278" i="19"/>
  <c r="F277" i="19"/>
  <c r="C273" i="19"/>
  <c r="C268" i="19"/>
  <c r="F230" i="19"/>
  <c r="C212" i="19"/>
  <c r="C211" i="19"/>
  <c r="C210" i="19"/>
  <c r="C199" i="19"/>
  <c r="D172" i="19"/>
  <c r="C156" i="19"/>
  <c r="D155" i="19"/>
  <c r="D333" i="19" s="1"/>
  <c r="C155" i="19"/>
  <c r="C333" i="19" s="1"/>
  <c r="E333" i="19" s="1"/>
  <c r="G18" i="19" s="1"/>
  <c r="D154" i="19"/>
  <c r="D332" i="19" s="1"/>
  <c r="C154" i="19"/>
  <c r="C332" i="19" s="1"/>
  <c r="E332" i="19" s="1"/>
  <c r="D153" i="19"/>
  <c r="D331" i="19" s="1"/>
  <c r="C153" i="19"/>
  <c r="C331" i="19" s="1"/>
  <c r="E331" i="19" s="1"/>
  <c r="D152" i="19"/>
  <c r="D330" i="19" s="1"/>
  <c r="C152" i="19"/>
  <c r="C330" i="19" s="1"/>
  <c r="E330" i="19" s="1"/>
  <c r="C150" i="19"/>
  <c r="D144" i="19"/>
  <c r="E144" i="19" s="1"/>
  <c r="D143" i="19"/>
  <c r="E143" i="19" s="1"/>
  <c r="D142" i="19"/>
  <c r="E142" i="19" s="1"/>
  <c r="D141" i="19"/>
  <c r="E141" i="19" s="1"/>
  <c r="C90" i="19"/>
  <c r="D288" i="19" s="1"/>
  <c r="C89" i="19"/>
  <c r="D287" i="19" s="1"/>
  <c r="C88" i="19"/>
  <c r="D286" i="19" s="1"/>
  <c r="C87" i="19"/>
  <c r="D285" i="19" s="1"/>
  <c r="D81" i="19"/>
  <c r="E80" i="19"/>
  <c r="E79" i="19"/>
  <c r="E78" i="19"/>
  <c r="E77" i="19"/>
  <c r="C69" i="19"/>
  <c r="C58" i="19"/>
  <c r="D53" i="19"/>
  <c r="C53" i="19"/>
  <c r="M24" i="19"/>
  <c r="E24" i="19"/>
  <c r="D618" i="17"/>
  <c r="D629" i="17" s="1"/>
  <c r="C618" i="17"/>
  <c r="C629" i="17" s="1"/>
  <c r="D617" i="17"/>
  <c r="C617" i="17"/>
  <c r="C628" i="17" s="1"/>
  <c r="D616" i="17"/>
  <c r="D625" i="17" s="1"/>
  <c r="C616" i="17"/>
  <c r="C625" i="17" s="1"/>
  <c r="D605" i="17"/>
  <c r="C605" i="17"/>
  <c r="D604" i="17"/>
  <c r="C604" i="17"/>
  <c r="D603" i="17"/>
  <c r="D627" i="17" s="1"/>
  <c r="C603" i="17"/>
  <c r="C627" i="17" s="1"/>
  <c r="L564" i="17"/>
  <c r="L563" i="17"/>
  <c r="D561" i="17"/>
  <c r="C561" i="17"/>
  <c r="Q549" i="17"/>
  <c r="Q548" i="17"/>
  <c r="D530" i="17"/>
  <c r="C530" i="17"/>
  <c r="J471" i="17"/>
  <c r="J470" i="17"/>
  <c r="J469" i="17"/>
  <c r="J468" i="17"/>
  <c r="J467" i="17"/>
  <c r="E467" i="17"/>
  <c r="J466" i="17"/>
  <c r="E466" i="17"/>
  <c r="J465" i="17"/>
  <c r="D465" i="17"/>
  <c r="C410" i="17"/>
  <c r="E406" i="17"/>
  <c r="C406" i="17"/>
  <c r="E405" i="17"/>
  <c r="J401" i="17"/>
  <c r="H401" i="17"/>
  <c r="J400" i="17"/>
  <c r="G400" i="17"/>
  <c r="E400" i="17"/>
  <c r="J399" i="17"/>
  <c r="E374" i="17"/>
  <c r="E371" i="17"/>
  <c r="E366" i="17"/>
  <c r="S344" i="17"/>
  <c r="S343" i="17"/>
  <c r="S342" i="17"/>
  <c r="S341" i="17"/>
  <c r="C357" i="17" s="1"/>
  <c r="C322" i="17"/>
  <c r="C316" i="17"/>
  <c r="E295" i="17"/>
  <c r="C306" i="17" s="1"/>
  <c r="D290" i="17"/>
  <c r="C290" i="17"/>
  <c r="E265" i="17"/>
  <c r="E264" i="17"/>
  <c r="C258" i="17"/>
  <c r="C259" i="17" s="1"/>
  <c r="C276" i="17" s="1"/>
  <c r="E222" i="17"/>
  <c r="E221" i="17"/>
  <c r="C216" i="17"/>
  <c r="C215" i="17"/>
  <c r="C214" i="17"/>
  <c r="C187" i="17"/>
  <c r="C168" i="17"/>
  <c r="C177" i="17" s="1"/>
  <c r="C160" i="17"/>
  <c r="C159" i="17"/>
  <c r="D103" i="17"/>
  <c r="D102" i="17"/>
  <c r="D124" i="31"/>
  <c r="C44" i="17"/>
  <c r="D24" i="17"/>
  <c r="C24" i="17"/>
  <c r="D198" i="31"/>
  <c r="D197" i="31"/>
  <c r="D196" i="31"/>
  <c r="D195" i="31"/>
  <c r="F165" i="31"/>
  <c r="D165" i="31"/>
  <c r="D320" i="19"/>
  <c r="C336" i="28"/>
  <c r="C335" i="28"/>
  <c r="D51" i="15"/>
  <c r="C54" i="15" s="1"/>
  <c r="C42" i="15"/>
  <c r="K13" i="15"/>
  <c r="C80" i="27" l="1"/>
  <c r="C82" i="27" s="1"/>
  <c r="C90" i="27"/>
  <c r="C83" i="21"/>
  <c r="C15" i="21" s="1"/>
  <c r="H14" i="21" s="1"/>
  <c r="D96" i="21"/>
  <c r="D97" i="21" s="1"/>
  <c r="D83" i="21"/>
  <c r="D84" i="21" s="1"/>
  <c r="C96" i="21"/>
  <c r="C97" i="21" s="1"/>
  <c r="C16" i="21" s="1"/>
  <c r="I15" i="21" s="1"/>
  <c r="C731" i="17"/>
  <c r="C562" i="17"/>
  <c r="C564" i="17"/>
  <c r="D562" i="17"/>
  <c r="D564" i="17"/>
  <c r="C328" i="19"/>
  <c r="E328" i="19" s="1"/>
  <c r="D202" i="31"/>
  <c r="D201" i="31" s="1"/>
  <c r="C135" i="25"/>
  <c r="F135" i="25" s="1"/>
  <c r="C136" i="25"/>
  <c r="C329" i="25" s="1"/>
  <c r="D329" i="25" s="1"/>
  <c r="C137" i="25"/>
  <c r="D137" i="25" s="1"/>
  <c r="C131" i="25"/>
  <c r="D131" i="25" s="1"/>
  <c r="G131" i="25" s="1"/>
  <c r="C133" i="25"/>
  <c r="F133" i="25" s="1"/>
  <c r="C233" i="14"/>
  <c r="D233" i="14" s="1"/>
  <c r="C232" i="14"/>
  <c r="BA140" i="39"/>
  <c r="C210" i="11"/>
  <c r="F58" i="33"/>
  <c r="E29" i="23"/>
  <c r="H29" i="23" s="1"/>
  <c r="D109" i="23" s="1"/>
  <c r="C179" i="20"/>
  <c r="C224" i="22" s="1"/>
  <c r="C146" i="20"/>
  <c r="C304" i="19"/>
  <c r="G260" i="39"/>
  <c r="G268" i="39"/>
  <c r="G261" i="39"/>
  <c r="G269" i="39"/>
  <c r="G262" i="39"/>
  <c r="G270" i="39"/>
  <c r="G263" i="39"/>
  <c r="G258" i="39"/>
  <c r="G264" i="39"/>
  <c r="G266" i="39"/>
  <c r="G259" i="39"/>
  <c r="G267" i="39"/>
  <c r="G265" i="39"/>
  <c r="C431" i="17"/>
  <c r="G380" i="37"/>
  <c r="L380" i="37" s="1"/>
  <c r="G381" i="37"/>
  <c r="L381" i="37" s="1"/>
  <c r="C478" i="16"/>
  <c r="D478" i="16" s="1"/>
  <c r="G42" i="16" s="1"/>
  <c r="O38" i="16" s="1"/>
  <c r="C479" i="16"/>
  <c r="D479" i="16" s="1"/>
  <c r="G43" i="16" s="1"/>
  <c r="O39" i="16" s="1"/>
  <c r="C471" i="16"/>
  <c r="D471" i="16" s="1"/>
  <c r="G35" i="16" s="1"/>
  <c r="O36" i="16" s="1"/>
  <c r="G377" i="37"/>
  <c r="L377" i="37" s="1"/>
  <c r="G378" i="37"/>
  <c r="L378" i="37" s="1"/>
  <c r="G379" i="37"/>
  <c r="L379" i="37" s="1"/>
  <c r="G376" i="37"/>
  <c r="L376" i="37" s="1"/>
  <c r="C470" i="16"/>
  <c r="C472" i="16"/>
  <c r="D472" i="16" s="1"/>
  <c r="G36" i="16" s="1"/>
  <c r="G375" i="37"/>
  <c r="L375" i="37" s="1"/>
  <c r="C475" i="16"/>
  <c r="D475" i="16" s="1"/>
  <c r="G39" i="16" s="1"/>
  <c r="C473" i="16"/>
  <c r="D473" i="16" s="1"/>
  <c r="G37" i="16" s="1"/>
  <c r="C476" i="16"/>
  <c r="D476" i="16" s="1"/>
  <c r="G40" i="16" s="1"/>
  <c r="C477" i="16"/>
  <c r="D477" i="16" s="1"/>
  <c r="G41" i="16" s="1"/>
  <c r="C474" i="16"/>
  <c r="D563" i="17"/>
  <c r="C563" i="17"/>
  <c r="E252" i="39"/>
  <c r="E246" i="39"/>
  <c r="D1219" i="30"/>
  <c r="D1228" i="30" s="1"/>
  <c r="F1228" i="30" s="1"/>
  <c r="C1231" i="30" s="1"/>
  <c r="E251" i="39"/>
  <c r="E250" i="39"/>
  <c r="D299" i="28"/>
  <c r="D312" i="28" s="1"/>
  <c r="D360" i="22"/>
  <c r="E380" i="37"/>
  <c r="J380" i="37" s="1"/>
  <c r="D381" i="37"/>
  <c r="I381" i="37" s="1"/>
  <c r="D380" i="37"/>
  <c r="I380" i="37" s="1"/>
  <c r="E381" i="37"/>
  <c r="J381" i="37" s="1"/>
  <c r="E248" i="39"/>
  <c r="E249" i="39"/>
  <c r="E242" i="39"/>
  <c r="E244" i="39"/>
  <c r="E247" i="39"/>
  <c r="E245" i="39"/>
  <c r="E254" i="39"/>
  <c r="E243" i="39"/>
  <c r="E253" i="39"/>
  <c r="E378" i="37"/>
  <c r="J378" i="37" s="1"/>
  <c r="E377" i="37"/>
  <c r="J377" i="37" s="1"/>
  <c r="D378" i="37"/>
  <c r="I378" i="37" s="1"/>
  <c r="D377" i="37"/>
  <c r="I377" i="37" s="1"/>
  <c r="D449" i="16"/>
  <c r="E379" i="37"/>
  <c r="J379" i="37" s="1"/>
  <c r="D379" i="37"/>
  <c r="I379" i="37" s="1"/>
  <c r="D376" i="37"/>
  <c r="I376" i="37" s="1"/>
  <c r="E376" i="37"/>
  <c r="J376" i="37" s="1"/>
  <c r="D375" i="37"/>
  <c r="I375" i="37" s="1"/>
  <c r="E375" i="37"/>
  <c r="J375" i="37" s="1"/>
  <c r="E161" i="28"/>
  <c r="E160" i="28" s="1"/>
  <c r="C160" i="28" s="1"/>
  <c r="C329" i="19"/>
  <c r="E329" i="19" s="1"/>
  <c r="C283" i="19"/>
  <c r="F295" i="19" s="1"/>
  <c r="I217" i="22"/>
  <c r="D224" i="22"/>
  <c r="E64" i="27"/>
  <c r="E66" i="27"/>
  <c r="E67" i="27"/>
  <c r="BA136" i="39"/>
  <c r="F333" i="19"/>
  <c r="L18" i="19"/>
  <c r="F330" i="19"/>
  <c r="G15" i="19"/>
  <c r="L15" i="19" s="1"/>
  <c r="F331" i="19"/>
  <c r="G16" i="19"/>
  <c r="L16" i="19" s="1"/>
  <c r="F332" i="19"/>
  <c r="G17" i="19"/>
  <c r="L17" i="19" s="1"/>
  <c r="C411" i="17"/>
  <c r="F416" i="17" s="1"/>
  <c r="E413" i="18"/>
  <c r="K13" i="18" s="1"/>
  <c r="C745" i="17"/>
  <c r="C60" i="17" s="1"/>
  <c r="C69" i="25"/>
  <c r="D93" i="25" s="1"/>
  <c r="C70" i="25"/>
  <c r="D94" i="25" s="1"/>
  <c r="C96" i="25"/>
  <c r="C294" i="25" s="1"/>
  <c r="C85" i="25"/>
  <c r="D96" i="25" s="1"/>
  <c r="D294" i="25" s="1"/>
  <c r="C153" i="25"/>
  <c r="K231" i="14"/>
  <c r="BA132" i="39"/>
  <c r="BA139" i="39"/>
  <c r="D149" i="14"/>
  <c r="C408" i="14" s="1"/>
  <c r="D154" i="14"/>
  <c r="D150" i="14"/>
  <c r="C409" i="14" s="1"/>
  <c r="C170" i="26"/>
  <c r="C175" i="26" s="1"/>
  <c r="E14" i="26" s="1"/>
  <c r="D53" i="26"/>
  <c r="M82" i="26" s="1"/>
  <c r="D49" i="28"/>
  <c r="E49" i="28"/>
  <c r="E47" i="28"/>
  <c r="C47" i="28" s="1"/>
  <c r="D48" i="28"/>
  <c r="E48" i="28"/>
  <c r="E13" i="28"/>
  <c r="C196" i="19"/>
  <c r="C200" i="19" s="1"/>
  <c r="D171" i="19"/>
  <c r="D176" i="19" s="1"/>
  <c r="C277" i="19"/>
  <c r="E211" i="28"/>
  <c r="E186" i="28"/>
  <c r="E187" i="28" s="1"/>
  <c r="C178" i="20"/>
  <c r="D186" i="28"/>
  <c r="D211" i="28"/>
  <c r="C186" i="28"/>
  <c r="F13" i="28" s="1"/>
  <c r="C73" i="44" s="1"/>
  <c r="C211" i="28"/>
  <c r="C205" i="28"/>
  <c r="E205" i="28"/>
  <c r="C312" i="28"/>
  <c r="D204" i="28"/>
  <c r="M312" i="28"/>
  <c r="C103" i="28"/>
  <c r="D336" i="28"/>
  <c r="E336" i="28" s="1"/>
  <c r="C109" i="28"/>
  <c r="C111" i="28" s="1"/>
  <c r="D335" i="28"/>
  <c r="E335" i="28" s="1"/>
  <c r="I12" i="28"/>
  <c r="J77" i="30"/>
  <c r="J82" i="30" s="1"/>
  <c r="J83" i="30" s="1"/>
  <c r="C1078" i="30"/>
  <c r="C565" i="17"/>
  <c r="C574" i="17"/>
  <c r="C578" i="17" s="1"/>
  <c r="C40" i="17" s="1"/>
  <c r="K238" i="14"/>
  <c r="I238" i="14"/>
  <c r="C20" i="14" s="1"/>
  <c r="J238" i="14"/>
  <c r="D20" i="14" s="1"/>
  <c r="K240" i="14"/>
  <c r="I240" i="14"/>
  <c r="C22" i="14" s="1"/>
  <c r="J240" i="14"/>
  <c r="D22" i="14" s="1"/>
  <c r="I231" i="14"/>
  <c r="J231" i="14"/>
  <c r="D13" i="14" s="1"/>
  <c r="K235" i="14"/>
  <c r="J235" i="14"/>
  <c r="D17" i="14" s="1"/>
  <c r="I235" i="14"/>
  <c r="C17" i="14" s="1"/>
  <c r="C208" i="14"/>
  <c r="C212" i="14"/>
  <c r="D237" i="14"/>
  <c r="H231" i="14"/>
  <c r="C214" i="14"/>
  <c r="C473" i="14" s="1"/>
  <c r="D239" i="14"/>
  <c r="C474" i="14"/>
  <c r="D474" i="14" s="1"/>
  <c r="E474" i="14" s="1"/>
  <c r="I22" i="14" s="1"/>
  <c r="C445" i="14"/>
  <c r="G445" i="14" s="1"/>
  <c r="H23" i="14" s="1"/>
  <c r="C440" i="14"/>
  <c r="G440" i="14" s="1"/>
  <c r="H18" i="14" s="1"/>
  <c r="K236" i="14"/>
  <c r="C278" i="14"/>
  <c r="D278" i="14" s="1"/>
  <c r="E331" i="14"/>
  <c r="M331" i="14" s="1"/>
  <c r="E339" i="14"/>
  <c r="I339" i="14" s="1"/>
  <c r="M339" i="14" s="1"/>
  <c r="G167" i="29"/>
  <c r="D63" i="33"/>
  <c r="G254" i="22"/>
  <c r="D339" i="14"/>
  <c r="L339" i="14" s="1"/>
  <c r="D158" i="16"/>
  <c r="E158" i="16" s="1"/>
  <c r="H345" i="18"/>
  <c r="F255" i="18"/>
  <c r="D317" i="18"/>
  <c r="C377" i="18"/>
  <c r="D377" i="18" s="1"/>
  <c r="I13" i="18" s="1"/>
  <c r="D253" i="18"/>
  <c r="C356" i="18"/>
  <c r="D259" i="18"/>
  <c r="C148" i="25"/>
  <c r="F12" i="25" s="1"/>
  <c r="C93" i="25"/>
  <c r="C291" i="25" s="1"/>
  <c r="E292" i="25" s="1"/>
  <c r="C308" i="25" s="1"/>
  <c r="H16" i="25" s="1"/>
  <c r="C34" i="17"/>
  <c r="C587" i="17"/>
  <c r="C594" i="17" s="1"/>
  <c r="C41" i="17" s="1"/>
  <c r="D495" i="17"/>
  <c r="C734" i="17"/>
  <c r="C732" i="17"/>
  <c r="C733" i="17"/>
  <c r="C226" i="17"/>
  <c r="C234" i="17" s="1"/>
  <c r="D418" i="17"/>
  <c r="D606" i="17"/>
  <c r="C37" i="17"/>
  <c r="C475" i="14"/>
  <c r="C468" i="14"/>
  <c r="G110" i="14"/>
  <c r="H109" i="14" s="1"/>
  <c r="C156" i="14" s="1"/>
  <c r="M151" i="14" s="1"/>
  <c r="C207" i="14"/>
  <c r="M332" i="14"/>
  <c r="C332" i="14"/>
  <c r="K332" i="14" s="1"/>
  <c r="N341" i="14"/>
  <c r="E17" i="17"/>
  <c r="C62" i="44" s="1"/>
  <c r="G17" i="17"/>
  <c r="D62" i="44" s="1"/>
  <c r="C305" i="17"/>
  <c r="C307" i="17" s="1"/>
  <c r="E465" i="17"/>
  <c r="D151" i="26"/>
  <c r="D149" i="26"/>
  <c r="C197" i="26"/>
  <c r="D197" i="26" s="1"/>
  <c r="L341" i="14"/>
  <c r="D86" i="18"/>
  <c r="C400" i="18"/>
  <c r="C401" i="18" s="1"/>
  <c r="J12" i="18" s="1"/>
  <c r="C151" i="14"/>
  <c r="D196" i="26"/>
  <c r="C233" i="26" s="1"/>
  <c r="C13" i="21"/>
  <c r="E53" i="21"/>
  <c r="J14" i="21"/>
  <c r="F330" i="14"/>
  <c r="N330" i="14" s="1"/>
  <c r="E257" i="18"/>
  <c r="D54" i="26"/>
  <c r="D147" i="26"/>
  <c r="C199" i="26"/>
  <c r="D199" i="26" s="1"/>
  <c r="C125" i="23"/>
  <c r="C139" i="23" s="1"/>
  <c r="D64" i="33"/>
  <c r="D193" i="31"/>
  <c r="D465" i="14"/>
  <c r="E465" i="14" s="1"/>
  <c r="I13" i="14" s="1"/>
  <c r="N28" i="14" s="1"/>
  <c r="H335" i="14"/>
  <c r="D109" i="29"/>
  <c r="D140" i="20"/>
  <c r="G85" i="18"/>
  <c r="I334" i="14"/>
  <c r="C225" i="17"/>
  <c r="C233" i="17" s="1"/>
  <c r="G83" i="18"/>
  <c r="D284" i="18"/>
  <c r="C281" i="14"/>
  <c r="D281" i="14" s="1"/>
  <c r="K341" i="14"/>
  <c r="K333" i="14"/>
  <c r="I335" i="14"/>
  <c r="C93" i="27"/>
  <c r="C114" i="27" s="1"/>
  <c r="C38" i="29" s="1"/>
  <c r="D109" i="28"/>
  <c r="D111" i="28" s="1"/>
  <c r="E312" i="28"/>
  <c r="D110" i="29"/>
  <c r="E55" i="23"/>
  <c r="H55" i="23" s="1"/>
  <c r="C36" i="17"/>
  <c r="C161" i="17"/>
  <c r="C92" i="19"/>
  <c r="C93" i="19" s="1"/>
  <c r="D258" i="18"/>
  <c r="C417" i="18" s="1"/>
  <c r="D417" i="18" s="1"/>
  <c r="E417" i="18" s="1"/>
  <c r="K17" i="18" s="1"/>
  <c r="H349" i="18"/>
  <c r="E59" i="25"/>
  <c r="C68" i="25" s="1"/>
  <c r="C284" i="14"/>
  <c r="D284" i="14" s="1"/>
  <c r="D331" i="14"/>
  <c r="L331" i="14" s="1"/>
  <c r="L332" i="14"/>
  <c r="F12" i="28"/>
  <c r="C14" i="21"/>
  <c r="H13" i="21" s="1"/>
  <c r="C292" i="22"/>
  <c r="E81" i="23"/>
  <c r="H81" i="23" s="1"/>
  <c r="M341" i="14"/>
  <c r="C434" i="14"/>
  <c r="G434" i="14" s="1"/>
  <c r="H12" i="14" s="1"/>
  <c r="M27" i="14" s="1"/>
  <c r="G418" i="17"/>
  <c r="C540" i="17"/>
  <c r="C38" i="17" s="1"/>
  <c r="D619" i="17"/>
  <c r="E81" i="19"/>
  <c r="M146" i="14"/>
  <c r="D330" i="14"/>
  <c r="D340" i="14" s="1"/>
  <c r="L340" i="14" s="1"/>
  <c r="F331" i="14"/>
  <c r="N331" i="14" s="1"/>
  <c r="F339" i="14"/>
  <c r="C437" i="14"/>
  <c r="G437" i="14" s="1"/>
  <c r="H15" i="14" s="1"/>
  <c r="E63" i="27"/>
  <c r="D50" i="26"/>
  <c r="M80" i="26" s="1"/>
  <c r="D101" i="28"/>
  <c r="D103" i="28" s="1"/>
  <c r="K312" i="28"/>
  <c r="C138" i="11"/>
  <c r="C140" i="11" s="1"/>
  <c r="D151" i="19"/>
  <c r="D329" i="19" s="1"/>
  <c r="C259" i="19"/>
  <c r="C165" i="31"/>
  <c r="C275" i="17"/>
  <c r="C277" i="17" s="1"/>
  <c r="C150" i="25"/>
  <c r="C330" i="14"/>
  <c r="K330" i="14" s="1"/>
  <c r="N336" i="14"/>
  <c r="D51" i="26"/>
  <c r="H253" i="22"/>
  <c r="E28" i="23"/>
  <c r="H28" i="23" s="1"/>
  <c r="E254" i="22"/>
  <c r="I243" i="22"/>
  <c r="F246" i="22"/>
  <c r="I244" i="22"/>
  <c r="G246" i="22"/>
  <c r="I253" i="22"/>
  <c r="I247" i="22"/>
  <c r="D230" i="22"/>
  <c r="H252" i="22"/>
  <c r="F255" i="22"/>
  <c r="C115" i="22"/>
  <c r="C194" i="22" s="1"/>
  <c r="E216" i="22" s="1"/>
  <c r="C245" i="22"/>
  <c r="C136" i="16"/>
  <c r="C192" i="16"/>
  <c r="C193" i="16"/>
  <c r="C194" i="16"/>
  <c r="C196" i="16"/>
  <c r="C211" i="11"/>
  <c r="D12" i="11" s="1"/>
  <c r="D239" i="11"/>
  <c r="C245" i="11" s="1"/>
  <c r="E12" i="11" s="1"/>
  <c r="C61" i="11"/>
  <c r="C191" i="11" s="1"/>
  <c r="C195" i="11" s="1"/>
  <c r="D14" i="11" s="1"/>
  <c r="D87" i="11"/>
  <c r="D88" i="11" s="1"/>
  <c r="D274" i="11"/>
  <c r="C280" i="11" s="1"/>
  <c r="F12" i="11" s="1"/>
  <c r="C12" i="11"/>
  <c r="H983" i="30"/>
  <c r="G983" i="30"/>
  <c r="H417" i="30"/>
  <c r="H482" i="30"/>
  <c r="H422" i="30"/>
  <c r="H375" i="30"/>
  <c r="G482" i="30"/>
  <c r="G417" i="30"/>
  <c r="G422" i="30"/>
  <c r="G375" i="30"/>
  <c r="G638" i="30"/>
  <c r="C81" i="19"/>
  <c r="G845" i="30"/>
  <c r="H819" i="30"/>
  <c r="G819" i="30"/>
  <c r="G846" i="30"/>
  <c r="G978" i="30" s="1"/>
  <c r="H845" i="30"/>
  <c r="H978" i="30"/>
  <c r="H799" i="30"/>
  <c r="G799" i="30"/>
  <c r="H758" i="30"/>
  <c r="G758" i="30"/>
  <c r="C354" i="30"/>
  <c r="C721" i="30"/>
  <c r="C1081" i="30"/>
  <c r="H720" i="30"/>
  <c r="G720" i="30"/>
  <c r="H95" i="30"/>
  <c r="H93" i="30"/>
  <c r="H101" i="30"/>
  <c r="H99" i="30"/>
  <c r="H97" i="30"/>
  <c r="H353" i="30"/>
  <c r="H91" i="30"/>
  <c r="H314" i="30"/>
  <c r="H360" i="30" s="1"/>
  <c r="H225" i="30"/>
  <c r="H359" i="30" s="1"/>
  <c r="C1105" i="30"/>
  <c r="C1120" i="30" s="1"/>
  <c r="H103" i="30"/>
  <c r="D494" i="17"/>
  <c r="C494" i="17"/>
  <c r="C196" i="31"/>
  <c r="F17" i="17"/>
  <c r="J16" i="19"/>
  <c r="I16" i="19"/>
  <c r="J17" i="19"/>
  <c r="I17" i="19"/>
  <c r="D405" i="17"/>
  <c r="C417" i="17" s="1"/>
  <c r="C405" i="17"/>
  <c r="E418" i="17"/>
  <c r="J18" i="19"/>
  <c r="I18" i="19"/>
  <c r="E225" i="25"/>
  <c r="E224" i="25"/>
  <c r="I401" i="17"/>
  <c r="G417" i="17" s="1"/>
  <c r="D406" i="17"/>
  <c r="D417" i="17" s="1"/>
  <c r="D301" i="28"/>
  <c r="D300" i="28"/>
  <c r="D225" i="25"/>
  <c r="D224" i="25"/>
  <c r="D354" i="18"/>
  <c r="E17" i="28"/>
  <c r="D17" i="28"/>
  <c r="C17" i="28"/>
  <c r="E375" i="17"/>
  <c r="C378" i="17" s="1"/>
  <c r="C619" i="17"/>
  <c r="D278" i="19"/>
  <c r="C278" i="19"/>
  <c r="C17" i="17"/>
  <c r="C157" i="19"/>
  <c r="D157" i="19" s="1"/>
  <c r="D353" i="18"/>
  <c r="D17" i="17"/>
  <c r="C606" i="17"/>
  <c r="D289" i="19"/>
  <c r="I296" i="19" s="1"/>
  <c r="I15" i="19"/>
  <c r="J15" i="19"/>
  <c r="E277" i="19"/>
  <c r="D628" i="17"/>
  <c r="C282" i="19"/>
  <c r="G84" i="18"/>
  <c r="D357" i="18"/>
  <c r="D363" i="18" s="1"/>
  <c r="G363" i="18" s="1"/>
  <c r="G345" i="18"/>
  <c r="I257" i="18"/>
  <c r="D269" i="18"/>
  <c r="D17" i="18" s="1"/>
  <c r="C281" i="18"/>
  <c r="E301" i="18"/>
  <c r="D355" i="18"/>
  <c r="D277" i="19"/>
  <c r="D82" i="18"/>
  <c r="J257" i="18"/>
  <c r="C330" i="25"/>
  <c r="D330" i="25" s="1"/>
  <c r="C441" i="14"/>
  <c r="G441" i="14" s="1"/>
  <c r="H19" i="14" s="1"/>
  <c r="M150" i="14"/>
  <c r="C285" i="14"/>
  <c r="D285" i="14" s="1"/>
  <c r="D270" i="18"/>
  <c r="D18" i="18" s="1"/>
  <c r="D282" i="18"/>
  <c r="G282" i="18" s="1"/>
  <c r="D565" i="17"/>
  <c r="D356" i="18"/>
  <c r="D80" i="25"/>
  <c r="E78" i="25"/>
  <c r="C95" i="25" s="1"/>
  <c r="C293" i="25" s="1"/>
  <c r="D416" i="17"/>
  <c r="C418" i="17"/>
  <c r="D150" i="19"/>
  <c r="D284" i="19"/>
  <c r="D288" i="25"/>
  <c r="E288" i="25" s="1"/>
  <c r="C132" i="25"/>
  <c r="C88" i="18"/>
  <c r="D286" i="18"/>
  <c r="H350" i="18"/>
  <c r="H344" i="18"/>
  <c r="E363" i="18"/>
  <c r="H363" i="18" s="1"/>
  <c r="E255" i="18"/>
  <c r="C317" i="18"/>
  <c r="C354" i="18"/>
  <c r="H346" i="18"/>
  <c r="C353" i="18"/>
  <c r="C357" i="18"/>
  <c r="C94" i="25"/>
  <c r="C134" i="25"/>
  <c r="F136" i="25"/>
  <c r="H347" i="18"/>
  <c r="C355" i="18"/>
  <c r="C439" i="14"/>
  <c r="G439" i="14" s="1"/>
  <c r="H17" i="14" s="1"/>
  <c r="C283" i="14"/>
  <c r="C472" i="14"/>
  <c r="D333" i="14"/>
  <c r="L333" i="14" s="1"/>
  <c r="L338" i="14"/>
  <c r="D336" i="14"/>
  <c r="C286" i="14"/>
  <c r="C442" i="14"/>
  <c r="G442" i="14" s="1"/>
  <c r="H20" i="14" s="1"/>
  <c r="H194" i="14"/>
  <c r="C236" i="14" s="1"/>
  <c r="C407" i="14"/>
  <c r="C347" i="14"/>
  <c r="C331" i="14"/>
  <c r="K331" i="14" s="1"/>
  <c r="C339" i="14"/>
  <c r="C436" i="14"/>
  <c r="G436" i="14" s="1"/>
  <c r="H14" i="14" s="1"/>
  <c r="C280" i="14"/>
  <c r="D280" i="14" s="1"/>
  <c r="M148" i="14"/>
  <c r="C289" i="14"/>
  <c r="D289" i="14" s="1"/>
  <c r="M338" i="14"/>
  <c r="C444" i="14"/>
  <c r="G444" i="14" s="1"/>
  <c r="H22" i="14" s="1"/>
  <c r="M152" i="14"/>
  <c r="C288" i="14"/>
  <c r="D288" i="14" s="1"/>
  <c r="H336" i="14"/>
  <c r="K336" i="14" s="1"/>
  <c r="H338" i="14"/>
  <c r="K338" i="14" s="1"/>
  <c r="C435" i="14"/>
  <c r="G435" i="14" s="1"/>
  <c r="H13" i="14" s="1"/>
  <c r="M28" i="14" s="1"/>
  <c r="M147" i="14"/>
  <c r="C279" i="14"/>
  <c r="D279" i="14" s="1"/>
  <c r="E330" i="14"/>
  <c r="N332" i="14"/>
  <c r="C469" i="14"/>
  <c r="N338" i="14"/>
  <c r="E333" i="14"/>
  <c r="M333" i="14" s="1"/>
  <c r="F333" i="14"/>
  <c r="N333" i="14" s="1"/>
  <c r="D115" i="26"/>
  <c r="D198" i="26"/>
  <c r="E235" i="26" s="1"/>
  <c r="C220" i="26"/>
  <c r="C219" i="26"/>
  <c r="H334" i="14"/>
  <c r="D205" i="28"/>
  <c r="E65" i="27"/>
  <c r="D52" i="26"/>
  <c r="C307" i="28"/>
  <c r="H82" i="30"/>
  <c r="H83" i="30" s="1"/>
  <c r="E59" i="27"/>
  <c r="E68" i="27"/>
  <c r="D200" i="26"/>
  <c r="C306" i="28"/>
  <c r="D55" i="26"/>
  <c r="G353" i="30"/>
  <c r="C1049" i="30"/>
  <c r="E62" i="27"/>
  <c r="G225" i="30"/>
  <c r="G359" i="30" s="1"/>
  <c r="G314" i="30"/>
  <c r="G360" i="30" s="1"/>
  <c r="C247" i="22"/>
  <c r="C256" i="22"/>
  <c r="L69" i="29"/>
  <c r="C244" i="22"/>
  <c r="D216" i="22"/>
  <c r="J216" i="22" s="1"/>
  <c r="D246" i="22"/>
  <c r="C1127" i="30"/>
  <c r="C1136" i="30" s="1"/>
  <c r="H10" i="30" s="1"/>
  <c r="C157" i="29"/>
  <c r="D194" i="31" s="1"/>
  <c r="C243" i="22"/>
  <c r="H312" i="28"/>
  <c r="F90" i="30"/>
  <c r="G90" i="30" s="1"/>
  <c r="F92" i="30"/>
  <c r="G92" i="30" s="1"/>
  <c r="F94" i="30"/>
  <c r="G94" i="30" s="1"/>
  <c r="F96" i="30"/>
  <c r="G96" i="30" s="1"/>
  <c r="F98" i="30"/>
  <c r="G98" i="30" s="1"/>
  <c r="F100" i="30"/>
  <c r="G100" i="30" s="1"/>
  <c r="F102" i="30"/>
  <c r="G102" i="30" s="1"/>
  <c r="F104" i="30"/>
  <c r="G104" i="30" s="1"/>
  <c r="E140" i="20"/>
  <c r="I245" i="22"/>
  <c r="I312" i="28"/>
  <c r="D108" i="23"/>
  <c r="D217" i="22"/>
  <c r="F254" i="22"/>
  <c r="F256" i="22"/>
  <c r="C253" i="22"/>
  <c r="C1080" i="30"/>
  <c r="C72" i="29"/>
  <c r="L70" i="29" s="1"/>
  <c r="I242" i="22"/>
  <c r="E255" i="22"/>
  <c r="C216" i="22"/>
  <c r="C242" i="22"/>
  <c r="H254" i="22"/>
  <c r="H256" i="22"/>
  <c r="E39" i="23"/>
  <c r="H39" i="23" s="1"/>
  <c r="D1049" i="30"/>
  <c r="C131" i="11"/>
  <c r="E87" i="11"/>
  <c r="E88" i="11" s="1"/>
  <c r="H246" i="22"/>
  <c r="D59" i="33"/>
  <c r="D62" i="33"/>
  <c r="E252" i="22"/>
  <c r="D57" i="33"/>
  <c r="D65" i="33"/>
  <c r="G253" i="22"/>
  <c r="F124" i="23"/>
  <c r="G124" i="23" s="1"/>
  <c r="D60" i="33"/>
  <c r="C58" i="33"/>
  <c r="D58" i="33" s="1"/>
  <c r="C348" i="14" l="1"/>
  <c r="D348" i="14" s="1"/>
  <c r="C349" i="14"/>
  <c r="G349" i="14" s="1"/>
  <c r="I282" i="14"/>
  <c r="C197" i="31"/>
  <c r="D125" i="31"/>
  <c r="J15" i="21"/>
  <c r="I14" i="21"/>
  <c r="C84" i="21"/>
  <c r="H15" i="21"/>
  <c r="D328" i="19"/>
  <c r="F328" i="19" s="1"/>
  <c r="C295" i="19"/>
  <c r="D135" i="25"/>
  <c r="C326" i="25"/>
  <c r="D326" i="25" s="1"/>
  <c r="D133" i="25"/>
  <c r="C190" i="25"/>
  <c r="C231" i="25" s="1"/>
  <c r="F242" i="25" s="1"/>
  <c r="E133" i="25"/>
  <c r="C194" i="25"/>
  <c r="E136" i="25"/>
  <c r="F137" i="25"/>
  <c r="I137" i="25" s="1"/>
  <c r="E137" i="25"/>
  <c r="H137" i="25" s="1"/>
  <c r="D136" i="25"/>
  <c r="C193" i="25"/>
  <c r="I135" i="25"/>
  <c r="C328" i="25"/>
  <c r="D328" i="25" s="1"/>
  <c r="E328" i="25" s="1"/>
  <c r="I16" i="25" s="1"/>
  <c r="F131" i="25"/>
  <c r="I131" i="25" s="1"/>
  <c r="C192" i="25"/>
  <c r="C233" i="25" s="1"/>
  <c r="J244" i="25" s="1"/>
  <c r="E131" i="25"/>
  <c r="H131" i="25" s="1"/>
  <c r="E135" i="25"/>
  <c r="H135" i="25" s="1"/>
  <c r="F17" i="25"/>
  <c r="C324" i="25"/>
  <c r="D324" i="25" s="1"/>
  <c r="E324" i="25" s="1"/>
  <c r="I12" i="25" s="1"/>
  <c r="D272" i="11"/>
  <c r="C278" i="11" s="1"/>
  <c r="F14" i="11" s="1"/>
  <c r="C139" i="11"/>
  <c r="D237" i="11"/>
  <c r="C243" i="11" s="1"/>
  <c r="E14" i="11" s="1"/>
  <c r="H27" i="23"/>
  <c r="C132" i="23"/>
  <c r="C56" i="17"/>
  <c r="M379" i="37"/>
  <c r="H16" i="37" s="1"/>
  <c r="D474" i="16"/>
  <c r="G38" i="16" s="1"/>
  <c r="O37" i="16" s="1"/>
  <c r="M377" i="37"/>
  <c r="H14" i="37" s="1"/>
  <c r="G21" i="17"/>
  <c r="D66" i="44" s="1"/>
  <c r="F21" i="17"/>
  <c r="E21" i="17"/>
  <c r="C66" i="44" s="1"/>
  <c r="C21" i="17"/>
  <c r="D21" i="17"/>
  <c r="M376" i="37"/>
  <c r="H13" i="37" s="1"/>
  <c r="M380" i="37"/>
  <c r="H17" i="37" s="1"/>
  <c r="D464" i="16"/>
  <c r="H464" i="16" s="1"/>
  <c r="K464" i="16" s="1"/>
  <c r="F43" i="16" s="1"/>
  <c r="N39" i="16" s="1"/>
  <c r="D456" i="16"/>
  <c r="H456" i="16" s="1"/>
  <c r="K456" i="16" s="1"/>
  <c r="F35" i="16" s="1"/>
  <c r="N36" i="16" s="1"/>
  <c r="D463" i="16"/>
  <c r="H463" i="16" s="1"/>
  <c r="K463" i="16" s="1"/>
  <c r="F42" i="16" s="1"/>
  <c r="N38" i="16" s="1"/>
  <c r="D455" i="16"/>
  <c r="H455" i="16" s="1"/>
  <c r="K455" i="16" s="1"/>
  <c r="F34" i="16" s="1"/>
  <c r="N35" i="16" s="1"/>
  <c r="D462" i="16"/>
  <c r="H462" i="16" s="1"/>
  <c r="K462" i="16" s="1"/>
  <c r="F41" i="16" s="1"/>
  <c r="D458" i="16"/>
  <c r="H458" i="16" s="1"/>
  <c r="K458" i="16" s="1"/>
  <c r="F37" i="16" s="1"/>
  <c r="D457" i="16"/>
  <c r="H457" i="16" s="1"/>
  <c r="K457" i="16" s="1"/>
  <c r="F36" i="16" s="1"/>
  <c r="D461" i="16"/>
  <c r="H461" i="16" s="1"/>
  <c r="K461" i="16" s="1"/>
  <c r="F40" i="16" s="1"/>
  <c r="D460" i="16"/>
  <c r="H460" i="16" s="1"/>
  <c r="K460" i="16" s="1"/>
  <c r="F39" i="16" s="1"/>
  <c r="D459" i="16"/>
  <c r="H459" i="16" s="1"/>
  <c r="M381" i="37"/>
  <c r="H18" i="37" s="1"/>
  <c r="L382" i="37"/>
  <c r="J382" i="37"/>
  <c r="M378" i="37"/>
  <c r="H15" i="37" s="1"/>
  <c r="D470" i="16"/>
  <c r="G34" i="16" s="1"/>
  <c r="O35" i="16" s="1"/>
  <c r="D480" i="16"/>
  <c r="C484" i="16" s="1"/>
  <c r="I382" i="37"/>
  <c r="M375" i="37"/>
  <c r="C174" i="26"/>
  <c r="E13" i="26" s="1"/>
  <c r="D187" i="28"/>
  <c r="G13" i="28"/>
  <c r="C13" i="28"/>
  <c r="E12" i="28"/>
  <c r="D160" i="28"/>
  <c r="D12" i="28" s="1"/>
  <c r="C72" i="44"/>
  <c r="D87" i="44"/>
  <c r="C87" i="44"/>
  <c r="C85" i="27"/>
  <c r="C95" i="27"/>
  <c r="C115" i="27" s="1"/>
  <c r="C39" i="29" s="1"/>
  <c r="C119" i="29" s="1"/>
  <c r="D119" i="29" s="1"/>
  <c r="C100" i="27"/>
  <c r="C118" i="27" s="1"/>
  <c r="C42" i="29" s="1"/>
  <c r="C122" i="29" s="1"/>
  <c r="D122" i="29" s="1"/>
  <c r="C92" i="27"/>
  <c r="C98" i="27"/>
  <c r="C117" i="27" s="1"/>
  <c r="C41" i="29" s="1"/>
  <c r="C121" i="29" s="1"/>
  <c r="D121" i="29" s="1"/>
  <c r="C101" i="27"/>
  <c r="C119" i="27" s="1"/>
  <c r="C43" i="29" s="1"/>
  <c r="C123" i="29" s="1"/>
  <c r="D123" i="29" s="1"/>
  <c r="H1158" i="30"/>
  <c r="G1158" i="30"/>
  <c r="E24" i="17"/>
  <c r="F24" i="17"/>
  <c r="E211" i="16"/>
  <c r="L19" i="19"/>
  <c r="I52" i="31" s="1"/>
  <c r="C284" i="19"/>
  <c r="C185" i="19"/>
  <c r="C14" i="19" s="1"/>
  <c r="F329" i="19"/>
  <c r="E219" i="22"/>
  <c r="F12" i="22"/>
  <c r="F14" i="22" s="1"/>
  <c r="I216" i="22"/>
  <c r="K216" i="22" s="1"/>
  <c r="D13" i="22"/>
  <c r="D12" i="22"/>
  <c r="C96" i="27"/>
  <c r="C91" i="27"/>
  <c r="C111" i="27" s="1"/>
  <c r="C94" i="27"/>
  <c r="C97" i="27"/>
  <c r="C116" i="27" s="1"/>
  <c r="C40" i="29" s="1"/>
  <c r="C120" i="29" s="1"/>
  <c r="D120" i="29" s="1"/>
  <c r="C99" i="27"/>
  <c r="C83" i="44"/>
  <c r="D83" i="44"/>
  <c r="I13" i="21"/>
  <c r="C22" i="21"/>
  <c r="C286" i="22" s="1"/>
  <c r="D292" i="22" s="1"/>
  <c r="C62" i="11"/>
  <c r="C14" i="11" s="1"/>
  <c r="C184" i="19"/>
  <c r="C13" i="19" s="1"/>
  <c r="K24" i="19" s="1"/>
  <c r="D399" i="17"/>
  <c r="D400" i="17"/>
  <c r="G416" i="17"/>
  <c r="G419" i="17" s="1"/>
  <c r="G20" i="17" s="1"/>
  <c r="D65" i="44" s="1"/>
  <c r="F417" i="17"/>
  <c r="D265" i="18"/>
  <c r="D13" i="18" s="1"/>
  <c r="J19" i="18"/>
  <c r="C367" i="18"/>
  <c r="F367" i="18" s="1"/>
  <c r="C416" i="17"/>
  <c r="G304" i="37"/>
  <c r="H304" i="37" s="1"/>
  <c r="E18" i="37" s="1"/>
  <c r="F18" i="25"/>
  <c r="E294" i="25"/>
  <c r="C310" i="25" s="1"/>
  <c r="H18" i="25" s="1"/>
  <c r="D291" i="25"/>
  <c r="C91" i="25"/>
  <c r="F13" i="25" s="1"/>
  <c r="C67" i="25"/>
  <c r="D91" i="25" s="1"/>
  <c r="D289" i="25" s="1"/>
  <c r="C84" i="25"/>
  <c r="D95" i="25" s="1"/>
  <c r="F15" i="25"/>
  <c r="E242" i="25"/>
  <c r="D92" i="25"/>
  <c r="I133" i="25" s="1"/>
  <c r="K237" i="14"/>
  <c r="BA138" i="39"/>
  <c r="K232" i="14"/>
  <c r="BA134" i="39"/>
  <c r="K233" i="14"/>
  <c r="C438" i="14"/>
  <c r="G438" i="14" s="1"/>
  <c r="H16" i="14" s="1"/>
  <c r="M30" i="14" s="1"/>
  <c r="D151" i="14"/>
  <c r="BA135" i="39" s="1"/>
  <c r="K239" i="14"/>
  <c r="D283" i="14"/>
  <c r="C177" i="26"/>
  <c r="E16" i="26" s="1"/>
  <c r="C178" i="26"/>
  <c r="E17" i="26" s="1"/>
  <c r="C176" i="26"/>
  <c r="E15" i="26" s="1"/>
  <c r="C13" i="26"/>
  <c r="C14" i="26"/>
  <c r="K14" i="26" s="1"/>
  <c r="C115" i="26"/>
  <c r="E200" i="26"/>
  <c r="F17" i="26" s="1"/>
  <c r="C251" i="26"/>
  <c r="H13" i="26" s="1"/>
  <c r="E196" i="26"/>
  <c r="F13" i="26" s="1"/>
  <c r="D233" i="26"/>
  <c r="C252" i="26"/>
  <c r="H14" i="26" s="1"/>
  <c r="C234" i="26"/>
  <c r="C188" i="25"/>
  <c r="C48" i="28"/>
  <c r="C49" i="28"/>
  <c r="C12" i="28"/>
  <c r="C187" i="28"/>
  <c r="H13" i="28"/>
  <c r="D73" i="44" s="1"/>
  <c r="C286" i="18"/>
  <c r="C418" i="18"/>
  <c r="D418" i="18" s="1"/>
  <c r="E418" i="18" s="1"/>
  <c r="K18" i="18" s="1"/>
  <c r="D316" i="18"/>
  <c r="C412" i="18"/>
  <c r="D412" i="18" s="1"/>
  <c r="C223" i="22"/>
  <c r="E12" i="22" s="1"/>
  <c r="C180" i="20"/>
  <c r="E190" i="25"/>
  <c r="C218" i="19"/>
  <c r="D14" i="19" s="1"/>
  <c r="L25" i="19" s="1"/>
  <c r="E12" i="39"/>
  <c r="D1167" i="30"/>
  <c r="D1168" i="30" s="1"/>
  <c r="D62" i="28"/>
  <c r="D158" i="31" s="1"/>
  <c r="C158" i="31" s="1"/>
  <c r="N312" i="28"/>
  <c r="E16" i="28" s="1"/>
  <c r="J17" i="28"/>
  <c r="I17" i="28"/>
  <c r="K17" i="28"/>
  <c r="F17" i="28"/>
  <c r="C77" i="44" s="1"/>
  <c r="G17" i="28"/>
  <c r="H17" i="28"/>
  <c r="D77" i="44" s="1"/>
  <c r="H12" i="28"/>
  <c r="D72" i="44" s="1"/>
  <c r="F312" i="28"/>
  <c r="C16" i="28" s="1"/>
  <c r="E199" i="26"/>
  <c r="F16" i="26" s="1"/>
  <c r="D156" i="19"/>
  <c r="C13" i="14"/>
  <c r="C467" i="14"/>
  <c r="D467" i="14" s="1"/>
  <c r="E467" i="14" s="1"/>
  <c r="I15" i="14" s="1"/>
  <c r="M29" i="14"/>
  <c r="M39" i="14" s="1"/>
  <c r="I236" i="14"/>
  <c r="C18" i="14" s="1"/>
  <c r="K241" i="14"/>
  <c r="I241" i="14"/>
  <c r="C23" i="14" s="1"/>
  <c r="J241" i="14"/>
  <c r="D23" i="14" s="1"/>
  <c r="K230" i="14"/>
  <c r="C12" i="14"/>
  <c r="J230" i="14"/>
  <c r="D12" i="14" s="1"/>
  <c r="E237" i="14"/>
  <c r="F237" i="14" s="1"/>
  <c r="D232" i="14"/>
  <c r="E337" i="14"/>
  <c r="I337" i="14" s="1"/>
  <c r="M337" i="14" s="1"/>
  <c r="C466" i="14"/>
  <c r="D466" i="14" s="1"/>
  <c r="E466" i="14" s="1"/>
  <c r="I14" i="14" s="1"/>
  <c r="M31" i="14"/>
  <c r="M41" i="14" s="1"/>
  <c r="C406" i="14"/>
  <c r="D406" i="14" s="1"/>
  <c r="H234" i="14"/>
  <c r="M33" i="14"/>
  <c r="M43" i="14" s="1"/>
  <c r="C471" i="14"/>
  <c r="D471" i="14" s="1"/>
  <c r="E471" i="14" s="1"/>
  <c r="I19" i="14" s="1"/>
  <c r="E239" i="14"/>
  <c r="F239" i="14" s="1"/>
  <c r="E233" i="14"/>
  <c r="F233" i="14" s="1"/>
  <c r="C211" i="14"/>
  <c r="D464" i="14"/>
  <c r="E464" i="14" s="1"/>
  <c r="I12" i="14" s="1"/>
  <c r="D337" i="14"/>
  <c r="L337" i="14" s="1"/>
  <c r="F334" i="14"/>
  <c r="N334" i="14" s="1"/>
  <c r="I279" i="14"/>
  <c r="L27" i="14"/>
  <c r="L37" i="14" s="1"/>
  <c r="M149" i="14"/>
  <c r="C287" i="14"/>
  <c r="D287" i="14" s="1"/>
  <c r="L32" i="14" s="1"/>
  <c r="M37" i="14"/>
  <c r="C346" i="14"/>
  <c r="D346" i="14" s="1"/>
  <c r="C443" i="14"/>
  <c r="G443" i="14" s="1"/>
  <c r="H21" i="14" s="1"/>
  <c r="M32" i="14" s="1"/>
  <c r="I28" i="14"/>
  <c r="I38" i="14" s="1"/>
  <c r="E167" i="29"/>
  <c r="D167" i="29"/>
  <c r="C167" i="29"/>
  <c r="G303" i="37"/>
  <c r="H303" i="37" s="1"/>
  <c r="E17" i="37" s="1"/>
  <c r="G302" i="37"/>
  <c r="H302" i="37" s="1"/>
  <c r="E16" i="37" s="1"/>
  <c r="C1053" i="30"/>
  <c r="J253" i="22"/>
  <c r="J255" i="22"/>
  <c r="D229" i="22"/>
  <c r="J217" i="22"/>
  <c r="K217" i="22" s="1"/>
  <c r="G135" i="25"/>
  <c r="C16" i="25" s="1"/>
  <c r="J459" i="16"/>
  <c r="J465" i="16" s="1"/>
  <c r="G459" i="16"/>
  <c r="G465" i="16" s="1"/>
  <c r="I459" i="16"/>
  <c r="I465" i="16" s="1"/>
  <c r="J19" i="19"/>
  <c r="D501" i="16"/>
  <c r="H38" i="16" s="1"/>
  <c r="P37" i="16" s="1"/>
  <c r="E367" i="18"/>
  <c r="H367" i="18" s="1"/>
  <c r="C381" i="18"/>
  <c r="D381" i="18" s="1"/>
  <c r="I17" i="18" s="1"/>
  <c r="G350" i="18"/>
  <c r="D322" i="18"/>
  <c r="C382" i="18"/>
  <c r="D382" i="18" s="1"/>
  <c r="I18" i="18" s="1"/>
  <c r="D368" i="18"/>
  <c r="G368" i="18" s="1"/>
  <c r="C280" i="18"/>
  <c r="C362" i="18"/>
  <c r="C376" i="18"/>
  <c r="C322" i="18"/>
  <c r="E368" i="18"/>
  <c r="H368" i="18" s="1"/>
  <c r="E362" i="18"/>
  <c r="C316" i="18"/>
  <c r="D362" i="18"/>
  <c r="C321" i="18"/>
  <c r="D268" i="18"/>
  <c r="D16" i="18" s="1"/>
  <c r="D88" i="18"/>
  <c r="C142" i="18" s="1"/>
  <c r="E64" i="25"/>
  <c r="C92" i="25"/>
  <c r="C290" i="25" s="1"/>
  <c r="C334" i="14"/>
  <c r="K334" i="14" s="1"/>
  <c r="L330" i="14"/>
  <c r="D334" i="14"/>
  <c r="L334" i="14" s="1"/>
  <c r="D335" i="14"/>
  <c r="L335" i="14" s="1"/>
  <c r="G300" i="37"/>
  <c r="H300" i="37" s="1"/>
  <c r="E14" i="37" s="1"/>
  <c r="C495" i="17"/>
  <c r="C35" i="17"/>
  <c r="E15" i="17"/>
  <c r="C60" i="44" s="1"/>
  <c r="C15" i="17"/>
  <c r="G15" i="17"/>
  <c r="D60" i="44" s="1"/>
  <c r="F15" i="17"/>
  <c r="D15" i="17"/>
  <c r="C735" i="17"/>
  <c r="C59" i="17" s="1"/>
  <c r="D247" i="17"/>
  <c r="N38" i="14"/>
  <c r="O341" i="14"/>
  <c r="G417" i="14" s="1"/>
  <c r="F340" i="14"/>
  <c r="N340" i="14" s="1"/>
  <c r="F335" i="14"/>
  <c r="N335" i="14" s="1"/>
  <c r="C340" i="14"/>
  <c r="K340" i="14" s="1"/>
  <c r="C335" i="14"/>
  <c r="K335" i="14" s="1"/>
  <c r="I284" i="14"/>
  <c r="O332" i="14"/>
  <c r="G408" i="14" s="1"/>
  <c r="G19" i="17"/>
  <c r="D64" i="44" s="1"/>
  <c r="F19" i="17"/>
  <c r="D234" i="26"/>
  <c r="O331" i="14"/>
  <c r="G407" i="14" s="1"/>
  <c r="D19" i="17"/>
  <c r="C19" i="17"/>
  <c r="C237" i="26"/>
  <c r="O333" i="14"/>
  <c r="G409" i="14" s="1"/>
  <c r="C368" i="18"/>
  <c r="F368" i="18" s="1"/>
  <c r="G349" i="18"/>
  <c r="E19" i="17"/>
  <c r="C64" i="44" s="1"/>
  <c r="E52" i="21"/>
  <c r="C12" i="21"/>
  <c r="J13" i="21" s="1"/>
  <c r="E233" i="26"/>
  <c r="D419" i="17"/>
  <c r="D20" i="17" s="1"/>
  <c r="G137" i="25"/>
  <c r="C18" i="25" s="1"/>
  <c r="E330" i="25"/>
  <c r="I18" i="25" s="1"/>
  <c r="F337" i="14"/>
  <c r="N337" i="14" s="1"/>
  <c r="N339" i="14"/>
  <c r="C282" i="14"/>
  <c r="D282" i="14" s="1"/>
  <c r="E234" i="26"/>
  <c r="O338" i="14"/>
  <c r="G414" i="14" s="1"/>
  <c r="D321" i="18"/>
  <c r="M81" i="26"/>
  <c r="C15" i="26"/>
  <c r="C285" i="18"/>
  <c r="J312" i="28"/>
  <c r="D16" i="28" s="1"/>
  <c r="E198" i="26"/>
  <c r="F15" i="26" s="1"/>
  <c r="M83" i="26"/>
  <c r="C17" i="26"/>
  <c r="D175" i="19"/>
  <c r="C180" i="19" s="1"/>
  <c r="C307" i="19"/>
  <c r="F217" i="22"/>
  <c r="C365" i="22" s="1"/>
  <c r="J256" i="22"/>
  <c r="C246" i="22"/>
  <c r="E267" i="22" s="1"/>
  <c r="I246" i="22"/>
  <c r="C255" i="22"/>
  <c r="C268" i="22" s="1"/>
  <c r="C225" i="16"/>
  <c r="F12" i="16" s="1"/>
  <c r="F16" i="16" s="1"/>
  <c r="C223" i="16"/>
  <c r="D12" i="16" s="1"/>
  <c r="D16" i="16" s="1"/>
  <c r="C197" i="16"/>
  <c r="C386" i="16" s="1"/>
  <c r="D168" i="31"/>
  <c r="C168" i="31" s="1"/>
  <c r="D238" i="11"/>
  <c r="C244" i="11" s="1"/>
  <c r="E13" i="11" s="1"/>
  <c r="D273" i="11"/>
  <c r="C281" i="11" s="1"/>
  <c r="F15" i="11" s="1"/>
  <c r="H638" i="30"/>
  <c r="H721" i="30" s="1"/>
  <c r="G721" i="30"/>
  <c r="H205" i="30"/>
  <c r="D1120" i="30"/>
  <c r="G10" i="30" s="1"/>
  <c r="C1082" i="30"/>
  <c r="E10" i="30" s="1"/>
  <c r="E148" i="23"/>
  <c r="C14" i="23" s="1"/>
  <c r="E149" i="23"/>
  <c r="C15" i="23" s="1"/>
  <c r="E150" i="23"/>
  <c r="C16" i="23" s="1"/>
  <c r="J252" i="22"/>
  <c r="C165" i="11"/>
  <c r="E237" i="26"/>
  <c r="C352" i="14"/>
  <c r="C412" i="14"/>
  <c r="E409" i="14"/>
  <c r="D409" i="14"/>
  <c r="F409" i="14"/>
  <c r="F134" i="25"/>
  <c r="I134" i="25" s="1"/>
  <c r="C191" i="25"/>
  <c r="C327" i="25"/>
  <c r="D327" i="25" s="1"/>
  <c r="E327" i="25" s="1"/>
  <c r="I15" i="25" s="1"/>
  <c r="E134" i="25"/>
  <c r="H134" i="25" s="1"/>
  <c r="D134" i="25"/>
  <c r="G134" i="25" s="1"/>
  <c r="C15" i="25" s="1"/>
  <c r="J242" i="25"/>
  <c r="N242" i="25"/>
  <c r="L242" i="25"/>
  <c r="C363" i="18"/>
  <c r="F363" i="18" s="1"/>
  <c r="I363" i="18" s="1"/>
  <c r="H13" i="18" s="1"/>
  <c r="D257" i="18"/>
  <c r="C416" i="18" s="1"/>
  <c r="D416" i="18" s="1"/>
  <c r="E416" i="18" s="1"/>
  <c r="K16" i="18" s="1"/>
  <c r="C243" i="19"/>
  <c r="E14" i="19"/>
  <c r="D265" i="28"/>
  <c r="E265" i="28" s="1"/>
  <c r="D264" i="28"/>
  <c r="E264" i="28" s="1"/>
  <c r="D266" i="28"/>
  <c r="E266" i="28" s="1"/>
  <c r="C566" i="17"/>
  <c r="E64" i="33"/>
  <c r="F64" i="33" s="1"/>
  <c r="D228" i="22"/>
  <c r="C219" i="22"/>
  <c r="F216" i="22"/>
  <c r="C364" i="22" s="1"/>
  <c r="C61" i="33"/>
  <c r="E340" i="14"/>
  <c r="M340" i="14" s="1"/>
  <c r="E334" i="14"/>
  <c r="M334" i="14" s="1"/>
  <c r="M330" i="14"/>
  <c r="E335" i="14"/>
  <c r="M335" i="14" s="1"/>
  <c r="I278" i="14"/>
  <c r="C337" i="14"/>
  <c r="H339" i="14"/>
  <c r="K339" i="14" s="1"/>
  <c r="C414" i="14"/>
  <c r="C354" i="14"/>
  <c r="D255" i="18"/>
  <c r="C414" i="18" s="1"/>
  <c r="D414" i="18" s="1"/>
  <c r="E414" i="18" s="1"/>
  <c r="K14" i="18" s="1"/>
  <c r="C415" i="14"/>
  <c r="D367" i="18"/>
  <c r="G367" i="18" s="1"/>
  <c r="K12" i="28"/>
  <c r="H313" i="28"/>
  <c r="G313" i="28"/>
  <c r="M313" i="28"/>
  <c r="E313" i="28"/>
  <c r="L313" i="28"/>
  <c r="D313" i="28"/>
  <c r="K313" i="28"/>
  <c r="C313" i="28"/>
  <c r="I313" i="28"/>
  <c r="E159" i="31"/>
  <c r="D159" i="31"/>
  <c r="C86" i="27"/>
  <c r="C113" i="27" s="1"/>
  <c r="C88" i="27"/>
  <c r="C87" i="27"/>
  <c r="E408" i="14"/>
  <c r="D408" i="14"/>
  <c r="F408" i="14"/>
  <c r="C357" i="14"/>
  <c r="C417" i="14"/>
  <c r="D475" i="14"/>
  <c r="E475" i="14" s="1"/>
  <c r="I23" i="14" s="1"/>
  <c r="N33" i="14" s="1"/>
  <c r="N43" i="14" s="1"/>
  <c r="E347" i="14"/>
  <c r="D347" i="14"/>
  <c r="G347" i="14"/>
  <c r="F347" i="14"/>
  <c r="D472" i="14"/>
  <c r="E472" i="14" s="1"/>
  <c r="I20" i="14" s="1"/>
  <c r="G15" i="18"/>
  <c r="E295" i="19"/>
  <c r="E294" i="19"/>
  <c r="E416" i="17"/>
  <c r="E419" i="17" s="1"/>
  <c r="E20" i="17" s="1"/>
  <c r="J254" i="22"/>
  <c r="D219" i="22"/>
  <c r="C255" i="26"/>
  <c r="H17" i="26" s="1"/>
  <c r="J12" i="28"/>
  <c r="E236" i="26"/>
  <c r="C235" i="26"/>
  <c r="D469" i="14"/>
  <c r="E469" i="14" s="1"/>
  <c r="I17" i="14" s="1"/>
  <c r="M38" i="14"/>
  <c r="E348" i="14"/>
  <c r="C325" i="25"/>
  <c r="D325" i="25" s="1"/>
  <c r="F132" i="25"/>
  <c r="E132" i="25"/>
  <c r="D132" i="25"/>
  <c r="C189" i="25"/>
  <c r="D283" i="19"/>
  <c r="D282" i="19"/>
  <c r="C12" i="25"/>
  <c r="C353" i="14"/>
  <c r="C413" i="14"/>
  <c r="D237" i="26"/>
  <c r="L314" i="28"/>
  <c r="D314" i="28"/>
  <c r="K314" i="28"/>
  <c r="C314" i="28"/>
  <c r="I314" i="28"/>
  <c r="H314" i="28"/>
  <c r="G314" i="28"/>
  <c r="M314" i="28"/>
  <c r="E314" i="28"/>
  <c r="C16" i="26"/>
  <c r="M84" i="26"/>
  <c r="C254" i="26"/>
  <c r="H16" i="26" s="1"/>
  <c r="D235" i="26"/>
  <c r="F235" i="26" s="1"/>
  <c r="I280" i="14"/>
  <c r="E407" i="14"/>
  <c r="D407" i="14"/>
  <c r="F407" i="14"/>
  <c r="D473" i="14"/>
  <c r="E473" i="14" s="1"/>
  <c r="I21" i="14" s="1"/>
  <c r="N32" i="14" s="1"/>
  <c r="C292" i="25"/>
  <c r="C289" i="19"/>
  <c r="C296" i="19" s="1"/>
  <c r="G296" i="19" s="1"/>
  <c r="E63" i="33"/>
  <c r="F63" i="33" s="1"/>
  <c r="E197" i="26"/>
  <c r="F14" i="26" s="1"/>
  <c r="C236" i="26"/>
  <c r="C253" i="26"/>
  <c r="H15" i="26" s="1"/>
  <c r="D236" i="26"/>
  <c r="C118" i="29"/>
  <c r="C416" i="14"/>
  <c r="C356" i="14"/>
  <c r="D292" i="25"/>
  <c r="D566" i="17"/>
  <c r="E80" i="25"/>
  <c r="D295" i="19"/>
  <c r="D294" i="19"/>
  <c r="F294" i="19"/>
  <c r="I19" i="19"/>
  <c r="E62" i="33"/>
  <c r="F62" i="33" s="1"/>
  <c r="E301" i="37"/>
  <c r="F301" i="37" s="1"/>
  <c r="D15" i="37" s="1"/>
  <c r="D349" i="14"/>
  <c r="E349" i="14"/>
  <c r="F349" i="14"/>
  <c r="C304" i="25"/>
  <c r="E65" i="33"/>
  <c r="F65" i="33" s="1"/>
  <c r="C13" i="11"/>
  <c r="G205" i="30"/>
  <c r="L336" i="14"/>
  <c r="I336" i="14"/>
  <c r="M336" i="14" s="1"/>
  <c r="C411" i="14"/>
  <c r="C351" i="14"/>
  <c r="D266" i="18"/>
  <c r="D14" i="18" s="1"/>
  <c r="C294" i="19"/>
  <c r="F418" i="17"/>
  <c r="G348" i="14" l="1"/>
  <c r="F348" i="14"/>
  <c r="C209" i="39"/>
  <c r="C53" i="28"/>
  <c r="C159" i="31"/>
  <c r="D245" i="17"/>
  <c r="E18" i="17" s="1"/>
  <c r="C186" i="19"/>
  <c r="C188" i="19" s="1"/>
  <c r="C17" i="19" s="1"/>
  <c r="H17" i="19" s="1"/>
  <c r="H242" i="25"/>
  <c r="K242" i="25" s="1"/>
  <c r="D242" i="25"/>
  <c r="C242" i="25"/>
  <c r="H136" i="25"/>
  <c r="D16" i="25"/>
  <c r="L244" i="25"/>
  <c r="N244" i="25"/>
  <c r="C244" i="25"/>
  <c r="D244" i="25"/>
  <c r="H244" i="25"/>
  <c r="K244" i="25" s="1"/>
  <c r="F244" i="25"/>
  <c r="E244" i="25"/>
  <c r="D12" i="25"/>
  <c r="D290" i="25"/>
  <c r="E326" i="25"/>
  <c r="I14" i="25" s="1"/>
  <c r="G150" i="39"/>
  <c r="C15" i="11"/>
  <c r="C146" i="23"/>
  <c r="C133" i="23"/>
  <c r="C147" i="23" s="1"/>
  <c r="I218" i="22"/>
  <c r="G44" i="16"/>
  <c r="H12" i="37"/>
  <c r="H19" i="37" s="1"/>
  <c r="M382" i="37"/>
  <c r="H465" i="16"/>
  <c r="K13" i="26"/>
  <c r="K15" i="26"/>
  <c r="C54" i="28"/>
  <c r="I59" i="28" s="1"/>
  <c r="C73" i="28"/>
  <c r="C62" i="28" s="1"/>
  <c r="C83" i="27"/>
  <c r="C120" i="27" s="1"/>
  <c r="C44" i="29" s="1"/>
  <c r="C84" i="27"/>
  <c r="D111" i="29"/>
  <c r="C65" i="44"/>
  <c r="L13" i="19"/>
  <c r="H24" i="19" s="1"/>
  <c r="D18" i="17"/>
  <c r="D23" i="17" s="1"/>
  <c r="C18" i="17"/>
  <c r="C469" i="16"/>
  <c r="D469" i="16" s="1"/>
  <c r="F334" i="19"/>
  <c r="K25" i="19"/>
  <c r="L14" i="19"/>
  <c r="H14" i="19"/>
  <c r="C230" i="22"/>
  <c r="E230" i="22" s="1"/>
  <c r="E13" i="22"/>
  <c r="E14" i="22" s="1"/>
  <c r="C228" i="22"/>
  <c r="E298" i="37"/>
  <c r="F298" i="37" s="1"/>
  <c r="E299" i="37"/>
  <c r="F299" i="37" s="1"/>
  <c r="D13" i="37" s="1"/>
  <c r="C229" i="22"/>
  <c r="C12" i="22"/>
  <c r="BA137" i="39"/>
  <c r="BA152" i="39" s="1"/>
  <c r="K17" i="26"/>
  <c r="G344" i="18"/>
  <c r="D264" i="18"/>
  <c r="D12" i="18" s="1"/>
  <c r="G286" i="18"/>
  <c r="E18" i="18" s="1"/>
  <c r="C419" i="17"/>
  <c r="C20" i="17" s="1"/>
  <c r="I51" i="31"/>
  <c r="D51" i="31"/>
  <c r="E192" i="25"/>
  <c r="F192" i="25" s="1"/>
  <c r="E16" i="25" s="1"/>
  <c r="D180" i="25"/>
  <c r="F180" i="25" s="1"/>
  <c r="D181" i="25"/>
  <c r="F181" i="25" s="1"/>
  <c r="D188" i="25" s="1"/>
  <c r="C229" i="25" s="1"/>
  <c r="C289" i="25"/>
  <c r="E290" i="25" s="1"/>
  <c r="C306" i="25" s="1"/>
  <c r="H14" i="25" s="1"/>
  <c r="F190" i="25"/>
  <c r="E14" i="25" s="1"/>
  <c r="G133" i="25"/>
  <c r="C14" i="25" s="1"/>
  <c r="H133" i="25"/>
  <c r="D14" i="25" s="1"/>
  <c r="C355" i="14"/>
  <c r="G355" i="14" s="1"/>
  <c r="N29" i="14"/>
  <c r="N39" i="14" s="1"/>
  <c r="L13" i="26"/>
  <c r="N13" i="26"/>
  <c r="L14" i="26"/>
  <c r="N14" i="26"/>
  <c r="L15" i="26"/>
  <c r="N15" i="26"/>
  <c r="I233" i="26"/>
  <c r="F234" i="26"/>
  <c r="G234" i="26" s="1"/>
  <c r="G14" i="26" s="1"/>
  <c r="M14" i="26" s="1"/>
  <c r="G235" i="26"/>
  <c r="G15" i="26" s="1"/>
  <c r="M15" i="26" s="1"/>
  <c r="F233" i="26"/>
  <c r="G233" i="26" s="1"/>
  <c r="G13" i="26" s="1"/>
  <c r="M13" i="26" s="1"/>
  <c r="L16" i="26"/>
  <c r="F236" i="26"/>
  <c r="G236" i="26" s="1"/>
  <c r="G16" i="26" s="1"/>
  <c r="M16" i="26" s="1"/>
  <c r="C55" i="28"/>
  <c r="C58" i="28"/>
  <c r="D53" i="28"/>
  <c r="D54" i="28"/>
  <c r="E412" i="18"/>
  <c r="K12" i="18" s="1"/>
  <c r="F317" i="18"/>
  <c r="F13" i="18" s="1"/>
  <c r="C13" i="18" s="1"/>
  <c r="D13" i="19"/>
  <c r="L24" i="19" s="1"/>
  <c r="D406" i="16"/>
  <c r="E39" i="16" s="1"/>
  <c r="D410" i="16"/>
  <c r="E43" i="16" s="1"/>
  <c r="D402" i="16"/>
  <c r="E35" i="16" s="1"/>
  <c r="M36" i="16" s="1"/>
  <c r="D401" i="16"/>
  <c r="E34" i="16" s="1"/>
  <c r="M35" i="16" s="1"/>
  <c r="D403" i="16"/>
  <c r="E36" i="16" s="1"/>
  <c r="D407" i="16"/>
  <c r="E40" i="16" s="1"/>
  <c r="D408" i="16"/>
  <c r="E41" i="16" s="1"/>
  <c r="D409" i="16"/>
  <c r="E42" i="16" s="1"/>
  <c r="D405" i="16"/>
  <c r="E38" i="16" s="1"/>
  <c r="D404" i="16"/>
  <c r="E37" i="16" s="1"/>
  <c r="F10" i="30"/>
  <c r="F316" i="18"/>
  <c r="F12" i="18" s="1"/>
  <c r="J13" i="28"/>
  <c r="I13" i="28"/>
  <c r="C1167" i="30"/>
  <c r="K13" i="28"/>
  <c r="E1167" i="30"/>
  <c r="E1168" i="30" s="1"/>
  <c r="C1028" i="30"/>
  <c r="D10" i="30" s="1"/>
  <c r="E217" i="28"/>
  <c r="C217" i="28"/>
  <c r="D217" i="28"/>
  <c r="E58" i="28"/>
  <c r="D64" i="28"/>
  <c r="C57" i="28"/>
  <c r="D58" i="28"/>
  <c r="C55" i="17"/>
  <c r="F406" i="14"/>
  <c r="H28" i="14"/>
  <c r="H38" i="14" s="1"/>
  <c r="I233" i="14"/>
  <c r="C15" i="14" s="1"/>
  <c r="I237" i="14"/>
  <c r="C19" i="14" s="1"/>
  <c r="I239" i="14"/>
  <c r="C21" i="14" s="1"/>
  <c r="H32" i="14" s="1"/>
  <c r="H42" i="14" s="1"/>
  <c r="H237" i="14"/>
  <c r="J237" i="14"/>
  <c r="D19" i="14" s="1"/>
  <c r="C350" i="14"/>
  <c r="F350" i="14" s="1"/>
  <c r="K234" i="14"/>
  <c r="I234" i="14"/>
  <c r="C16" i="14" s="1"/>
  <c r="J234" i="14"/>
  <c r="D16" i="14" s="1"/>
  <c r="E406" i="14"/>
  <c r="H236" i="14"/>
  <c r="J236" i="14"/>
  <c r="D18" i="14" s="1"/>
  <c r="E232" i="14"/>
  <c r="F232" i="14" s="1"/>
  <c r="H233" i="14"/>
  <c r="J233" i="14"/>
  <c r="D15" i="14" s="1"/>
  <c r="H239" i="14"/>
  <c r="J239" i="14"/>
  <c r="F346" i="14"/>
  <c r="C470" i="14"/>
  <c r="D470" i="14" s="1"/>
  <c r="E470" i="14" s="1"/>
  <c r="I18" i="14" s="1"/>
  <c r="N31" i="14" s="1"/>
  <c r="N41" i="14" s="1"/>
  <c r="I27" i="14"/>
  <c r="I37" i="14" s="1"/>
  <c r="L42" i="14"/>
  <c r="N42" i="14"/>
  <c r="M42" i="14"/>
  <c r="M40" i="14"/>
  <c r="C410" i="14"/>
  <c r="C418" i="14" s="1"/>
  <c r="H24" i="14"/>
  <c r="D290" i="14"/>
  <c r="G346" i="14"/>
  <c r="I283" i="14"/>
  <c r="G446" i="14"/>
  <c r="C452" i="14" s="1"/>
  <c r="I281" i="14"/>
  <c r="E346" i="14"/>
  <c r="D231" i="22"/>
  <c r="J218" i="22"/>
  <c r="I132" i="25"/>
  <c r="E325" i="25"/>
  <c r="I13" i="25" s="1"/>
  <c r="O340" i="14"/>
  <c r="G416" i="14" s="1"/>
  <c r="G132" i="25"/>
  <c r="H132" i="25"/>
  <c r="C496" i="16"/>
  <c r="D496" i="16" s="1"/>
  <c r="E429" i="16"/>
  <c r="I12" i="16" s="1"/>
  <c r="I16" i="16" s="1"/>
  <c r="E454" i="16"/>
  <c r="I454" i="16" s="1"/>
  <c r="D454" i="16"/>
  <c r="H454" i="16" s="1"/>
  <c r="C454" i="16"/>
  <c r="G454" i="16" s="1"/>
  <c r="F454" i="16"/>
  <c r="J454" i="16" s="1"/>
  <c r="K459" i="16"/>
  <c r="K465" i="16" s="1"/>
  <c r="F322" i="18"/>
  <c r="F18" i="18" s="1"/>
  <c r="H294" i="19"/>
  <c r="D376" i="18"/>
  <c r="I12" i="18" s="1"/>
  <c r="I368" i="18"/>
  <c r="H18" i="18" s="1"/>
  <c r="C302" i="18"/>
  <c r="E302" i="18" s="1"/>
  <c r="G12" i="18" s="1"/>
  <c r="C284" i="18"/>
  <c r="C380" i="18"/>
  <c r="D380" i="18" s="1"/>
  <c r="I16" i="18" s="1"/>
  <c r="H167" i="31"/>
  <c r="I367" i="18"/>
  <c r="H17" i="18" s="1"/>
  <c r="F362" i="18"/>
  <c r="E256" i="18"/>
  <c r="C378" i="18"/>
  <c r="D378" i="18" s="1"/>
  <c r="I14" i="18" s="1"/>
  <c r="F321" i="18"/>
  <c r="F17" i="18" s="1"/>
  <c r="G362" i="18"/>
  <c r="H362" i="18"/>
  <c r="D18" i="25"/>
  <c r="G136" i="25"/>
  <c r="C17" i="25" s="1"/>
  <c r="F14" i="25"/>
  <c r="F18" i="17"/>
  <c r="O334" i="14"/>
  <c r="G410" i="14" s="1"/>
  <c r="H408" i="14"/>
  <c r="L30" i="14"/>
  <c r="L40" i="14" s="1"/>
  <c r="L31" i="14"/>
  <c r="L41" i="14" s="1"/>
  <c r="I408" i="14"/>
  <c r="O335" i="14"/>
  <c r="G411" i="14" s="1"/>
  <c r="L33" i="14"/>
  <c r="L43" i="14" s="1"/>
  <c r="L29" i="14"/>
  <c r="L39" i="14" s="1"/>
  <c r="O330" i="14"/>
  <c r="G406" i="14" s="1"/>
  <c r="H406" i="14" s="1"/>
  <c r="J408" i="14"/>
  <c r="O339" i="14"/>
  <c r="G415" i="14" s="1"/>
  <c r="F237" i="26"/>
  <c r="G237" i="26" s="1"/>
  <c r="G17" i="26" s="1"/>
  <c r="M17" i="26" s="1"/>
  <c r="J407" i="14"/>
  <c r="H407" i="14"/>
  <c r="I407" i="14"/>
  <c r="F419" i="17"/>
  <c r="N17" i="26"/>
  <c r="H33" i="14"/>
  <c r="H43" i="14" s="1"/>
  <c r="H409" i="14"/>
  <c r="E53" i="28"/>
  <c r="I409" i="14"/>
  <c r="L17" i="26"/>
  <c r="G285" i="18"/>
  <c r="E17" i="18" s="1"/>
  <c r="J294" i="19"/>
  <c r="F267" i="22"/>
  <c r="O336" i="14"/>
  <c r="G412" i="14" s="1"/>
  <c r="I136" i="25"/>
  <c r="E162" i="31"/>
  <c r="F314" i="28"/>
  <c r="I16" i="28" s="1"/>
  <c r="E329" i="25"/>
  <c r="I17" i="25" s="1"/>
  <c r="N314" i="28"/>
  <c r="K16" i="28" s="1"/>
  <c r="O242" i="25"/>
  <c r="D15" i="25"/>
  <c r="J409" i="14"/>
  <c r="D468" i="14"/>
  <c r="E468" i="14" s="1"/>
  <c r="I16" i="14" s="1"/>
  <c r="N30" i="14" s="1"/>
  <c r="N40" i="14" s="1"/>
  <c r="C166" i="31"/>
  <c r="C198" i="31" s="1"/>
  <c r="F268" i="22"/>
  <c r="D268" i="22"/>
  <c r="E268" i="22"/>
  <c r="G268" i="22"/>
  <c r="D267" i="22"/>
  <c r="G267" i="22"/>
  <c r="C267" i="22"/>
  <c r="C270" i="22" s="1"/>
  <c r="C429" i="16"/>
  <c r="D429" i="16"/>
  <c r="C200" i="31"/>
  <c r="D122" i="31"/>
  <c r="C246" i="11"/>
  <c r="E15" i="11" s="1"/>
  <c r="C279" i="11"/>
  <c r="F13" i="11" s="1"/>
  <c r="C26" i="11" s="1"/>
  <c r="G354" i="30"/>
  <c r="G358" i="30"/>
  <c r="G361" i="30" s="1"/>
  <c r="H354" i="30"/>
  <c r="H358" i="30"/>
  <c r="H361" i="30" s="1"/>
  <c r="G356" i="14"/>
  <c r="D356" i="14"/>
  <c r="F356" i="14"/>
  <c r="E356" i="14"/>
  <c r="F16" i="25"/>
  <c r="J295" i="19"/>
  <c r="F14" i="19"/>
  <c r="G295" i="19"/>
  <c r="E416" i="14"/>
  <c r="D416" i="14"/>
  <c r="F416" i="14"/>
  <c r="D296" i="19"/>
  <c r="H296" i="19" s="1"/>
  <c r="F313" i="28"/>
  <c r="F16" i="28" s="1"/>
  <c r="C76" i="44" s="1"/>
  <c r="F354" i="14"/>
  <c r="G354" i="14"/>
  <c r="E354" i="14"/>
  <c r="D354" i="14"/>
  <c r="H14" i="28"/>
  <c r="D74" i="44" s="1"/>
  <c r="G14" i="28"/>
  <c r="F14" i="28"/>
  <c r="E412" i="14"/>
  <c r="F412" i="14"/>
  <c r="D412" i="14"/>
  <c r="H12" i="25"/>
  <c r="N313" i="28"/>
  <c r="H16" i="28" s="1"/>
  <c r="D76" i="44" s="1"/>
  <c r="E415" i="14"/>
  <c r="D415" i="14"/>
  <c r="F415" i="14"/>
  <c r="E414" i="14"/>
  <c r="I414" i="14" s="1"/>
  <c r="F414" i="14"/>
  <c r="J414" i="14" s="1"/>
  <c r="D414" i="14"/>
  <c r="H414" i="14" s="1"/>
  <c r="L28" i="14"/>
  <c r="L38" i="14" s="1"/>
  <c r="D61" i="33"/>
  <c r="E61" i="33"/>
  <c r="E66" i="33" s="1"/>
  <c r="C366" i="18"/>
  <c r="F366" i="18" s="1"/>
  <c r="D320" i="18"/>
  <c r="C320" i="18"/>
  <c r="G348" i="18"/>
  <c r="E366" i="18"/>
  <c r="H366" i="18" s="1"/>
  <c r="D366" i="18"/>
  <c r="G366" i="18" s="1"/>
  <c r="F352" i="14"/>
  <c r="E352" i="14"/>
  <c r="D352" i="14"/>
  <c r="G352" i="14"/>
  <c r="C92" i="26"/>
  <c r="D17" i="26" s="1"/>
  <c r="C91" i="26"/>
  <c r="D16" i="26" s="1"/>
  <c r="C90" i="26"/>
  <c r="D15" i="26" s="1"/>
  <c r="C89" i="26"/>
  <c r="D14" i="26" s="1"/>
  <c r="C88" i="26"/>
  <c r="D13" i="26" s="1"/>
  <c r="F296" i="19"/>
  <c r="J296" i="19" s="1"/>
  <c r="E413" i="14"/>
  <c r="D413" i="14"/>
  <c r="F413" i="14"/>
  <c r="E417" i="14"/>
  <c r="I417" i="14" s="1"/>
  <c r="D417" i="14"/>
  <c r="H417" i="14" s="1"/>
  <c r="F417" i="14"/>
  <c r="J417" i="14" s="1"/>
  <c r="C182" i="31"/>
  <c r="H27" i="14"/>
  <c r="H37" i="14" s="1"/>
  <c r="C189" i="19"/>
  <c r="C18" i="19" s="1"/>
  <c r="H18" i="19" s="1"/>
  <c r="C187" i="19"/>
  <c r="C16" i="19" s="1"/>
  <c r="H16" i="19" s="1"/>
  <c r="N27" i="14"/>
  <c r="N37" i="14" s="1"/>
  <c r="J314" i="28"/>
  <c r="J16" i="28" s="1"/>
  <c r="F353" i="14"/>
  <c r="E353" i="14"/>
  <c r="G353" i="14"/>
  <c r="I294" i="19"/>
  <c r="G357" i="14"/>
  <c r="F357" i="14"/>
  <c r="E357" i="14"/>
  <c r="D357" i="14"/>
  <c r="K16" i="26"/>
  <c r="F219" i="22"/>
  <c r="K218" i="22" s="1"/>
  <c r="C39" i="17"/>
  <c r="E351" i="14"/>
  <c r="D351" i="14"/>
  <c r="G351" i="14"/>
  <c r="F351" i="14"/>
  <c r="D162" i="31"/>
  <c r="C180" i="31" s="1"/>
  <c r="I295" i="19"/>
  <c r="G18" i="17"/>
  <c r="H337" i="14"/>
  <c r="K337" i="14" s="1"/>
  <c r="O337" i="14" s="1"/>
  <c r="G413" i="14" s="1"/>
  <c r="K15" i="28"/>
  <c r="J15" i="28"/>
  <c r="I15" i="28"/>
  <c r="C224" i="16"/>
  <c r="E12" i="16" s="1"/>
  <c r="E16" i="16" s="1"/>
  <c r="F13" i="19"/>
  <c r="G294" i="19"/>
  <c r="D293" i="25"/>
  <c r="E293" i="25" s="1"/>
  <c r="D118" i="29"/>
  <c r="N16" i="26"/>
  <c r="G346" i="18"/>
  <c r="E364" i="18"/>
  <c r="H364" i="18" s="1"/>
  <c r="D364" i="18"/>
  <c r="G364" i="18" s="1"/>
  <c r="C282" i="18"/>
  <c r="I256" i="18"/>
  <c r="D318" i="18"/>
  <c r="C364" i="18"/>
  <c r="F364" i="18" s="1"/>
  <c r="C318" i="18"/>
  <c r="J256" i="18"/>
  <c r="G256" i="18"/>
  <c r="H256" i="18"/>
  <c r="F256" i="18"/>
  <c r="D15" i="28"/>
  <c r="C15" i="28"/>
  <c r="E15" i="28"/>
  <c r="M25" i="19"/>
  <c r="J14" i="19"/>
  <c r="E411" i="14"/>
  <c r="D411" i="14"/>
  <c r="F411" i="14"/>
  <c r="H295" i="19"/>
  <c r="H13" i="19"/>
  <c r="I14" i="19"/>
  <c r="D25" i="19" s="1"/>
  <c r="J313" i="28"/>
  <c r="G16" i="28" s="1"/>
  <c r="H15" i="28"/>
  <c r="D75" i="44" s="1"/>
  <c r="G15" i="28"/>
  <c r="F15" i="28"/>
  <c r="C75" i="44" s="1"/>
  <c r="C112" i="27" l="1"/>
  <c r="C74" i="28" s="1"/>
  <c r="C63" i="28" s="1"/>
  <c r="C64" i="28" s="1"/>
  <c r="F13" i="14"/>
  <c r="K28" i="14" s="1"/>
  <c r="K38" i="14" s="1"/>
  <c r="J58" i="28"/>
  <c r="D46" i="31" s="1"/>
  <c r="C179" i="31"/>
  <c r="D160" i="31"/>
  <c r="C160" i="31" s="1"/>
  <c r="C63" i="44"/>
  <c r="E23" i="17"/>
  <c r="E25" i="17" s="1"/>
  <c r="C15" i="19"/>
  <c r="H15" i="19" s="1"/>
  <c r="H19" i="19" s="1"/>
  <c r="G242" i="25"/>
  <c r="C252" i="25" s="1"/>
  <c r="D252" i="25" s="1"/>
  <c r="G14" i="25" s="1"/>
  <c r="J14" i="25" s="1"/>
  <c r="C170" i="31"/>
  <c r="G148" i="39"/>
  <c r="D17" i="25"/>
  <c r="F23" i="14"/>
  <c r="F20" i="14"/>
  <c r="F15" i="14"/>
  <c r="J15" i="14" s="1"/>
  <c r="F14" i="14"/>
  <c r="G244" i="25"/>
  <c r="O244" i="25"/>
  <c r="F355" i="14"/>
  <c r="F358" i="14" s="1"/>
  <c r="D355" i="14"/>
  <c r="E147" i="23"/>
  <c r="C13" i="23" s="1"/>
  <c r="C151" i="23"/>
  <c r="D146" i="23" s="1"/>
  <c r="E146" i="23"/>
  <c r="C12" i="23" s="1"/>
  <c r="D191" i="25"/>
  <c r="E191" i="25" s="1"/>
  <c r="F191" i="25" s="1"/>
  <c r="E15" i="25" s="1"/>
  <c r="C13" i="22"/>
  <c r="H48" i="31"/>
  <c r="D137" i="27"/>
  <c r="C10" i="30"/>
  <c r="K18" i="26"/>
  <c r="F134" i="27" s="1"/>
  <c r="C74" i="44"/>
  <c r="C78" i="44" s="1"/>
  <c r="G16" i="44" s="1"/>
  <c r="H25" i="19"/>
  <c r="D120" i="31"/>
  <c r="C181" i="31"/>
  <c r="E25" i="19"/>
  <c r="E188" i="25"/>
  <c r="F188" i="25" s="1"/>
  <c r="E12" i="25" s="1"/>
  <c r="D189" i="25"/>
  <c r="E189" i="25" s="1"/>
  <c r="F189" i="25" s="1"/>
  <c r="E13" i="25" s="1"/>
  <c r="D193" i="25"/>
  <c r="E193" i="25" s="1"/>
  <c r="F193" i="25" s="1"/>
  <c r="E17" i="25" s="1"/>
  <c r="E229" i="22"/>
  <c r="D194" i="25"/>
  <c r="E194" i="25" s="1"/>
  <c r="F194" i="25" s="1"/>
  <c r="E18" i="25" s="1"/>
  <c r="M37" i="16"/>
  <c r="G301" i="37"/>
  <c r="H301" i="37" s="1"/>
  <c r="E15" i="37" s="1"/>
  <c r="G298" i="37"/>
  <c r="H298" i="37" s="1"/>
  <c r="G299" i="37"/>
  <c r="H299" i="37" s="1"/>
  <c r="E13" i="37" s="1"/>
  <c r="F305" i="37"/>
  <c r="D12" i="37"/>
  <c r="D19" i="37" s="1"/>
  <c r="D14" i="22"/>
  <c r="D58" i="31" s="1"/>
  <c r="E228" i="22"/>
  <c r="C231" i="22"/>
  <c r="E231" i="22" s="1"/>
  <c r="C283" i="22"/>
  <c r="E292" i="22" s="1"/>
  <c r="D78" i="44"/>
  <c r="G23" i="17"/>
  <c r="D63" i="44"/>
  <c r="C304" i="18"/>
  <c r="G19" i="18"/>
  <c r="G53" i="31" s="1"/>
  <c r="C18" i="18"/>
  <c r="C17" i="18"/>
  <c r="C23" i="17"/>
  <c r="C25" i="17" s="1"/>
  <c r="E51" i="31"/>
  <c r="C61" i="17"/>
  <c r="F51" i="31"/>
  <c r="D240" i="25"/>
  <c r="E240" i="25"/>
  <c r="E355" i="14"/>
  <c r="H26" i="39"/>
  <c r="I26" i="39"/>
  <c r="D26" i="39"/>
  <c r="M18" i="26"/>
  <c r="L18" i="26"/>
  <c r="F135" i="27" s="1"/>
  <c r="C13" i="25"/>
  <c r="C19" i="25" s="1"/>
  <c r="C140" i="25"/>
  <c r="D13" i="25"/>
  <c r="I60" i="28"/>
  <c r="I63" i="28"/>
  <c r="C192" i="31"/>
  <c r="I58" i="28"/>
  <c r="I62" i="28"/>
  <c r="C25" i="19"/>
  <c r="C24" i="19"/>
  <c r="I13" i="19"/>
  <c r="M39" i="16"/>
  <c r="K39" i="16" s="1"/>
  <c r="C43" i="16"/>
  <c r="D400" i="16"/>
  <c r="D411" i="16" s="1"/>
  <c r="G12" i="16"/>
  <c r="M38" i="16"/>
  <c r="K38" i="16" s="1"/>
  <c r="C42" i="16"/>
  <c r="E54" i="28"/>
  <c r="C1168" i="30"/>
  <c r="C1173" i="30"/>
  <c r="C1156" i="30"/>
  <c r="K14" i="28"/>
  <c r="J63" i="28"/>
  <c r="I46" i="31" s="1"/>
  <c r="H297" i="19"/>
  <c r="D410" i="14"/>
  <c r="D418" i="14" s="1"/>
  <c r="D21" i="14"/>
  <c r="I32" i="14" s="1"/>
  <c r="I42" i="14" s="1"/>
  <c r="J412" i="14"/>
  <c r="H31" i="14"/>
  <c r="H41" i="14" s="1"/>
  <c r="I31" i="14"/>
  <c r="I41" i="14" s="1"/>
  <c r="G350" i="14"/>
  <c r="G358" i="14" s="1"/>
  <c r="D350" i="14"/>
  <c r="I232" i="14"/>
  <c r="C245" i="14" s="1"/>
  <c r="H232" i="14"/>
  <c r="J232" i="14"/>
  <c r="E350" i="14"/>
  <c r="F410" i="14"/>
  <c r="F418" i="14" s="1"/>
  <c r="E410" i="14"/>
  <c r="I410" i="14" s="1"/>
  <c r="J27" i="14"/>
  <c r="J37" i="14" s="1"/>
  <c r="I411" i="14"/>
  <c r="I416" i="14"/>
  <c r="J415" i="14"/>
  <c r="J416" i="14"/>
  <c r="H416" i="14"/>
  <c r="G24" i="14"/>
  <c r="C195" i="31"/>
  <c r="F277" i="22"/>
  <c r="G270" i="22"/>
  <c r="C277" i="22"/>
  <c r="I19" i="25"/>
  <c r="C141" i="25"/>
  <c r="C167" i="25"/>
  <c r="F19" i="25"/>
  <c r="E44" i="16"/>
  <c r="D507" i="16"/>
  <c r="H44" i="16"/>
  <c r="C483" i="16"/>
  <c r="C485" i="16" s="1"/>
  <c r="F38" i="16"/>
  <c r="C253" i="16"/>
  <c r="D34" i="16" s="1"/>
  <c r="L35" i="16" s="1"/>
  <c r="J12" i="16"/>
  <c r="J16" i="16" s="1"/>
  <c r="K454" i="16"/>
  <c r="C282" i="16"/>
  <c r="D35" i="16" s="1"/>
  <c r="G280" i="18"/>
  <c r="E12" i="18" s="1"/>
  <c r="F320" i="18"/>
  <c r="F16" i="18" s="1"/>
  <c r="I362" i="18"/>
  <c r="H12" i="18" s="1"/>
  <c r="F20" i="17"/>
  <c r="J406" i="14"/>
  <c r="C42" i="17"/>
  <c r="C45" i="17" s="1"/>
  <c r="C125" i="31" s="1"/>
  <c r="E125" i="31" s="1"/>
  <c r="D25" i="17"/>
  <c r="H30" i="14"/>
  <c r="H40" i="14" s="1"/>
  <c r="I33" i="14"/>
  <c r="I43" i="14" s="1"/>
  <c r="I24" i="14"/>
  <c r="E476" i="14"/>
  <c r="J411" i="14"/>
  <c r="H411" i="14"/>
  <c r="H415" i="14"/>
  <c r="I415" i="14"/>
  <c r="I406" i="14"/>
  <c r="I412" i="14"/>
  <c r="E331" i="25"/>
  <c r="E57" i="28"/>
  <c r="N18" i="26"/>
  <c r="F138" i="27" s="1"/>
  <c r="H412" i="14"/>
  <c r="J297" i="19"/>
  <c r="F270" i="22"/>
  <c r="F318" i="18"/>
  <c r="F14" i="18" s="1"/>
  <c r="H268" i="22"/>
  <c r="C291" i="22" s="1"/>
  <c r="C309" i="25"/>
  <c r="H17" i="25" s="1"/>
  <c r="H19" i="25" s="1"/>
  <c r="G277" i="22"/>
  <c r="D277" i="22"/>
  <c r="F18" i="19"/>
  <c r="K18" i="19" s="1"/>
  <c r="M18" i="19" s="1"/>
  <c r="K296" i="19"/>
  <c r="F16" i="19"/>
  <c r="K16" i="19" s="1"/>
  <c r="M16" i="19" s="1"/>
  <c r="F15" i="19"/>
  <c r="K15" i="19" s="1"/>
  <c r="I297" i="19"/>
  <c r="E277" i="22"/>
  <c r="D270" i="22"/>
  <c r="H275" i="22"/>
  <c r="H13" i="22" s="1"/>
  <c r="E270" i="22"/>
  <c r="H267" i="22"/>
  <c r="C290" i="22" s="1"/>
  <c r="D364" i="22" s="1"/>
  <c r="E364" i="22" s="1"/>
  <c r="C328" i="16"/>
  <c r="H12" i="16"/>
  <c r="H16" i="16" s="1"/>
  <c r="C124" i="29"/>
  <c r="J28" i="14"/>
  <c r="J38" i="14" s="1"/>
  <c r="D353" i="14"/>
  <c r="D57" i="28"/>
  <c r="F17" i="19"/>
  <c r="K17" i="19" s="1"/>
  <c r="M17" i="19" s="1"/>
  <c r="J13" i="26"/>
  <c r="I13" i="26"/>
  <c r="K295" i="19"/>
  <c r="J413" i="14"/>
  <c r="O25" i="19"/>
  <c r="K14" i="19"/>
  <c r="G25" i="19" s="1"/>
  <c r="I14" i="26"/>
  <c r="J14" i="26"/>
  <c r="O14" i="26" s="1"/>
  <c r="D56" i="28"/>
  <c r="I364" i="18"/>
  <c r="E56" i="28"/>
  <c r="H413" i="14"/>
  <c r="I15" i="26"/>
  <c r="J15" i="26"/>
  <c r="O15" i="26" s="1"/>
  <c r="C56" i="28"/>
  <c r="E62" i="28" s="1"/>
  <c r="D267" i="18"/>
  <c r="C193" i="31"/>
  <c r="D121" i="31"/>
  <c r="I413" i="14"/>
  <c r="J16" i="26"/>
  <c r="O16" i="26" s="1"/>
  <c r="I16" i="26"/>
  <c r="I366" i="18"/>
  <c r="H16" i="18" s="1"/>
  <c r="J29" i="14"/>
  <c r="J39" i="14" s="1"/>
  <c r="J17" i="26"/>
  <c r="O17" i="26" s="1"/>
  <c r="I17" i="26"/>
  <c r="F61" i="33"/>
  <c r="C87" i="33" s="1"/>
  <c r="D55" i="28"/>
  <c r="L240" i="25"/>
  <c r="C240" i="25"/>
  <c r="H240" i="25"/>
  <c r="F240" i="25"/>
  <c r="N240" i="25"/>
  <c r="J240" i="25"/>
  <c r="G297" i="19"/>
  <c r="K294" i="19"/>
  <c r="O24" i="19"/>
  <c r="K13" i="19"/>
  <c r="G24" i="19" s="1"/>
  <c r="D256" i="18"/>
  <c r="E295" i="25"/>
  <c r="C121" i="27" l="1"/>
  <c r="F21" i="14"/>
  <c r="F19" i="14"/>
  <c r="C68" i="44"/>
  <c r="M15" i="19"/>
  <c r="G16" i="16"/>
  <c r="M34" i="16" s="1"/>
  <c r="M40" i="16" s="1"/>
  <c r="C234" i="25"/>
  <c r="D245" i="25" s="1"/>
  <c r="C254" i="25"/>
  <c r="D254" i="25" s="1"/>
  <c r="G16" i="25" s="1"/>
  <c r="J16" i="25" s="1"/>
  <c r="C202" i="31"/>
  <c r="D19" i="25"/>
  <c r="E57" i="31" s="1"/>
  <c r="D123" i="31"/>
  <c r="F17" i="14"/>
  <c r="J17" i="14" s="1"/>
  <c r="F12" i="14"/>
  <c r="K27" i="14" s="1"/>
  <c r="K37" i="14" s="1"/>
  <c r="F22" i="14"/>
  <c r="J22" i="14" s="1"/>
  <c r="F18" i="14"/>
  <c r="J18" i="14" s="1"/>
  <c r="C235" i="25"/>
  <c r="C246" i="25" s="1"/>
  <c r="C232" i="25"/>
  <c r="D243" i="25" s="1"/>
  <c r="J32" i="14"/>
  <c r="J42" i="14" s="1"/>
  <c r="D147" i="23"/>
  <c r="C17" i="23"/>
  <c r="D151" i="23"/>
  <c r="E151" i="23"/>
  <c r="D150" i="23"/>
  <c r="D148" i="23"/>
  <c r="D149" i="23"/>
  <c r="E49" i="31"/>
  <c r="J233" i="26"/>
  <c r="F137" i="27"/>
  <c r="D45" i="31"/>
  <c r="E133" i="27"/>
  <c r="I45" i="31"/>
  <c r="E138" i="27"/>
  <c r="H45" i="31"/>
  <c r="D68" i="44"/>
  <c r="J17" i="44" s="1"/>
  <c r="L34" i="16"/>
  <c r="N34" i="16"/>
  <c r="O34" i="16"/>
  <c r="O40" i="16" s="1"/>
  <c r="F167" i="31"/>
  <c r="G167" i="31"/>
  <c r="F24" i="19"/>
  <c r="G52" i="31" s="1"/>
  <c r="G25" i="17"/>
  <c r="H52" i="31"/>
  <c r="D24" i="19"/>
  <c r="F52" i="31" s="1"/>
  <c r="C230" i="25"/>
  <c r="N241" i="25" s="1"/>
  <c r="D133" i="27"/>
  <c r="D48" i="31"/>
  <c r="E12" i="37"/>
  <c r="E19" i="37" s="1"/>
  <c r="D134" i="27" s="1"/>
  <c r="H305" i="37"/>
  <c r="F16" i="44"/>
  <c r="D134" i="29"/>
  <c r="C85" i="44" s="1"/>
  <c r="D1194" i="30"/>
  <c r="C27" i="11"/>
  <c r="C339" i="37"/>
  <c r="G17" i="44"/>
  <c r="G18" i="44"/>
  <c r="G19" i="44"/>
  <c r="F19" i="44"/>
  <c r="F17" i="44"/>
  <c r="F18" i="44"/>
  <c r="G15" i="44"/>
  <c r="F15" i="44"/>
  <c r="C35" i="16"/>
  <c r="L36" i="16"/>
  <c r="C12" i="18"/>
  <c r="H51" i="31"/>
  <c r="C51" i="31" s="1"/>
  <c r="I57" i="31"/>
  <c r="D57" i="31"/>
  <c r="I56" i="31"/>
  <c r="E358" i="14"/>
  <c r="E56" i="31"/>
  <c r="D56" i="31"/>
  <c r="I55" i="31"/>
  <c r="G55" i="31"/>
  <c r="H49" i="31"/>
  <c r="I49" i="31"/>
  <c r="F49" i="31"/>
  <c r="F62" i="28"/>
  <c r="J59" i="28"/>
  <c r="E134" i="27" s="1"/>
  <c r="C379" i="18"/>
  <c r="D379" i="18" s="1"/>
  <c r="D383" i="18" s="1"/>
  <c r="C415" i="18"/>
  <c r="M13" i="19"/>
  <c r="M14" i="19"/>
  <c r="K35" i="16"/>
  <c r="H410" i="14"/>
  <c r="C1157" i="30"/>
  <c r="I14" i="28"/>
  <c r="J14" i="28"/>
  <c r="G57" i="31"/>
  <c r="E418" i="14"/>
  <c r="C14" i="14"/>
  <c r="C246" i="14"/>
  <c r="D14" i="14"/>
  <c r="J410" i="14"/>
  <c r="J418" i="14" s="1"/>
  <c r="C424" i="14" s="1"/>
  <c r="C169" i="31"/>
  <c r="C201" i="31" s="1"/>
  <c r="D118" i="31"/>
  <c r="F66" i="33"/>
  <c r="G370" i="22"/>
  <c r="F370" i="22"/>
  <c r="C370" i="22"/>
  <c r="E370" i="22"/>
  <c r="D370" i="22"/>
  <c r="D291" i="22"/>
  <c r="D365" i="22"/>
  <c r="E365" i="22" s="1"/>
  <c r="C293" i="22"/>
  <c r="H270" i="22"/>
  <c r="C311" i="25"/>
  <c r="F44" i="16"/>
  <c r="N37" i="16"/>
  <c r="C34" i="16"/>
  <c r="F23" i="17"/>
  <c r="F25" i="17" s="1"/>
  <c r="E14" i="18"/>
  <c r="D167" i="31"/>
  <c r="G284" i="18"/>
  <c r="E16" i="18" s="1"/>
  <c r="C16" i="18" s="1"/>
  <c r="K32" i="14"/>
  <c r="K42" i="14" s="1"/>
  <c r="I30" i="14"/>
  <c r="I40" i="14" s="1"/>
  <c r="J13" i="14"/>
  <c r="O28" i="14" s="1"/>
  <c r="O38" i="14" s="1"/>
  <c r="J20" i="14"/>
  <c r="I418" i="14"/>
  <c r="C423" i="14" s="1"/>
  <c r="F195" i="25"/>
  <c r="J62" i="28"/>
  <c r="H46" i="31" s="1"/>
  <c r="K29" i="14"/>
  <c r="K39" i="14" s="1"/>
  <c r="H277" i="22"/>
  <c r="H274" i="22"/>
  <c r="O240" i="25"/>
  <c r="I167" i="31"/>
  <c r="K19" i="19"/>
  <c r="D290" i="22"/>
  <c r="C337" i="16"/>
  <c r="D337" i="16" s="1"/>
  <c r="D41" i="16" s="1"/>
  <c r="C41" i="16" s="1"/>
  <c r="C334" i="16"/>
  <c r="D334" i="16" s="1"/>
  <c r="D38" i="16" s="1"/>
  <c r="C38" i="16" s="1"/>
  <c r="C333" i="16"/>
  <c r="D333" i="16" s="1"/>
  <c r="D37" i="16" s="1"/>
  <c r="C37" i="16" s="1"/>
  <c r="C335" i="16"/>
  <c r="D335" i="16" s="1"/>
  <c r="D39" i="16" s="1"/>
  <c r="C39" i="16" s="1"/>
  <c r="C336" i="16"/>
  <c r="D336" i="16" s="1"/>
  <c r="D40" i="16" s="1"/>
  <c r="C40" i="16" s="1"/>
  <c r="C332" i="16"/>
  <c r="D332" i="16" s="1"/>
  <c r="D36" i="16" s="1"/>
  <c r="C12" i="16"/>
  <c r="J61" i="28"/>
  <c r="D15" i="18"/>
  <c r="D271" i="18"/>
  <c r="E290" i="22"/>
  <c r="J33" i="14"/>
  <c r="J43" i="14" s="1"/>
  <c r="J31" i="14"/>
  <c r="J41" i="14" s="1"/>
  <c r="I61" i="28"/>
  <c r="K240" i="25"/>
  <c r="H14" i="18"/>
  <c r="J23" i="14"/>
  <c r="D124" i="29"/>
  <c r="C125" i="29"/>
  <c r="E291" i="22"/>
  <c r="K297" i="19"/>
  <c r="C283" i="18"/>
  <c r="E365" i="18"/>
  <c r="H365" i="18" s="1"/>
  <c r="H369" i="18" s="1"/>
  <c r="D365" i="18"/>
  <c r="G365" i="18" s="1"/>
  <c r="G369" i="18" s="1"/>
  <c r="C365" i="18"/>
  <c r="F365" i="18" s="1"/>
  <c r="D319" i="18"/>
  <c r="C319" i="18"/>
  <c r="G347" i="18"/>
  <c r="D199" i="31" s="1"/>
  <c r="G240" i="25"/>
  <c r="D358" i="14"/>
  <c r="D52" i="31"/>
  <c r="E52" i="31"/>
  <c r="E19" i="25"/>
  <c r="O13" i="26"/>
  <c r="O18" i="26" s="1"/>
  <c r="J18" i="26"/>
  <c r="F133" i="27" s="1"/>
  <c r="M20" i="19" l="1"/>
  <c r="F54" i="31"/>
  <c r="H245" i="25"/>
  <c r="J245" i="25"/>
  <c r="L245" i="25"/>
  <c r="L241" i="25"/>
  <c r="O241" i="25" s="1"/>
  <c r="F245" i="25"/>
  <c r="G245" i="25" s="1"/>
  <c r="E245" i="25"/>
  <c r="C245" i="25"/>
  <c r="N245" i="25"/>
  <c r="J241" i="25"/>
  <c r="N246" i="25"/>
  <c r="L246" i="25"/>
  <c r="H246" i="25"/>
  <c r="E246" i="25"/>
  <c r="J246" i="25"/>
  <c r="D246" i="25"/>
  <c r="F246" i="25"/>
  <c r="H418" i="14"/>
  <c r="C422" i="14" s="1"/>
  <c r="F16" i="14"/>
  <c r="K30" i="14" s="1"/>
  <c r="K40" i="14" s="1"/>
  <c r="H241" i="25"/>
  <c r="L243" i="25"/>
  <c r="J243" i="25"/>
  <c r="H243" i="25"/>
  <c r="C243" i="25"/>
  <c r="F243" i="25"/>
  <c r="N243" i="25"/>
  <c r="E243" i="25"/>
  <c r="E24" i="14"/>
  <c r="F139" i="27"/>
  <c r="E137" i="27"/>
  <c r="E45" i="31"/>
  <c r="C45" i="31" s="1"/>
  <c r="E136" i="27"/>
  <c r="D85" i="44"/>
  <c r="C1172" i="30"/>
  <c r="D11" i="30" s="1"/>
  <c r="D50" i="31" s="1"/>
  <c r="G1159" i="30"/>
  <c r="E163" i="31" s="1"/>
  <c r="H1159" i="30"/>
  <c r="D163" i="31" s="1"/>
  <c r="J16" i="44"/>
  <c r="J19" i="44"/>
  <c r="I17" i="44"/>
  <c r="I19" i="44"/>
  <c r="I15" i="44"/>
  <c r="J18" i="44"/>
  <c r="I18" i="44"/>
  <c r="J15" i="44"/>
  <c r="I16" i="44"/>
  <c r="C27" i="17"/>
  <c r="C124" i="31" s="1"/>
  <c r="E124" i="31" s="1"/>
  <c r="P34" i="16"/>
  <c r="P40" i="16" s="1"/>
  <c r="N40" i="16"/>
  <c r="N24" i="19"/>
  <c r="D241" i="25"/>
  <c r="I54" i="31"/>
  <c r="K36" i="16"/>
  <c r="H54" i="31"/>
  <c r="G13" i="22"/>
  <c r="G12" i="22"/>
  <c r="H12" i="22"/>
  <c r="H14" i="22" s="1"/>
  <c r="F58" i="31" s="1"/>
  <c r="C241" i="25"/>
  <c r="F241" i="25"/>
  <c r="E241" i="25"/>
  <c r="E348" i="37"/>
  <c r="F348" i="37" s="1"/>
  <c r="G16" i="37" s="1"/>
  <c r="C16" i="37" s="1"/>
  <c r="E344" i="37"/>
  <c r="F344" i="37" s="1"/>
  <c r="E345" i="37"/>
  <c r="F345" i="37" s="1"/>
  <c r="G13" i="37" s="1"/>
  <c r="C13" i="37" s="1"/>
  <c r="E347" i="37"/>
  <c r="F347" i="37" s="1"/>
  <c r="G15" i="37" s="1"/>
  <c r="C15" i="37" s="1"/>
  <c r="E349" i="37"/>
  <c r="F349" i="37" s="1"/>
  <c r="G17" i="37" s="1"/>
  <c r="C17" i="37" s="1"/>
  <c r="E350" i="37"/>
  <c r="F350" i="37" s="1"/>
  <c r="G18" i="37" s="1"/>
  <c r="C18" i="37" s="1"/>
  <c r="E346" i="37"/>
  <c r="F346" i="37" s="1"/>
  <c r="G14" i="37" s="1"/>
  <c r="C14" i="37" s="1"/>
  <c r="F20" i="44"/>
  <c r="G20" i="44"/>
  <c r="S50" i="31"/>
  <c r="C14" i="18"/>
  <c r="D415" i="18"/>
  <c r="E415" i="18" s="1"/>
  <c r="K15" i="18" s="1"/>
  <c r="F57" i="31"/>
  <c r="C425" i="14"/>
  <c r="D49" i="31"/>
  <c r="C49" i="31" s="1"/>
  <c r="E46" i="31"/>
  <c r="I15" i="18"/>
  <c r="C52" i="31"/>
  <c r="C36" i="16"/>
  <c r="C44" i="16" s="1"/>
  <c r="L37" i="16"/>
  <c r="L40" i="16" s="1"/>
  <c r="H204" i="39"/>
  <c r="J14" i="14"/>
  <c r="O29" i="14" s="1"/>
  <c r="O39" i="14" s="1"/>
  <c r="C1232" i="30"/>
  <c r="G11" i="30" s="1"/>
  <c r="H50" i="31" s="1"/>
  <c r="C1174" i="30"/>
  <c r="C1184" i="30"/>
  <c r="F11" i="30" s="1"/>
  <c r="F50" i="31" s="1"/>
  <c r="C1194" i="30"/>
  <c r="C1239" i="30"/>
  <c r="C1240" i="30" s="1"/>
  <c r="C1248" i="30" s="1"/>
  <c r="H11" i="30" s="1"/>
  <c r="I50" i="31" s="1"/>
  <c r="E55" i="28"/>
  <c r="I29" i="14"/>
  <c r="I39" i="14" s="1"/>
  <c r="D24" i="14"/>
  <c r="H29" i="14"/>
  <c r="H39" i="14" s="1"/>
  <c r="C24" i="14"/>
  <c r="J30" i="14"/>
  <c r="J40" i="14" s="1"/>
  <c r="K33" i="14"/>
  <c r="K43" i="14" s="1"/>
  <c r="D126" i="31"/>
  <c r="J12" i="14"/>
  <c r="C167" i="31"/>
  <c r="D119" i="31" s="1"/>
  <c r="H370" i="22"/>
  <c r="I12" i="22" s="1"/>
  <c r="G371" i="22"/>
  <c r="F371" i="22"/>
  <c r="C371" i="22"/>
  <c r="E371" i="22"/>
  <c r="D371" i="22"/>
  <c r="D293" i="22"/>
  <c r="D44" i="16"/>
  <c r="C16" i="16"/>
  <c r="J21" i="14"/>
  <c r="O32" i="14" s="1"/>
  <c r="O42" i="14" s="1"/>
  <c r="K31" i="14"/>
  <c r="K41" i="14" s="1"/>
  <c r="J19" i="14"/>
  <c r="O31" i="14" s="1"/>
  <c r="O41" i="14" s="1"/>
  <c r="C250" i="25"/>
  <c r="D250" i="25" s="1"/>
  <c r="G12" i="25" s="1"/>
  <c r="D338" i="16"/>
  <c r="E293" i="22"/>
  <c r="G283" i="18"/>
  <c r="D19" i="18"/>
  <c r="O12" i="18" s="1"/>
  <c r="F319" i="18"/>
  <c r="I365" i="18"/>
  <c r="F369" i="18"/>
  <c r="O33" i="14"/>
  <c r="O43" i="14" s="1"/>
  <c r="D206" i="29"/>
  <c r="E206" i="29" s="1"/>
  <c r="E125" i="29"/>
  <c r="D125" i="29"/>
  <c r="C134" i="29" s="1"/>
  <c r="E134" i="29" s="1"/>
  <c r="D117" i="31"/>
  <c r="C194" i="31"/>
  <c r="D203" i="31" l="1"/>
  <c r="K34" i="16"/>
  <c r="K245" i="25"/>
  <c r="C255" i="25" s="1"/>
  <c r="D255" i="25" s="1"/>
  <c r="G17" i="25" s="1"/>
  <c r="J17" i="25" s="1"/>
  <c r="O245" i="25"/>
  <c r="G246" i="25"/>
  <c r="K246" i="25"/>
  <c r="K241" i="25"/>
  <c r="O246" i="25"/>
  <c r="O243" i="25"/>
  <c r="K243" i="25"/>
  <c r="G243" i="25"/>
  <c r="F55" i="31"/>
  <c r="J20" i="44"/>
  <c r="I20" i="44"/>
  <c r="S48" i="31"/>
  <c r="G241" i="25"/>
  <c r="H203" i="39"/>
  <c r="D262" i="39"/>
  <c r="G12" i="37"/>
  <c r="F351" i="37"/>
  <c r="K37" i="16"/>
  <c r="K40" i="16" s="1"/>
  <c r="D54" i="31"/>
  <c r="E54" i="31"/>
  <c r="I19" i="18"/>
  <c r="E419" i="18"/>
  <c r="K19" i="18"/>
  <c r="E16" i="39"/>
  <c r="E15" i="39"/>
  <c r="C426" i="14"/>
  <c r="E55" i="31"/>
  <c r="D55" i="31"/>
  <c r="D61" i="31" s="1"/>
  <c r="O27" i="14"/>
  <c r="O37" i="14" s="1"/>
  <c r="C118" i="31"/>
  <c r="E118" i="31" s="1"/>
  <c r="F63" i="28"/>
  <c r="F64" i="28" s="1"/>
  <c r="E63" i="28"/>
  <c r="E64" i="28" s="1"/>
  <c r="S45" i="31"/>
  <c r="E14" i="39"/>
  <c r="F260" i="39"/>
  <c r="C262" i="39"/>
  <c r="F262" i="39"/>
  <c r="C260" i="39"/>
  <c r="D260" i="39"/>
  <c r="E260" i="39"/>
  <c r="E262" i="39"/>
  <c r="E1194" i="30"/>
  <c r="E11" i="30" s="1"/>
  <c r="J60" i="28"/>
  <c r="C15" i="29"/>
  <c r="C136" i="27" s="1"/>
  <c r="C14" i="29"/>
  <c r="C12" i="29"/>
  <c r="F24" i="14"/>
  <c r="H55" i="31" s="1"/>
  <c r="J16" i="14"/>
  <c r="O30" i="14" s="1"/>
  <c r="O40" i="14" s="1"/>
  <c r="C199" i="31"/>
  <c r="G14" i="22"/>
  <c r="H371" i="22"/>
  <c r="I13" i="22" s="1"/>
  <c r="D53" i="31"/>
  <c r="C13" i="29"/>
  <c r="C134" i="27" s="1"/>
  <c r="G134" i="27" s="1"/>
  <c r="J12" i="25"/>
  <c r="F15" i="18"/>
  <c r="F323" i="18"/>
  <c r="E15" i="18"/>
  <c r="G287" i="18"/>
  <c r="C120" i="31"/>
  <c r="E120" i="31" s="1"/>
  <c r="C171" i="29"/>
  <c r="C185" i="29" s="1"/>
  <c r="D207" i="29"/>
  <c r="E207" i="29" s="1"/>
  <c r="E208" i="29" s="1"/>
  <c r="H15" i="18"/>
  <c r="I369" i="18"/>
  <c r="C251" i="25" l="1"/>
  <c r="D251" i="25" s="1"/>
  <c r="C256" i="25"/>
  <c r="D256" i="25" s="1"/>
  <c r="G18" i="25" s="1"/>
  <c r="J18" i="25" s="1"/>
  <c r="C253" i="25"/>
  <c r="D253" i="25" s="1"/>
  <c r="G15" i="25" s="1"/>
  <c r="J15" i="25" s="1"/>
  <c r="S12" i="18"/>
  <c r="E58" i="31"/>
  <c r="F46" i="31"/>
  <c r="E135" i="27"/>
  <c r="E139" i="27" s="1"/>
  <c r="D47" i="31"/>
  <c r="C133" i="27"/>
  <c r="G133" i="27" s="1"/>
  <c r="F47" i="31"/>
  <c r="C135" i="27"/>
  <c r="C12" i="37"/>
  <c r="C19" i="37" s="1"/>
  <c r="G19" i="37"/>
  <c r="D136" i="27" s="1"/>
  <c r="D139" i="27" s="1"/>
  <c r="C54" i="31"/>
  <c r="H19" i="18"/>
  <c r="R12" i="18" s="1"/>
  <c r="F19" i="18"/>
  <c r="C15" i="18"/>
  <c r="C19" i="18" s="1"/>
  <c r="I53" i="31"/>
  <c r="E25" i="39"/>
  <c r="E26" i="39" s="1"/>
  <c r="C55" i="31"/>
  <c r="C11" i="30"/>
  <c r="E50" i="31"/>
  <c r="C50" i="31" s="1"/>
  <c r="H260" i="39"/>
  <c r="F14" i="39" s="1"/>
  <c r="C14" i="39" s="1"/>
  <c r="H262" i="39"/>
  <c r="C266" i="39"/>
  <c r="F265" i="39"/>
  <c r="F264" i="39"/>
  <c r="C263" i="39"/>
  <c r="C259" i="39"/>
  <c r="F266" i="39"/>
  <c r="H205" i="39"/>
  <c r="C267" i="39"/>
  <c r="C264" i="39"/>
  <c r="F268" i="39"/>
  <c r="C269" i="39"/>
  <c r="F261" i="39"/>
  <c r="C268" i="39"/>
  <c r="F263" i="39"/>
  <c r="C261" i="39"/>
  <c r="F259" i="39"/>
  <c r="F269" i="39"/>
  <c r="F267" i="39"/>
  <c r="C265" i="39"/>
  <c r="F270" i="39"/>
  <c r="C270" i="39"/>
  <c r="D267" i="39"/>
  <c r="D266" i="39"/>
  <c r="E266" i="39"/>
  <c r="D263" i="39"/>
  <c r="E267" i="39"/>
  <c r="E270" i="39"/>
  <c r="D261" i="39"/>
  <c r="D265" i="39"/>
  <c r="D264" i="39"/>
  <c r="D270" i="39"/>
  <c r="D268" i="39"/>
  <c r="D269" i="39"/>
  <c r="E259" i="39"/>
  <c r="D259" i="39"/>
  <c r="E269" i="39"/>
  <c r="E268" i="39"/>
  <c r="E261" i="39"/>
  <c r="E264" i="39"/>
  <c r="E265" i="39"/>
  <c r="E263" i="39"/>
  <c r="E47" i="31"/>
  <c r="C18" i="29"/>
  <c r="C186" i="29"/>
  <c r="P176" i="29"/>
  <c r="J24" i="14"/>
  <c r="I14" i="22"/>
  <c r="C14" i="22" s="1"/>
  <c r="G13" i="25"/>
  <c r="L176" i="29"/>
  <c r="D176" i="29"/>
  <c r="W177" i="29" s="1"/>
  <c r="C176" i="29"/>
  <c r="J176" i="29"/>
  <c r="Y176" i="29" s="1"/>
  <c r="E176" i="29"/>
  <c r="X177" i="29" s="1"/>
  <c r="N176" i="29"/>
  <c r="Y175" i="29" s="1"/>
  <c r="M176" i="29"/>
  <c r="I176" i="29"/>
  <c r="H176" i="29"/>
  <c r="V176" i="29" s="1"/>
  <c r="F176" i="29"/>
  <c r="Y177" i="29" s="1"/>
  <c r="E19" i="18"/>
  <c r="P12" i="18" s="1"/>
  <c r="E61" i="31" l="1"/>
  <c r="C46" i="31"/>
  <c r="S46" i="31" s="1"/>
  <c r="D257" i="25"/>
  <c r="D39" i="22"/>
  <c r="D38" i="22"/>
  <c r="G136" i="27"/>
  <c r="S52" i="31"/>
  <c r="S53" i="31"/>
  <c r="G135" i="27"/>
  <c r="Q12" i="18"/>
  <c r="F56" i="31"/>
  <c r="F61" i="31" s="1"/>
  <c r="I47" i="31"/>
  <c r="I61" i="31" s="1"/>
  <c r="C138" i="27"/>
  <c r="G138" i="27" s="1"/>
  <c r="E48" i="31"/>
  <c r="C48" i="31" s="1"/>
  <c r="S49" i="31" s="1"/>
  <c r="C122" i="31"/>
  <c r="E122" i="31" s="1"/>
  <c r="V177" i="29"/>
  <c r="G176" i="29"/>
  <c r="H53" i="31"/>
  <c r="F53" i="31"/>
  <c r="F16" i="39"/>
  <c r="C16" i="39" s="1"/>
  <c r="C126" i="31"/>
  <c r="E126" i="31" s="1"/>
  <c r="H259" i="39"/>
  <c r="F13" i="39" s="1"/>
  <c r="C13" i="39" s="1"/>
  <c r="H264" i="39"/>
  <c r="F18" i="39" s="1"/>
  <c r="C18" i="39" s="1"/>
  <c r="C258" i="39"/>
  <c r="F258" i="39"/>
  <c r="D258" i="39"/>
  <c r="E258" i="39"/>
  <c r="H270" i="39"/>
  <c r="F24" i="39" s="1"/>
  <c r="C24" i="39" s="1"/>
  <c r="H268" i="39"/>
  <c r="F22" i="39" s="1"/>
  <c r="C22" i="39" s="1"/>
  <c r="H261" i="39"/>
  <c r="F15" i="39" s="1"/>
  <c r="H263" i="39"/>
  <c r="F17" i="39" s="1"/>
  <c r="C17" i="39" s="1"/>
  <c r="H269" i="39"/>
  <c r="F23" i="39" s="1"/>
  <c r="C23" i="39" s="1"/>
  <c r="H267" i="39"/>
  <c r="F21" i="39" s="1"/>
  <c r="C21" i="39" s="1"/>
  <c r="H265" i="39"/>
  <c r="F19" i="39" s="1"/>
  <c r="C19" i="39" s="1"/>
  <c r="H266" i="39"/>
  <c r="F20" i="39" s="1"/>
  <c r="C20" i="39" s="1"/>
  <c r="C181" i="29"/>
  <c r="C182" i="29" s="1"/>
  <c r="C17" i="29"/>
  <c r="H58" i="31"/>
  <c r="Z176" i="29"/>
  <c r="Z177" i="29"/>
  <c r="Z175" i="29"/>
  <c r="D86" i="44" s="1"/>
  <c r="O176" i="29"/>
  <c r="K176" i="29"/>
  <c r="J13" i="25"/>
  <c r="J19" i="25" s="1"/>
  <c r="G19" i="25"/>
  <c r="E53" i="31"/>
  <c r="C121" i="31" l="1"/>
  <c r="E121" i="31" s="1"/>
  <c r="D88" i="44"/>
  <c r="C53" i="31"/>
  <c r="H57" i="31"/>
  <c r="C57" i="31" s="1"/>
  <c r="H258" i="39"/>
  <c r="F12" i="39" s="1"/>
  <c r="F25" i="39" s="1"/>
  <c r="F26" i="39" s="1"/>
  <c r="C15" i="39"/>
  <c r="C179" i="29"/>
  <c r="C180" i="29" s="1"/>
  <c r="S51" i="31" l="1"/>
  <c r="C88" i="44"/>
  <c r="C15" i="44" s="1"/>
  <c r="C123" i="31"/>
  <c r="E123" i="31" s="1"/>
  <c r="H56" i="31"/>
  <c r="C119" i="31"/>
  <c r="E119" i="31" s="1"/>
  <c r="C16" i="29"/>
  <c r="C137" i="27" s="1"/>
  <c r="C18" i="44" l="1"/>
  <c r="C16" i="44"/>
  <c r="C139" i="27"/>
  <c r="G137" i="27"/>
  <c r="G139" i="27" s="1"/>
  <c r="D19" i="44"/>
  <c r="C19" i="44"/>
  <c r="C17" i="44"/>
  <c r="D15" i="44"/>
  <c r="D16" i="44"/>
  <c r="D17" i="44"/>
  <c r="D18" i="44"/>
  <c r="H47" i="31"/>
  <c r="C19" i="29"/>
  <c r="H372" i="22"/>
  <c r="H373" i="22" s="1"/>
  <c r="C20" i="44" l="1"/>
  <c r="C47" i="31"/>
  <c r="H61" i="31"/>
  <c r="D20" i="44"/>
  <c r="C117" i="31" l="1"/>
  <c r="E117" i="31" s="1"/>
  <c r="S47" i="31"/>
  <c r="C328" i="39"/>
  <c r="G12" i="39" s="1"/>
  <c r="C12" i="39" l="1"/>
  <c r="G25" i="39"/>
  <c r="G26" i="39" s="1"/>
  <c r="G56" i="31" l="1"/>
  <c r="C25" i="39"/>
  <c r="C26" i="39" s="1"/>
  <c r="C56" i="31" l="1"/>
  <c r="S54" i="31" s="1"/>
  <c r="S58" i="31" s="1"/>
  <c r="G61" i="31"/>
  <c r="C60" i="31" l="1"/>
  <c r="C61" i="3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Baptiste</author>
  </authors>
  <commentList>
    <comment ref="D201" authorId="0" shapeId="0" xr:uid="{53D4B9F9-F10D-4B59-9166-8A29B016715B}">
      <text>
        <r>
          <rPr>
            <b/>
            <sz val="9"/>
            <color indexed="81"/>
            <rFont val="Tahoma"/>
            <family val="2"/>
          </rPr>
          <t>Baptiste:</t>
        </r>
        <r>
          <rPr>
            <sz val="9"/>
            <color indexed="81"/>
            <rFont val="Tahoma"/>
            <family val="2"/>
          </rPr>
          <t xml:space="preserve">
On prend le même chiffre que pour les autres équipements électro-médicaux</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Baptiste</author>
  </authors>
  <commentList>
    <comment ref="E399" authorId="0" shapeId="0" xr:uid="{8AB7EE42-D1AD-4822-A521-A878539D0CFF}">
      <text>
        <r>
          <rPr>
            <b/>
            <sz val="9"/>
            <color indexed="81"/>
            <rFont val="Tahoma"/>
            <family val="2"/>
          </rPr>
          <t>Baptiste:</t>
        </r>
        <r>
          <rPr>
            <sz val="9"/>
            <color indexed="81"/>
            <rFont val="Tahoma"/>
            <family val="2"/>
          </rPr>
          <t xml:space="preserve">
Distance entre les sites de BBGR</t>
        </r>
      </text>
    </comment>
    <comment ref="E401" authorId="0" shapeId="0" xr:uid="{ECF04834-384F-4634-BCF2-7C9985CACFA1}">
      <text>
        <r>
          <rPr>
            <b/>
            <sz val="9"/>
            <color indexed="81"/>
            <rFont val="Tahoma"/>
            <family val="2"/>
          </rPr>
          <t>Baptiste:</t>
        </r>
        <r>
          <rPr>
            <sz val="9"/>
            <color indexed="81"/>
            <rFont val="Tahoma"/>
            <family val="2"/>
          </rPr>
          <t xml:space="preserve">
Hypothèse à confirmer : production sur place</t>
        </r>
      </text>
    </comment>
    <comment ref="K547" authorId="0" shapeId="0" xr:uid="{F73600DB-7BAB-49F1-849E-E4C181020F37}">
      <text>
        <r>
          <rPr>
            <b/>
            <sz val="9"/>
            <color indexed="81"/>
            <rFont val="Tahoma"/>
            <family val="2"/>
          </rPr>
          <t>Baptiste:</t>
        </r>
        <r>
          <rPr>
            <sz val="9"/>
            <color indexed="81"/>
            <rFont val="Tahoma"/>
            <family val="2"/>
          </rPr>
          <t xml:space="preserve">
Dans les cas ou la provenance est indéterminée, on fait l'hypothèse que la moitié provient de Chine, et l'autre moitié d'Europe.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Baptiste</author>
  </authors>
  <commentList>
    <comment ref="J169" authorId="0" shapeId="0" xr:uid="{78B108AB-D901-4265-A150-E4C999A6CA34}">
      <text>
        <r>
          <rPr>
            <b/>
            <sz val="9"/>
            <color indexed="81"/>
            <rFont val="Tahoma"/>
            <family val="2"/>
          </rPr>
          <t>Baptiste:</t>
        </r>
        <r>
          <rPr>
            <sz val="9"/>
            <color indexed="81"/>
            <rFont val="Tahoma"/>
            <family val="2"/>
          </rPr>
          <t xml:space="preserve">
Par exemple du verre</t>
        </r>
      </text>
    </comment>
    <comment ref="E173" authorId="0" shapeId="0" xr:uid="{E4A02DD1-CC48-4378-8D11-43D36EC8B10A}">
      <text>
        <r>
          <rPr>
            <b/>
            <sz val="9"/>
            <color indexed="81"/>
            <rFont val="Tahoma"/>
            <family val="2"/>
          </rPr>
          <t>Baptiste:</t>
        </r>
        <r>
          <rPr>
            <sz val="9"/>
            <color indexed="81"/>
            <rFont val="Tahoma"/>
            <family val="2"/>
          </rPr>
          <t xml:space="preserve">
(including gantry, patient table, 
operators console, image 
reconstruction system</t>
        </r>
      </text>
    </comment>
    <comment ref="I231" authorId="0" shapeId="0" xr:uid="{23053EE6-3BF2-4656-8570-50F02B7FFC76}">
      <text>
        <r>
          <rPr>
            <b/>
            <sz val="9"/>
            <color indexed="81"/>
            <rFont val="Tahoma"/>
            <family val="2"/>
          </rPr>
          <t>Baptiste:</t>
        </r>
        <r>
          <rPr>
            <sz val="9"/>
            <color indexed="81"/>
            <rFont val="Tahoma"/>
            <family val="2"/>
          </rPr>
          <t xml:space="preserve">
Pour les IRM, on compte la cage de Faraday et l'helium</t>
        </r>
      </text>
    </comment>
    <comment ref="E305" authorId="0" shapeId="0" xr:uid="{FB918132-5F33-4DBD-9E26-16445AF79D7F}">
      <text>
        <r>
          <rPr>
            <b/>
            <sz val="9"/>
            <color indexed="81"/>
            <rFont val="Tahoma"/>
            <family val="2"/>
          </rPr>
          <t>Baptiste:</t>
        </r>
        <r>
          <rPr>
            <sz val="9"/>
            <color indexed="81"/>
            <rFont val="Tahoma"/>
            <family val="2"/>
          </rPr>
          <t xml:space="preserve">
(including gantry, patient table, 
operators console, image 
reconstruction system</t>
        </r>
      </text>
    </comment>
    <comment ref="F317" authorId="0" shapeId="0" xr:uid="{CF86E0D6-29B5-421E-A2E4-E70553653333}">
      <text>
        <r>
          <rPr>
            <b/>
            <sz val="9"/>
            <color indexed="81"/>
            <rFont val="Tahoma"/>
            <family val="2"/>
          </rPr>
          <t>Baptiste:</t>
        </r>
        <r>
          <rPr>
            <sz val="9"/>
            <color indexed="81"/>
            <rFont val="Tahoma"/>
            <family val="2"/>
          </rPr>
          <t xml:space="preserve">
La donnée est non renseignée : on fait cette hypothèse par rapport aux autres valeurs.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Baptiste</author>
  </authors>
  <commentList>
    <comment ref="F59" authorId="0" shapeId="0" xr:uid="{A2CEEC22-464B-4A91-AD0D-BBF3AD88A865}">
      <text>
        <r>
          <rPr>
            <b/>
            <sz val="9"/>
            <color indexed="81"/>
            <rFont val="Tahoma"/>
            <family val="2"/>
          </rPr>
          <t>Baptiste:</t>
        </r>
        <r>
          <rPr>
            <sz val="9"/>
            <color indexed="81"/>
            <rFont val="Tahoma"/>
            <family val="2"/>
          </rPr>
          <t xml:space="preserve">
Mais pas toujours : des fois déambulation exclusive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Baptiste</author>
  </authors>
  <commentList>
    <comment ref="C127" authorId="0" shapeId="0" xr:uid="{302068FA-C29A-4726-BA6E-4E8E81DA3CF2}">
      <text>
        <r>
          <rPr>
            <b/>
            <sz val="9"/>
            <color indexed="81"/>
            <rFont val="Tahoma"/>
            <family val="2"/>
          </rPr>
          <t>Baptiste:</t>
        </r>
        <r>
          <rPr>
            <sz val="9"/>
            <color indexed="81"/>
            <rFont val="Tahoma"/>
            <family val="2"/>
          </rPr>
          <t xml:space="preserve">
hors moniteurs PNI-SPO2 et hors centrales</t>
        </r>
      </text>
    </comment>
    <comment ref="E139" authorId="0" shapeId="0" xr:uid="{8BF63D99-3643-4856-A70B-D60C1DAF1D52}">
      <text>
        <r>
          <rPr>
            <b/>
            <sz val="9"/>
            <color indexed="81"/>
            <rFont val="Tahoma"/>
            <family val="2"/>
          </rPr>
          <t>Baptiste:</t>
        </r>
        <r>
          <rPr>
            <sz val="9"/>
            <color indexed="81"/>
            <rFont val="Tahoma"/>
            <family val="2"/>
          </rPr>
          <t xml:space="preserve">
On prend le chiffre de https://www.snitem.fr/wp-content/uploads/2025/04/SI-237-Dossier-Robotique.pdf</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Baptiste</author>
  </authors>
  <commentList>
    <comment ref="K10" authorId="0" shapeId="0" xr:uid="{D7792F19-F8F3-403F-A5AB-994FDFE75BEC}">
      <text>
        <r>
          <rPr>
            <b/>
            <sz val="9"/>
            <color indexed="81"/>
            <rFont val="Tahoma"/>
            <family val="2"/>
          </rPr>
          <t>Baptiste:</t>
        </r>
        <r>
          <rPr>
            <sz val="9"/>
            <color indexed="81"/>
            <rFont val="Tahoma"/>
            <family val="2"/>
          </rPr>
          <t xml:space="preserve">
Dans les cas ou la provenance est indéterminée, on fait l'hypothèse que la moitié provient de Chine, et l'autre moitié d'Europe.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Baptiste</author>
  </authors>
  <commentList>
    <comment ref="F83" authorId="0" shapeId="0" xr:uid="{905633A6-2492-4223-A1CE-FDB6E2D5B25B}">
      <text>
        <r>
          <rPr>
            <b/>
            <sz val="9"/>
            <color indexed="81"/>
            <rFont val="Tahoma"/>
            <family val="2"/>
          </rPr>
          <t>Baptiste:</t>
        </r>
        <r>
          <rPr>
            <sz val="9"/>
            <color indexed="81"/>
            <rFont val="Tahoma"/>
            <family val="2"/>
          </rPr>
          <t xml:space="preserve">
Attention : on mets ici Reste of the World alors que c'est Chine</t>
        </r>
      </text>
    </comment>
    <comment ref="E84" authorId="0" shapeId="0" xr:uid="{69C7385A-C40F-4A87-AC8D-BF7BF26D97FF}">
      <text>
        <r>
          <rPr>
            <b/>
            <sz val="9"/>
            <color indexed="81"/>
            <rFont val="Tahoma"/>
            <family val="2"/>
          </rPr>
          <t>Baptiste:</t>
        </r>
        <r>
          <rPr>
            <sz val="9"/>
            <color indexed="81"/>
            <rFont val="Tahoma"/>
            <family val="2"/>
          </rPr>
          <t xml:space="preserve">
On obtient 1,02 par nos calculs à l'aide du facteur d'émissions de la Base Empreinte. On choisit toutefois le chiffre d'Ecoinvent, afin de pouvoir comparer les résultats.</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FB86C29E-3A22-41AD-8AC3-7A77D4ED8C9A}" keepAlive="1" name="Requête - Table 0" description="Connexion à la requête « Table 0 » dans le classeur." type="5" refreshedVersion="0" background="1">
    <dbPr connection="Provider=Microsoft.Mashup.OleDb.1;Data Source=$Workbook$;Location=&quot;Table 0&quot;;Extended Properties=&quot;&quot;" command="SELECT * FROM [Table 0]"/>
  </connection>
  <connection id="2" xr16:uid="{E9F81BEE-E7C8-4928-A432-E061C60E9E2F}" keepAlive="1" name="Requête - Table 0 (2)" description="Connexion à la requête « Table 0 (2) » dans le classeur." type="5" refreshedVersion="7" background="1" saveData="1">
    <dbPr connection="Provider=Microsoft.Mashup.OleDb.1;Data Source=$Workbook$;Location=&quot;Table 0 (2)&quot;;Extended Properties=&quot;&quot;" command="SELECT * FROM [Table 0 (2)]"/>
  </connection>
</connections>
</file>

<file path=xl/sharedStrings.xml><?xml version="1.0" encoding="utf-8"?>
<sst xmlns="http://schemas.openxmlformats.org/spreadsheetml/2006/main" count="8873" uniqueCount="4966">
  <si>
    <t>Outil de calcul utilisé pour estimer l'empreinte carbone des industries des dispositifs médicaux - 2025</t>
  </si>
  <si>
    <t xml:space="preserve">Rapport final, disponible depuis le 17 juin 2025. </t>
  </si>
  <si>
    <t>I - Présentation générale</t>
  </si>
  <si>
    <t>Objectif de ce document</t>
  </si>
  <si>
    <t>Méthodologie générale</t>
  </si>
  <si>
    <r>
      <t>(i)</t>
    </r>
    <r>
      <rPr>
        <b/>
        <sz val="12"/>
        <color rgb="FF000000"/>
        <rFont val="Calibri"/>
        <family val="2"/>
      </rPr>
      <t xml:space="preserve"> Estimation des consommations françaises</t>
    </r>
    <r>
      <rPr>
        <sz val="12"/>
        <color rgb="FF000000"/>
        <rFont val="Calibri"/>
        <family val="2"/>
      </rPr>
      <t xml:space="preserve"> de la catégorie étudiée (par exemple : nombre de gants à usage unique consommés chaque année) ;</t>
    </r>
  </si>
  <si>
    <r>
      <t xml:space="preserve">(ii) </t>
    </r>
    <r>
      <rPr>
        <b/>
        <sz val="12"/>
        <color rgb="FF000000"/>
        <rFont val="Calibri"/>
        <family val="2"/>
      </rPr>
      <t>Traduction de ces consommations en gaz à effet de serre</t>
    </r>
    <r>
      <rPr>
        <sz val="12"/>
        <color rgb="FF000000"/>
        <rFont val="Calibri"/>
        <family val="2"/>
      </rPr>
      <t>, induits par leur production (extraction de ressources, transformations), leur logistique, leur utilisation et leur fin de vie.</t>
    </r>
  </si>
  <si>
    <t>Données partagées dans ce tableur</t>
  </si>
  <si>
    <t>Contactez-nous !</t>
  </si>
  <si>
    <r>
      <t xml:space="preserve">Pour toute question, demande de précision, ou suggestion, n'hésitez pas à nous contacter à l'adresse </t>
    </r>
    <r>
      <rPr>
        <u/>
        <sz val="12"/>
        <color theme="9"/>
        <rFont val="Calibri"/>
        <family val="2"/>
      </rPr>
      <t>indus-sante@theshiftproject.org</t>
    </r>
    <r>
      <rPr>
        <sz val="12"/>
        <color rgb="FF000000"/>
        <rFont val="Calibri"/>
        <family val="2"/>
      </rPr>
      <t xml:space="preserve">.
</t>
    </r>
  </si>
  <si>
    <t>II - Organisation du document</t>
  </si>
  <si>
    <t>Résultats généraux</t>
  </si>
  <si>
    <t>Dans cet onglet sont reportés les résultats généraux, issus des calculs des autres onglets de ce document.</t>
  </si>
  <si>
    <t>Résultats relocalisation</t>
  </si>
  <si>
    <t>Dans cet onglet, on regarde les résultats présentés dans la partie du rapport sur la relocalisation des produits de santé.</t>
  </si>
  <si>
    <t>Couverture périmètre</t>
  </si>
  <si>
    <t>Dans cet onglet, on regarde le périmètre pris en compte pour le rapport final sur la décarbonation des dispositifs médicaux de juin 2025.</t>
  </si>
  <si>
    <t>Consommables à usage unique</t>
  </si>
  <si>
    <t>Consommables - consos hôpital</t>
  </si>
  <si>
    <t>Dans cet onglet, on cherche à estimer la quantité de consommables en plastique consommés en France à l'hôpital.</t>
  </si>
  <si>
    <t>EPI</t>
  </si>
  <si>
    <t>Dans cet onglet, on cherche à estimer l'empreinte carbone des équipements de protection individuelle : gants, casaques, champs opératoires.</t>
  </si>
  <si>
    <t xml:space="preserve">Consommables plastiques </t>
  </si>
  <si>
    <t>Dans cet onglet, on cherche à estimer l'empreinte carbone des consommables en plastique consommés en France à l'hôpital.</t>
  </si>
  <si>
    <t>Dispositifs urologie</t>
  </si>
  <si>
    <t>Dans cet onglet, on cherche à estimer l'empreinte carbone des consommables en plastique consommés en ville pour l'urologie et la stomathérapie.</t>
  </si>
  <si>
    <t>Incontinence</t>
  </si>
  <si>
    <t>Dans cet onglet, on regarde l'empreinte carbone des protections pour l'incontinence : changes complets, slips absorbants, les protections anatomiques et les alèses.</t>
  </si>
  <si>
    <t>Pansements</t>
  </si>
  <si>
    <t>Dans cet onglet, on regarde l'empreinte carbone des produits pour plaies et cicatrisation : pansements, compresses et bandes de contention.</t>
  </si>
  <si>
    <t>Trait. &amp; surv. Diabète</t>
  </si>
  <si>
    <t>Dans cet onglet, on regarde l'empreinte carbone des dispositifs pour l'autotraitement et l'autosurveillance du diabète : stylos, aiguilles, capteurs de glycémie, bandelettes, etc.</t>
  </si>
  <si>
    <t>Instruments</t>
  </si>
  <si>
    <t>Dans cet onglet, on regarde l'empreinte carbone des instruments.</t>
  </si>
  <si>
    <t>Orthèses, prothèses et aides techniques</t>
  </si>
  <si>
    <t>Optique</t>
  </si>
  <si>
    <t>Dans cet onglet, on regarde l'empreinte carbone des dispositifs optiques : verres optiques, montures de lunettes, lentilles de contact.</t>
  </si>
  <si>
    <t>Aides auditives</t>
  </si>
  <si>
    <t>Dans cet onglet, on regarde l'empreinte carbone des aides auditives, également appelées audioprothèses.</t>
  </si>
  <si>
    <t>Orthèses</t>
  </si>
  <si>
    <t>Dans cet onglet, on regarde l'empreinte carbone des orthèses de série : attelles, bas de contention, colliers cervicaux, etc.</t>
  </si>
  <si>
    <t>Aides techniques</t>
  </si>
  <si>
    <t>Dans cet onglet, on regarde l'empreinte carbone des aides techniques : fauteuils roulants, lits médicalisés, béquilles, etc.</t>
  </si>
  <si>
    <t>Equipements électro-médicaux</t>
  </si>
  <si>
    <t>Equipements d'imagerie</t>
  </si>
  <si>
    <t>Dans cet onglet, on regarde l'empreinte carbone des équipements d'imagerie : IRM, scanners, appareils de radiographie, échographies, etc.</t>
  </si>
  <si>
    <t>Equipements path. respiratoire</t>
  </si>
  <si>
    <t>Dans cet onglet, on regarde l'empreinte carbone des équipements pour pathologies respiratoires : équipements pour l'oxygénothérapie, pour l'apnée du sommeil, etc.</t>
  </si>
  <si>
    <t>Dans cet onglet, on regarde l'empreinte carbone des équipements électro-médicaux, hors imagerie et hors équipements pour pathologies respiratoires : bras chirurgicaux, générateurs d'hémodialyse, pousse-seringues, etc.</t>
  </si>
  <si>
    <t>Autres</t>
  </si>
  <si>
    <t>Implants orthopédiques</t>
  </si>
  <si>
    <t>Dans cet onglet, on regarde l'empreinte carbone des implants orthopédiques : prothèses de hanches, de genoux, etc.</t>
  </si>
  <si>
    <t>DM-DIV</t>
  </si>
  <si>
    <t>Dans cet onglet, on regarde l'empreinte carbone des dispositifs de diagnostic in-vitro : réactifs de diagnostic, instruments et consommables.</t>
  </si>
  <si>
    <t>Corpo et R&amp;D</t>
  </si>
  <si>
    <t>Dans cet onglet, on regarde l'empreinte carbone des activités corporatives (activités commerciales et de siège, etc.) et des activités de R&amp;D.</t>
  </si>
  <si>
    <t>Compléments alimentaires</t>
  </si>
  <si>
    <t>Dans cet onglet, on regarde l'empreinte carbone des produits pour l'alimentation orale inscrits dans la LPP, en particulier les boissons protéinées pour personnes âgées.</t>
  </si>
  <si>
    <t>Annexes</t>
  </si>
  <si>
    <t>Annexe - logistique</t>
  </si>
  <si>
    <t>Dans cet onglet, on rassemble des données qui faciliteront les calculs de l'empreinte carbone des étapes de transport dans dispositifs médicaux.</t>
  </si>
  <si>
    <t>Annexe - stérilisation</t>
  </si>
  <si>
    <t>Dans cet onglet, on regarde l'empreinte carbone des procédés de stérilisation industriels.</t>
  </si>
  <si>
    <t>Annexe - Matériaux</t>
  </si>
  <si>
    <t>Dans cet onglet, on rassemble des données qui faciliteront les calculs de l'empreinte carbone de divers matériaux. On calcule notamment l'empreinte carbone du CR-39, des plastiques à usage médical, et des alliages pour les implants.</t>
  </si>
  <si>
    <t>Annexe - Salles blanches</t>
  </si>
  <si>
    <t>Dans cet onglet, on regarde l'empreinte carbone des salles blanches françaises.</t>
  </si>
  <si>
    <t>I - Chiffre global</t>
  </si>
  <si>
    <t xml:space="preserve">Ainsi, on utilise les données suivantes : </t>
  </si>
  <si>
    <t>Valeur</t>
  </si>
  <si>
    <t>Source</t>
  </si>
  <si>
    <t>Chiffre d'affaires des DM en France</t>
  </si>
  <si>
    <t>Données SNITEM, Panorama du DM 2023, traitement Randea, sur la base des adhérents des différentes organisations. https://www.snitem.fr/wp-content/uploads/2025/04/Presentation-colloque-RSE-Compilee.pdf</t>
  </si>
  <si>
    <t>Facteur d'émissions</t>
  </si>
  <si>
    <t>Emissions induites par les consommations françaises de DM</t>
  </si>
  <si>
    <t>ADEME</t>
  </si>
  <si>
    <t>Donnée obtenue à partir du facteur d’émissions de l’ADEME, 315 kgCO₂e / k€. ADEME, Guide sectoriel à la réalisation d’un bilan de gaz à effets de serre- santé, 2019. https://bilans-ges.ademe.fr/docutheque/Guide-Sectoriel-sante.ext</t>
  </si>
  <si>
    <t>CSF / FEFIS</t>
  </si>
  <si>
    <t>Donnée issue du calcul de l’empreinte globale de la filière des dispositifs médicaux, qui sera publié prochainement dans le cadre de la Feuille de route décarbonation des industries et technologies de santé, Volets 1 &amp; 2 (FEFIS).</t>
  </si>
  <si>
    <t>II - Répartition des émissions</t>
  </si>
  <si>
    <t xml:space="preserve">On obtient, grâce aux calculs détaillés dans les onglets de ce document, le tableau suivant : </t>
  </si>
  <si>
    <t xml:space="preserve">Regroupement par catégories : </t>
  </si>
  <si>
    <t>Emissions (en ktCO2e)</t>
  </si>
  <si>
    <t>Total</t>
  </si>
  <si>
    <t>Matières premières</t>
  </si>
  <si>
    <t>Production (dont immobilisation, déplacements domicile-travail, stérilisation)</t>
  </si>
  <si>
    <t>Emballages</t>
  </si>
  <si>
    <t>Utilisation</t>
  </si>
  <si>
    <t>Transport</t>
  </si>
  <si>
    <t>Fin de vie</t>
  </si>
  <si>
    <t>Précisions</t>
  </si>
  <si>
    <t>Catégories</t>
  </si>
  <si>
    <t>Sous-catégorie</t>
  </si>
  <si>
    <t>Gants</t>
  </si>
  <si>
    <t>N.B. : valeurs basses</t>
  </si>
  <si>
    <t>Consommables</t>
  </si>
  <si>
    <t>Casaques et Champs</t>
  </si>
  <si>
    <t>Consommables plastiques hospitaliers</t>
  </si>
  <si>
    <t>Urologie / stomathérapie</t>
  </si>
  <si>
    <t>Produits pour l'incontinence</t>
  </si>
  <si>
    <t>Consommables pour plaies et cicatrisation</t>
  </si>
  <si>
    <t>Orthèses, prothèses, aides techniques</t>
  </si>
  <si>
    <t>Equipements optiques</t>
  </si>
  <si>
    <t>N.B. : pour Matières premières et production des aides auditives, on fait 50/50.</t>
  </si>
  <si>
    <t>Equipements électromédicaux</t>
  </si>
  <si>
    <t>Autres équipements électro-médicaux</t>
  </si>
  <si>
    <t>DM DIV</t>
  </si>
  <si>
    <t xml:space="preserve"> Réactifs de diagnostic, automates, etc.</t>
  </si>
  <si>
    <t>Activités corporatives et R&amp;D</t>
  </si>
  <si>
    <t>Activités corporatives</t>
  </si>
  <si>
    <t>Équipements pour pathologies respiratoires</t>
  </si>
  <si>
    <t>R&amp;D</t>
  </si>
  <si>
    <t>Implants articulaires</t>
  </si>
  <si>
    <t>Autres : DM non couverts par notre rapport</t>
  </si>
  <si>
    <t>Pansements,
Instruments chirurgicaux, 
Hémodialyseurs,
Consommables pour le traitement du diabète,
Implants,
Dispositifs de contraception,
etc.</t>
  </si>
  <si>
    <t>Emissions corpo et R&amp;D</t>
  </si>
  <si>
    <t>On utilise le chiffre global calculé avec le ratio monétaire.</t>
  </si>
  <si>
    <t>Autres DM</t>
  </si>
  <si>
    <t>III - Emissions par masse de produit</t>
  </si>
  <si>
    <t xml:space="preserve">On calcule ici l'intensité carbone massique, c’est-à-dire les émissions carbone rapportées à la masse de produits : </t>
  </si>
  <si>
    <t>Quantité de matière, hors pertes (en tonnes)</t>
  </si>
  <si>
    <t>Empreinte carbone (ktCO2e)</t>
  </si>
  <si>
    <t>Gants à usage unique</t>
  </si>
  <si>
    <t>Orthèses élastiques de contention</t>
  </si>
  <si>
    <t>Verres optiques</t>
  </si>
  <si>
    <t>Montures de lunettes</t>
  </si>
  <si>
    <t xml:space="preserve">Graphe publié dans le rapport intermédiaire (anciens chiffres) : </t>
  </si>
  <si>
    <t>IV - Quantités de matière</t>
  </si>
  <si>
    <t>Les catégories surlignées en vert ont été retenues dans le diagramme de Sankey présenté dans notre rapport.</t>
  </si>
  <si>
    <t>Plastiques</t>
  </si>
  <si>
    <t>Vicose, cellulose de bois, coton</t>
  </si>
  <si>
    <t>Acier</t>
  </si>
  <si>
    <t>Aluminium</t>
  </si>
  <si>
    <t>Composants électroniques</t>
  </si>
  <si>
    <t>Autres matériaux</t>
  </si>
  <si>
    <t>Urologie</t>
  </si>
  <si>
    <t>https://sankeymatic.com/build/?i=PTAEFEDsBcFMCdQDEA2B7A7gZ1AI1tBrLJKAHJoAmsWANKCgJYDWso0AFo1gFwBQIUEOHCAymgCu8AMZsA2gEEAsgHkAqmQAqAXVCaAhvADmBPnwAKKfVmiMAjhJqg5ARgAsABgCcX3QHF9GCwLKxt7Rxw5AGYvNzddAGFrfQcnAlBpDn0AWwAHYMtrW1TIgHY3KI8PRLRILDRs7P1cFDTSXNDiiJCi8Kc5N3LB3XN4KglGaBxcyUQUAHJGSGla20gSWR6wkucANl3S3QBJJpN4Rlgtrv6XAA4PW8PQBUZqHDhMyD7gvgA1bhWWDY6VkKBQEnQQNA1DwaG4zhcURcAFZEskdiCsnlgv8sIDgdAMrAwRC0FCYbg4WUosiok9RuNJtNZgxFstVksNpc%2BAppBdEHIAEy3EXHU4IC48vkIBGlUoeVHPV5OD4cL4lMwKcHZJaMCTZBHIryKk76M6SrX63X65ylLy3Fy6F5vdiwT7fTUSaDwJzZACX0H0EgAHqAQQ0ZlhAlNQH7WtJvbVvs5kdVQKbzZcFF6fTh%2DYGQ2HCSs8mTozg427E%2BqIs4ors086VW61R6eTnffpoH7zkHQwMfGKzRKsx2812e4w%2B3Xbr4lS7VTWaGYBGAAJqSDKBUBAwn6chUWDzHArdDwehMVjsLi8Pg8QrbWsAYiqVWRCjvoFx%2BKLRJJkLYCkqVAJ8kCQW5BSqT9eX5ECkAUAAhNxdjcaDtWtA1QKQAARBJU2gsdQHzadw1LKMgljeNq2TJ8IISW54NAAjvU7bte0LF8PGFXCVx4UAAgozi3w%2DPikijDFiyxfIQNfBURNABJanqRpmlaHASFADpeh2IS5M%2DBlKAmGMZikVklhWGBOWWNhdPfT8MxHGTXzsvim3eFslxwWyPywRgAC82AwUAXEgjw%2BCEDhQAbMKmmMJYGGCwVwtARAQuSwk7mS3BQEgvhcCMDI0DPECADMyvK9L4ECLBckMEhCTIPhIEPUAgrSiLQHwoQav0PlIAK0pkSytB4GoRAwqEThYGyNh9GS08RpAkVltuZK0FqvloAAT2CvgSvQILpCkAA3LspDYDwADohqEJYOAlaASrGA1JCmZUAFolnmorFqfHx%2Dq8NaNsmHarqGqwtte0ARrG0Ag2gBou0YaRkoAKwkMISsh84jCWHBGqEdHMa2khKHx5KfWOhAgSMKrckigm4egQNMnMiNWjgGw0FAdY6psPgrHwFATx%2BxBdKgiLlXIZKuCMDgmDlwkrsG5KStWErerYcisHeoFzhK5KmHWHq%2BoKq6kqEH0rFsKnfIC0BbhuoizS%2BLHgqgwXiUgHJZtyXJYEMHA12Su22BcXZkqIRhFdATwws9lBTvBX3%2DcD0Bg6EEqIRQXIfT5XzamloRI0mRhC6FzBI9gaOOEJOOBeaYkS9sQv4bQfQFdICad0yabZq9NBVcYeAbDwWA1Z9LKfX0ZgZiWQkoj4JPHFACemkJeZQFoeZktz8fGFDeYd%2B6iQyoP0Aj74KaZrQMrdzh0BAaEbLu%2BkUBu8od%2B%2BBmwMiPqsu6iBFYFtdeyMi4MG4LYbIuAO6BFkEHIAA</t>
  </si>
  <si>
    <t>&lt;-- Lien Sankey</t>
  </si>
  <si>
    <t>Quantité de plastique mobilisée, hors pertes (en tonnes)</t>
  </si>
  <si>
    <t>Dispositifs pour l'urologie et la stomathérapie</t>
  </si>
  <si>
    <t>Autres consommables</t>
  </si>
  <si>
    <t>V - Provenance</t>
  </si>
  <si>
    <t xml:space="preserve">Production française : </t>
  </si>
  <si>
    <t>Part de production française</t>
  </si>
  <si>
    <t>Moyenne</t>
  </si>
  <si>
    <t xml:space="preserve">Répartition des importations : </t>
  </si>
  <si>
    <t>On regarde des données d'importations issues des données des douanes françaises, pour 65 codes produits correspondant à des dispositifs médicaux</t>
  </si>
  <si>
    <t>Répartition par pays</t>
  </si>
  <si>
    <t>Répartition par groupe de pays</t>
  </si>
  <si>
    <t>Pays</t>
  </si>
  <si>
    <t>Part des masses importées</t>
  </si>
  <si>
    <t>Étiquettes de lignes</t>
  </si>
  <si>
    <t>Somme de Valeur</t>
  </si>
  <si>
    <t>Chine</t>
  </si>
  <si>
    <t>Europe de l'Ouest</t>
  </si>
  <si>
    <t>Allemagne</t>
  </si>
  <si>
    <t>Pays-Bas</t>
  </si>
  <si>
    <t>Autre Europe</t>
  </si>
  <si>
    <t>Belgique</t>
  </si>
  <si>
    <t>US/Canada</t>
  </si>
  <si>
    <t>Etats-Unis</t>
  </si>
  <si>
    <t>Autre Asie du Sud Est</t>
  </si>
  <si>
    <t>Danemark</t>
  </si>
  <si>
    <t>Autre - Amérique</t>
  </si>
  <si>
    <t>Italie</t>
  </si>
  <si>
    <t>Afrique du Nord</t>
  </si>
  <si>
    <t>Royaume-Unis</t>
  </si>
  <si>
    <t>Japon ou Corée ou Taiwan</t>
  </si>
  <si>
    <t>Pologne</t>
  </si>
  <si>
    <t>Autre Asie</t>
  </si>
  <si>
    <t>Espagne</t>
  </si>
  <si>
    <t>Inde</t>
  </si>
  <si>
    <t>République Tchéque</t>
  </si>
  <si>
    <t>Océanie</t>
  </si>
  <si>
    <t>Mexique</t>
  </si>
  <si>
    <t>Autre - Afrique</t>
  </si>
  <si>
    <t>Hongrie</t>
  </si>
  <si>
    <t>Autre</t>
  </si>
  <si>
    <t>Thaïlande</t>
  </si>
  <si>
    <t>Résultats - relocalisation</t>
  </si>
  <si>
    <t>0 - Résultats</t>
  </si>
  <si>
    <t>Poches à perfusion</t>
  </si>
  <si>
    <t>Casaque</t>
  </si>
  <si>
    <t>Verres de lunettes</t>
  </si>
  <si>
    <t>Emissions en kgCO2e</t>
  </si>
  <si>
    <t>Asie</t>
  </si>
  <si>
    <t>France</t>
  </si>
  <si>
    <t>Production</t>
  </si>
  <si>
    <t>Total par unité</t>
  </si>
  <si>
    <t>I - Données utilisées</t>
  </si>
  <si>
    <t xml:space="preserve">On rappelle ici les données calculées dans les autres onglets de ce fichier : </t>
  </si>
  <si>
    <t>Production du semi-fini et surfaçage en France</t>
  </si>
  <si>
    <t>Production du semi-fini et surfaçage hors de France</t>
  </si>
  <si>
    <t>Intrants chimiques</t>
  </si>
  <si>
    <t>Consommations d'énergie</t>
  </si>
  <si>
    <t>Immobilisations et déplacements domicile-travail</t>
  </si>
  <si>
    <t>Livraison</t>
  </si>
  <si>
    <t>Fin de vie des déchets industriels</t>
  </si>
  <si>
    <t>Casaques</t>
  </si>
  <si>
    <t>Emissions (en kgCO2e/kg de produit)</t>
  </si>
  <si>
    <t xml:space="preserve"> Asie</t>
  </si>
  <si>
    <t>Stérilisation</t>
  </si>
  <si>
    <t>Source : EcoInvent</t>
  </si>
  <si>
    <t>Hors transport en avion</t>
  </si>
  <si>
    <t>Périmètre pris en compte</t>
  </si>
  <si>
    <t>Catégorie</t>
  </si>
  <si>
    <t>Analyse des données disponible</t>
  </si>
  <si>
    <t>Analyse des données manquantes</t>
  </si>
  <si>
    <t>Lancement des contacts pour données manquantes</t>
  </si>
  <si>
    <t>Calculs des émissions</t>
  </si>
  <si>
    <t>Vérification résultats</t>
  </si>
  <si>
    <t>Précisions périmètre</t>
  </si>
  <si>
    <t>Rapport intermédiaire</t>
  </si>
  <si>
    <t>Prise en compte - RF</t>
  </si>
  <si>
    <t>Equipements de protection individuelle</t>
  </si>
  <si>
    <t>Données de consommation à préciser - manque masques, pantalons, etc.</t>
  </si>
  <si>
    <t>oui</t>
  </si>
  <si>
    <t>Prise en compte totale</t>
  </si>
  <si>
    <t>Consommables en plastiques utilisés à l'hôpital (poches, tubes, etc.)</t>
  </si>
  <si>
    <t>Pour l'instant, focus sur les laryngoscopes et les endoscopes</t>
  </si>
  <si>
    <t>Produits pour l'urologie et la stomathérapie</t>
  </si>
  <si>
    <t>non</t>
  </si>
  <si>
    <t>Prise en compte partielle</t>
  </si>
  <si>
    <t>Pas de données de composition des pansements</t>
  </si>
  <si>
    <t>Pas pris en compte mais description qualitative</t>
  </si>
  <si>
    <t>Autres consommables : sutures, aiguilles, hémodialyseurs, etc.</t>
  </si>
  <si>
    <t>peut-être</t>
  </si>
  <si>
    <t>Autocontrôle, autosurveillance et autotraitement du diabète</t>
  </si>
  <si>
    <t>Pas pris en compte</t>
  </si>
  <si>
    <t>Orthèses, Prothèses et Aides techniques</t>
  </si>
  <si>
    <t>Optique médicale : verres, montures, lentilles de contact</t>
  </si>
  <si>
    <t>à terminer</t>
  </si>
  <si>
    <t>Audioprothèses</t>
  </si>
  <si>
    <t>Orthèses (orthèses de contention, attelles, etc.)</t>
  </si>
  <si>
    <t>Aides techniques : fauteuils, lits médicalisés, béquilles, etc.</t>
  </si>
  <si>
    <t>Grand appareillage</t>
  </si>
  <si>
    <t>Uniquement les prothèses de membres inférieurs et supérieurs</t>
  </si>
  <si>
    <t>Orthèses sur mesure : podo-orthèses, etc.</t>
  </si>
  <si>
    <t>Equipements
électro-médicaux</t>
  </si>
  <si>
    <t>Equipement d'imagerie</t>
  </si>
  <si>
    <t>Manque à préciser les émissions des échographes, et affiner le calcul des équipements annexes</t>
  </si>
  <si>
    <t>Appareils d'aide à la respiration</t>
  </si>
  <si>
    <t>Manque données de consommation précises</t>
  </si>
  <si>
    <t>Dispositifs implantables et instruments</t>
  </si>
  <si>
    <t>Prothèses articulaires : hanche, genou, rachis uniquement</t>
  </si>
  <si>
    <t>Stimulateurs, défibrillateurs, sondes</t>
  </si>
  <si>
    <t>Autres implants : stents, bioprothèses, implants neuronaux</t>
  </si>
  <si>
    <t>Dispositifs de diagnostic in-vitro</t>
  </si>
  <si>
    <t>Réactifs de diagnostic</t>
  </si>
  <si>
    <t>Manque données de consommation</t>
  </si>
  <si>
    <t>Automates</t>
  </si>
  <si>
    <t>Manque données de consommation + données composition des réactifs</t>
  </si>
  <si>
    <t>DM numériques</t>
  </si>
  <si>
    <t>Dans cet onglet, on cherche à estimer la quantitié de consommables en plastique consommés en France à l'hôpital.</t>
  </si>
  <si>
    <t>I - Consommation annuelle à l'hôpital</t>
  </si>
  <si>
    <t>1) Etude de littérature</t>
  </si>
  <si>
    <t>Pour estimer les consommations hospitalières de consommables, on se base dans un premier temps sur l'analyse des déchets hospitaliers.</t>
  </si>
  <si>
    <t>https://anap.fr/s/article/rse-publication-556</t>
  </si>
  <si>
    <t>Parmi ces déchets, on compte une grande quantité de dispositifs médicaux et d'emballages de produits de santé, et notamment en plastique.</t>
  </si>
  <si>
    <t>L'ONG HealthCare Without Harm a ainsi mené un audit des déchets produits dans 5 hôpitaux européens.</t>
  </si>
  <si>
    <t>https://europe.noharm.org/media/4544/download?inline=1</t>
  </si>
  <si>
    <t>Trois sources nous donne alors une décomposition plus précise de ces déchets :</t>
  </si>
  <si>
    <t>Répartition des déchets de produits médicaux en plastique</t>
  </si>
  <si>
    <t>Source 1 : HealthCare Without Harm waste audit</t>
  </si>
  <si>
    <t xml:space="preserve">Poches de solution intraveineuse </t>
  </si>
  <si>
    <t xml:space="preserve">Vêtements de protection jetables (tissus non tissés) </t>
  </si>
  <si>
    <t>Seringues</t>
  </si>
  <si>
    <t>Couches, protections pour l'incontinence et alèses</t>
  </si>
  <si>
    <t>Systèmes d'administration intraveineuse</t>
  </si>
  <si>
    <t>Type de produit</t>
  </si>
  <si>
    <t>Poids en tonnes</t>
  </si>
  <si>
    <t>Source 2 : Analyse des achats du NHS en 2014/2015</t>
  </si>
  <si>
    <t>https://swsenate.nhs.uk/wp-content/uploads/2020/01/Datagreen-is-the-new-blue2-1.pdf</t>
  </si>
  <si>
    <t>Vêtements de protection à usage unique pour la salle d'opération (dont champs opératoires)</t>
  </si>
  <si>
    <t>Lingettes jetables et produits de nettoyage</t>
  </si>
  <si>
    <t>Produits de restauration, vaisselle et équipement léger</t>
  </si>
  <si>
    <t>Produits polymères (tabliers et sacs)</t>
  </si>
  <si>
    <t>Articles creux médicaux</t>
  </si>
  <si>
    <t>Produits de soin de continence jetables</t>
  </si>
  <si>
    <t>Systèmes de collecte de sang (tubes d’échantillon et seringues)</t>
  </si>
  <si>
    <t>Soins des plaies généraux</t>
  </si>
  <si>
    <t>Consommables pour succion (cathéters, tubulures, drains)</t>
  </si>
  <si>
    <t>Seringues, aiguilles et produits associés</t>
  </si>
  <si>
    <t>Conteneurs pour déchets cliniques</t>
  </si>
  <si>
    <t>Emballages médicaux et produits stériles supplémentaires</t>
  </si>
  <si>
    <t>Produits de systèmes de connexion sans aiguille</t>
  </si>
  <si>
    <t>Produits d’urologie (sacs de drainage, cathéters, etc.)</t>
  </si>
  <si>
    <t>TOTAL</t>
  </si>
  <si>
    <t>Source 3 : Ivanović et al., (2022)</t>
  </si>
  <si>
    <t>https://www.sciencedirect.com/science/article/pii/S0921344922002683#sec0024</t>
  </si>
  <si>
    <t>Catégorie de produit</t>
  </si>
  <si>
    <t>Extrapolation : total produits (tonnes/an)</t>
  </si>
  <si>
    <t>Dispositifs de contact : catheters, seringues, aiguilles</t>
  </si>
  <si>
    <t>Anesthésie (Tubes/Masks/Filters)</t>
  </si>
  <si>
    <t>Soins généraux</t>
  </si>
  <si>
    <t>Équipements de protection individuelle (EPI)</t>
  </si>
  <si>
    <t>Textiles chirurgicaux</t>
  </si>
  <si>
    <t>Protection visage et corps</t>
  </si>
  <si>
    <t>Consommation de matériaux, kg/an</t>
  </si>
  <si>
    <t>Consommation de matériaux, g/patient/jour</t>
  </si>
  <si>
    <t xml:space="preserve">On obtient finalement : </t>
  </si>
  <si>
    <t>Unité</t>
  </si>
  <si>
    <t>kg par an</t>
  </si>
  <si>
    <t>Nombre de lits et places en 2022</t>
  </si>
  <si>
    <t>Lits et places</t>
  </si>
  <si>
    <t>https://drees.solidarites-sante.gouv.fr/sites/default/files/2023-12/ER1289.pdf</t>
  </si>
  <si>
    <t>Quantité de déchets par an</t>
  </si>
  <si>
    <t>tonnes</t>
  </si>
  <si>
    <t>Pourcentage de plastique</t>
  </si>
  <si>
    <t>Quantité de déchets plastique par an</t>
  </si>
  <si>
    <t>Pourcentage de plastiques des produits médicaux dans les plastiques hospitaliers</t>
  </si>
  <si>
    <t>cf précédemment</t>
  </si>
  <si>
    <t>Quantité de déchets plastique par an issu des produits médicaux</t>
  </si>
  <si>
    <t>Répartition d'après source 1</t>
  </si>
  <si>
    <t>dont gants à usage unique</t>
  </si>
  <si>
    <t xml:space="preserve">dont poches de solution intraveineuse </t>
  </si>
  <si>
    <t xml:space="preserve">dont vêtements de protection jetables (tissus non tissés) </t>
  </si>
  <si>
    <t>dont seringues</t>
  </si>
  <si>
    <t>dont couches, protections pour l'incontinence et alèses</t>
  </si>
  <si>
    <t>dont systèmes d'administration intraveineuse</t>
  </si>
  <si>
    <t>dont autres</t>
  </si>
  <si>
    <t>Répartition d'après source 2</t>
  </si>
  <si>
    <t>dont vêtements de protection à usage unique pour la salle d'opération (dont champs opératoires)</t>
  </si>
  <si>
    <t>dont produits polymères (tabliers et sacs)</t>
  </si>
  <si>
    <t>dont articles creux médicaux</t>
  </si>
  <si>
    <t>dont produits de soin de continence jetables</t>
  </si>
  <si>
    <t>dont systèmes de collecte de sang (tubes d’échantillon et seringues)</t>
  </si>
  <si>
    <t>dont soins des plaies généraux</t>
  </si>
  <si>
    <t>dont consommables d'aspiration</t>
  </si>
  <si>
    <t>dont seringues, aiguilles et produits associés</t>
  </si>
  <si>
    <t>dont emballages médicaux et produits stériles supplémentaires</t>
  </si>
  <si>
    <t>dont produits de systèmes de connexion sans aiguille</t>
  </si>
  <si>
    <t>dont produits d’urologie (sacs de drainage, cathéters, etc.)</t>
  </si>
  <si>
    <t>Ces données semblent être confirmées par les données de la source 3.</t>
  </si>
  <si>
    <t>2) Bilan : consommation de consommables en plastique à l'hôpital en France</t>
  </si>
  <si>
    <t xml:space="preserve">A partir des sources précédentes, on obtient : </t>
  </si>
  <si>
    <t>Quantité consommées (en tonnes)</t>
  </si>
  <si>
    <t>Moyenne sources 1, 2 et 3</t>
  </si>
  <si>
    <t>Vêtements de protection à usage unique et champs</t>
  </si>
  <si>
    <t>Produits pour incontinence</t>
  </si>
  <si>
    <t>Articles creux médicaux : plateaux, bassines, pots, etc.</t>
  </si>
  <si>
    <t>Source 2</t>
  </si>
  <si>
    <t>Systèmes de collecte de sang : tubes d’échantillon, seringues</t>
  </si>
  <si>
    <t>Consommables d'aspiration : tubulures, drains, etc.</t>
  </si>
  <si>
    <t>Seringues et produits associés</t>
  </si>
  <si>
    <t>Produits d’urologie : sacs de drainage, cathéters, etc.</t>
  </si>
  <si>
    <t>"Autres" source 1 - source 2</t>
  </si>
  <si>
    <t xml:space="preserve">A partir des sections ci-après, on obtient : </t>
  </si>
  <si>
    <t>Dispositifs urologie et stomathérapie</t>
  </si>
  <si>
    <t>Transport et livraison</t>
  </si>
  <si>
    <t>Gants, casaques et champs opératoires</t>
  </si>
  <si>
    <t xml:space="preserve">A l'aide des calculs obtenus précédemment, on obtient : </t>
  </si>
  <si>
    <t>Europe hors France
Gants</t>
  </si>
  <si>
    <t xml:space="preserve"> France</t>
  </si>
  <si>
    <t>Europe hors France
Casaques</t>
  </si>
  <si>
    <t>Europe hors France
Champs opératoires</t>
  </si>
  <si>
    <t>On peut ensuite obtenir une répartition de la production française, européenne, et hors européenne à l'aide de la partie 'transport" :</t>
  </si>
  <si>
    <t>Production hors Europe</t>
  </si>
  <si>
    <t>Production Europe hors France</t>
  </si>
  <si>
    <t>Production France</t>
  </si>
  <si>
    <t>Champs</t>
  </si>
  <si>
    <t xml:space="preserve">Et donc : </t>
  </si>
  <si>
    <t>Valeur basse</t>
  </si>
  <si>
    <t>Emissions totales (ktCO2e)</t>
  </si>
  <si>
    <t>Casaques et champs</t>
  </si>
  <si>
    <t>Consommation annuelle - valeur haute (en tonnes)</t>
  </si>
  <si>
    <t>Consommation annuelle - valeur bassse (en tonnes)</t>
  </si>
  <si>
    <t>Emissions annuelles - valeur haute (en ktCO2e)</t>
  </si>
  <si>
    <t>Emissions annuelles - valeur basse (en ktCO2e)</t>
  </si>
  <si>
    <t>Casaques, champs et blouses</t>
  </si>
  <si>
    <t>I - Consommation annuelle en France</t>
  </si>
  <si>
    <t>1) Consommations hospitalières</t>
  </si>
  <si>
    <t>Quantité annuelle consommée (en tonne)</t>
  </si>
  <si>
    <t>Casaque et champs opératoires</t>
  </si>
  <si>
    <t xml:space="preserve">Dans un second temps, on utilise des données communiqués par des CH, CHU et groupements d'hôpitaux. En moyennant ces données extrapolées à la France entière, on obtient : </t>
  </si>
  <si>
    <t>Consommation annuelle à l'hôpital (en nombre d'unité ou de m2)</t>
  </si>
  <si>
    <t>Poids total (en tonnes)</t>
  </si>
  <si>
    <t>Données experts</t>
  </si>
  <si>
    <t>https://fr.vygon.com/fr/produits/chirurgie/casaque/casaque-chirurgicale-standard/casaque-standard</t>
  </si>
  <si>
    <t>Cf partie "production champs"</t>
  </si>
  <si>
    <t>BLOUSE - CA DIFFUSION - CARE AND ADVICE</t>
  </si>
  <si>
    <t>Manque encore les masques, pantalons, vestes, sur-chaussures, etc.</t>
  </si>
  <si>
    <t>Codes douaniers</t>
  </si>
  <si>
    <t>Importations (en tonnes)</t>
  </si>
  <si>
    <t>Exportations (en tonnes)</t>
  </si>
  <si>
    <t>Gants, mitaines et moufles, des types utilisés pour la médecine, la chirurgie, l’art dentaire ou l’art vétérinaire, en caoutchouc vulcanisé</t>
  </si>
  <si>
    <t>Remarque : les gants peuvent également appartenir à la catégorie "Gants en matières plastiques (39262000)"</t>
  </si>
  <si>
    <t>Blouses à usage unique, en nontissés, du type utilisé par les patients ou les chirurgiens au cours d'interventions chirurgicales</t>
  </si>
  <si>
    <t>Remarque : ne compte que les blouses (et non les pantalons, sur-chaussures, etc.)</t>
  </si>
  <si>
    <t>Draps à usage unique, en nontissés, utilisés au cours des procédures chirurgicales</t>
  </si>
  <si>
    <t>Dans la suite, on utilisera les données issues des données d'établisements extrapolées à la France entière.</t>
  </si>
  <si>
    <t>2) Consommations en ville</t>
  </si>
  <si>
    <t>Pour les chirurgiens dentistes :</t>
  </si>
  <si>
    <t>Masques</t>
  </si>
  <si>
    <t>Hypothèses / source</t>
  </si>
  <si>
    <t>Consommations annuelles par praticien (unités/an)</t>
  </si>
  <si>
    <t>1 praticien.ne, 1 assistant.e dentaire, 15 rdv/jour, 5 jours/semaine, 44 semaines/an = 3300 (FIDUCIAL 2024)</t>
  </si>
  <si>
    <t>Nombre de chirurgiens dentistes</t>
  </si>
  <si>
    <t>https://drees.shinyapps.io/demographie-ps/, libéraux + mixtes comptés à 50% + salariés (centres de santé)</t>
  </si>
  <si>
    <t>Consommations annuelles totale (unité/an)</t>
  </si>
  <si>
    <t>Masse d'une unité (g)</t>
  </si>
  <si>
    <t>Masque chirurgical EN14683 Type 1 - Bleu</t>
  </si>
  <si>
    <t>Poids total consommé (tonnes)</t>
  </si>
  <si>
    <t>Pour les médecins généralistes :</t>
  </si>
  <si>
    <t>https://dumas.ccsd.cnrs.fr/dumas-03909871</t>
  </si>
  <si>
    <t>Nombre de médecins généralistes libéraux</t>
  </si>
  <si>
    <t>II - Evaluation énergie carbone</t>
  </si>
  <si>
    <t>Une fois les consommations estimées, on peux alors faire une estimation des émissions induites par ces consommations.</t>
  </si>
  <si>
    <t>1) Matières premières et production</t>
  </si>
  <si>
    <t>a) Gants</t>
  </si>
  <si>
    <t>--- V1 de calcul ---</t>
  </si>
  <si>
    <t>Pour les gants en nitrile, on utilise l'étude d'Ecovamed qui compare l'empreinte de la fabrication de gants en Malaisie, en Chine et en France.</t>
  </si>
  <si>
    <t>https://uploads-ssl.webflow.com/6151b650ce4cd9198b1fd7e8/627f75037e1c2e5957121d9a_Analyse_de_cycle_de_vie_Gants_Nitrile_ECOVAMED_Mai-2022.pdf</t>
  </si>
  <si>
    <t>On fait l'hypothèse que l'étude a utilisé les facteurs d'émissions de la Base Empreinte.</t>
  </si>
  <si>
    <t xml:space="preserve">Ainsi, on en déduit d'après le graphe précédent : </t>
  </si>
  <si>
    <t>Consommation d'électricité pour la production</t>
  </si>
  <si>
    <t>kWh</t>
  </si>
  <si>
    <t>Empreinte carbone - hors production et transport</t>
  </si>
  <si>
    <t>gCO2e</t>
  </si>
  <si>
    <t xml:space="preserve">Masse d'un gant dans l'étude : </t>
  </si>
  <si>
    <t>grammes</t>
  </si>
  <si>
    <t>Emissions liées aux matières premières</t>
  </si>
  <si>
    <t>Environ la moitié des consommations de gants sont en nitrile, et la moitié en PVC. On utilise ensuite des données construites à partir d'EcoInvent.</t>
  </si>
  <si>
    <t>Emissions liées aux matières premières (kgCO2e/kg de produit)</t>
  </si>
  <si>
    <t>kgCO2e/kg de produit</t>
  </si>
  <si>
    <t xml:space="preserve">Et les émissions liées à la production : </t>
  </si>
  <si>
    <t>Europe</t>
  </si>
  <si>
    <t>Malaisie</t>
  </si>
  <si>
    <t>Emissions liées à la production (gCO2e)</t>
  </si>
  <si>
    <t>Emissions liées à la production (kgCO2e/kg de produit)</t>
  </si>
  <si>
    <t>--- V2 de calcul ---</t>
  </si>
  <si>
    <t>Matières premières et production, pour un gant de 4 grammes produit en Asie</t>
  </si>
  <si>
    <t>Production d'acetonitrile (en kgCO2e/kg)</t>
  </si>
  <si>
    <t>On fait également l'hypothèse que les pays européens se fournissent à 50% en Europe et à 50% hors Europe.</t>
  </si>
  <si>
    <t xml:space="preserve">On fait l'hypothèse des mêmes émissions lies à la production que calculées précédemment. On obtient alors : </t>
  </si>
  <si>
    <t>b) Casaques</t>
  </si>
  <si>
    <t>On fait l'hypothèse que les casaques sont en polypropylène non-tissé ("type SMS")</t>
  </si>
  <si>
    <t>Pour la coupe, couture, assemblage, on utilise les consommations énergétiques identifiées par Tobin, B. (2021) :</t>
  </si>
  <si>
    <t>Microsoft Word - LCA Surgical Care Products-9maj-MASKERAD.docx</t>
  </si>
  <si>
    <t>Emissions liées à la coupe, au tissage, et à l'assemblage</t>
  </si>
  <si>
    <t>Facteur d'émission - Chine</t>
  </si>
  <si>
    <t>Facteur d'émissions - Europe</t>
  </si>
  <si>
    <t>Facteur d'émissions - France</t>
  </si>
  <si>
    <t>Electricité</t>
  </si>
  <si>
    <t>kWh/kg de produit</t>
  </si>
  <si>
    <t>kgCO2e/kWh</t>
  </si>
  <si>
    <t>Electricity, medium voltage</t>
  </si>
  <si>
    <t>Gaz</t>
  </si>
  <si>
    <t>kgCO2e/kWh PCI</t>
  </si>
  <si>
    <t>Base Empreinte</t>
  </si>
  <si>
    <t>On ajoutera 10% de pertes pour les déchets issus des chutes de production.</t>
  </si>
  <si>
    <t>Pour les casaques fabriquées en Asie du Sud-Est ou en Chine, on utilise le facteur d'émissions associé à l'Inde (étant donnée que les facteurs d'émissions associés à l'électricité diffèrent peu).</t>
  </si>
  <si>
    <t xml:space="preserve">Ainsi, en utilisant les facteurs d'émissions d'Ecoinvent pour la production de polypropylene, de tissu non-tissé et de l'électricité, on obtient : </t>
  </si>
  <si>
    <t>Emissions - Asie (kgCO2e/kg)</t>
  </si>
  <si>
    <t>Emissions - Europe (kgCO2e/kg)</t>
  </si>
  <si>
    <t>Emissions - France (kgCO2e/kg)</t>
  </si>
  <si>
    <t>Matières premières plastiques</t>
  </si>
  <si>
    <t>Transformations en tissu non-tissé</t>
  </si>
  <si>
    <t>Coupe, couture, assemblage</t>
  </si>
  <si>
    <t>Production en salle blanche</t>
  </si>
  <si>
    <t>Total - Matières premières et production</t>
  </si>
  <si>
    <t>c) Champs opératoires</t>
  </si>
  <si>
    <t xml:space="preserve">On regarde différentes sources qui donnent la répartition de matière et les masses par m2 de champs opératoire : </t>
  </si>
  <si>
    <t>Champs de chirurgie stériles</t>
  </si>
  <si>
    <t>28g PP (fibres absorbantes en non tissé) + 25 g PE (film plastique imperméable)</t>
  </si>
  <si>
    <t>Drap stérile champ de table – Matériel médical et chirurgie pas cher</t>
  </si>
  <si>
    <t> feuille opaque de polyéthylène doublée d’une feuille absorbante de cellulose. </t>
  </si>
  <si>
    <t>Champ opératoire adhésif stérile Molnlycke - 75 x 90 cm - LD Medical</t>
  </si>
  <si>
    <t>nontissé viscose 23 g/m², film polyéthylène 27,5</t>
  </si>
  <si>
    <t xml:space="preserve">On fait donc l'hypothèse suivante : </t>
  </si>
  <si>
    <r>
      <rPr>
        <b/>
        <sz val="11"/>
        <color rgb="FF7030A0"/>
        <rFont val="Arial"/>
        <family val="2"/>
        <scheme val="minor"/>
      </rPr>
      <t>Hyp :</t>
    </r>
    <r>
      <rPr>
        <sz val="11"/>
        <color theme="1"/>
        <rFont val="Arial"/>
        <family val="2"/>
        <scheme val="minor"/>
      </rPr>
      <t xml:space="preserve"> les champs opératoires sont composés de deux couches, l'une de 25g/m2 en viscose non-tissé, et l'une de 25g/m2 en film de polyethylène.</t>
    </r>
  </si>
  <si>
    <t>On utilise ensuite les facteurs d'émissions d'Ecoinvent pour la production de viscose et de polyethylène.</t>
  </si>
  <si>
    <t>Viscose</t>
  </si>
  <si>
    <t xml:space="preserve">Pour la production, on utilise notamment des chiffres identifés pour la production des casaques : </t>
  </si>
  <si>
    <t>Facteur d'émissions - Asie (kgCO2e/kg)</t>
  </si>
  <si>
    <t>Facteur d'émissions - Europe (kgCO2e/kg)</t>
  </si>
  <si>
    <t>Facteur d'émissions - France (kgCO2e/kg)</t>
  </si>
  <si>
    <t>Viscose - Transformations en tissu non-tissé</t>
  </si>
  <si>
    <t>Cf calcul production casaque</t>
  </si>
  <si>
    <t>On ajoutera 5% pour tenir compte des chutes de production.</t>
  </si>
  <si>
    <t>On ajoute également la production en salle blanche. On  prend les mêmes valeurs par kg que pour l'injection de plastique</t>
  </si>
  <si>
    <t xml:space="preserve">Et finalement, on obtient : </t>
  </si>
  <si>
    <t>2) Emballages</t>
  </si>
  <si>
    <t>On néglige les emballages des gants médicaux.</t>
  </si>
  <si>
    <t>a) Casaques</t>
  </si>
  <si>
    <t>Les casaques ont un double emballage, et sont fournies avec 2 essuis mains.</t>
  </si>
  <si>
    <t>On utilise l'étude suivante, qui a pesé les DM et les emballages associés pour de nombreux produits.</t>
  </si>
  <si>
    <t>The carbon footprint of products used in five common surgical operations: identifying contributing products and processes - Chantelle Rizan, Robert Lillywhite, Malcom Reed, Mahmood F Bhutta, 2023</t>
  </si>
  <si>
    <t>Masses (en g)</t>
  </si>
  <si>
    <t>Casaque - valeur moyenne</t>
  </si>
  <si>
    <t>Casaque à usage unique 1</t>
  </si>
  <si>
    <t>Casaque à usage unique 2</t>
  </si>
  <si>
    <t>Casaque à usage unique 3</t>
  </si>
  <si>
    <t>Casaque à usage unique 4</t>
  </si>
  <si>
    <t>Papier (essuies-mains)</t>
  </si>
  <si>
    <t>Papier (packaging)</t>
  </si>
  <si>
    <t>Film plastique</t>
  </si>
  <si>
    <t>Les emballages en papier sont en SMS (spunbond/melt-blown/spunbond) sont fabriqués à partir de fibres de polypropylène 100% synthétiques.</t>
  </si>
  <si>
    <t xml:space="preserve">A partir des facteurs d'émissions d'Ecoinvent et de la Base Empreinte on obtient : </t>
  </si>
  <si>
    <t xml:space="preserve">Empreinte carbone de la fabrication des emballages : </t>
  </si>
  <si>
    <t>kgCO2e/kg de casaque</t>
  </si>
  <si>
    <t>b) Champs opératoires</t>
  </si>
  <si>
    <t>Champs - Total (en g)</t>
  </si>
  <si>
    <t>Champs à usage unique 1</t>
  </si>
  <si>
    <t>Champs à usage unique 2</t>
  </si>
  <si>
    <t>Champs à usage unique 3</t>
  </si>
  <si>
    <t>Champs à usage unique 4</t>
  </si>
  <si>
    <t>Champs à usage unique 5</t>
  </si>
  <si>
    <t>Champs à usage unique 6</t>
  </si>
  <si>
    <t>Champs à usage unique 7</t>
  </si>
  <si>
    <t>Champs à usage unique 8</t>
  </si>
  <si>
    <t>Champs opératoires</t>
  </si>
  <si>
    <t>Champs : 21% du poids total</t>
  </si>
  <si>
    <t>kgCO2e/kg de champs</t>
  </si>
  <si>
    <t>Casaque : 17% du poids total</t>
  </si>
  <si>
    <t>3) Stérilisation</t>
  </si>
  <si>
    <t>On suppose que 100% des champs opératoires et des casaques sont stériles.</t>
  </si>
  <si>
    <t>Des données d'achats hospitalières nous permettent de faire l'hypothèse qu'environ 7% des gants sont stériles.</t>
  </si>
  <si>
    <t xml:space="preserve">Ainsi, on obtient, à l'aide des données de consommation, ainsi que de l'Annexe - stérilisation : </t>
  </si>
  <si>
    <t>Pourcentage stérile</t>
  </si>
  <si>
    <t>Empreinte carbone de la stérilisation (kgCO2e/kg de produit)</t>
  </si>
  <si>
    <t>Empreinte carbone (en kgCO2e / kg de produit)</t>
  </si>
  <si>
    <t>4) Transport</t>
  </si>
  <si>
    <t>Provenance</t>
  </si>
  <si>
    <t>On regarde les données douanières d'importations pour les codes suivants :</t>
  </si>
  <si>
    <t>Libellé</t>
  </si>
  <si>
    <t>Code douanier</t>
  </si>
  <si>
    <t>Indeterminé</t>
  </si>
  <si>
    <t>Gants en caoutchouc à usage médical</t>
  </si>
  <si>
    <t>Blouses à usage unique, en nontissés, du type utilisé par les patients ou les chirurgiens au cours d'interventions chirurgicales.</t>
  </si>
  <si>
    <t>Il manque les données de production française.</t>
  </si>
  <si>
    <t xml:space="preserve">On fait également l'hypothèse suivante : </t>
  </si>
  <si>
    <r>
      <rPr>
        <b/>
        <sz val="11"/>
        <color rgb="FF7030A0"/>
        <rFont val="Arial"/>
        <family val="2"/>
        <scheme val="minor"/>
      </rPr>
      <t>Hyp :</t>
    </r>
    <r>
      <rPr>
        <sz val="11"/>
        <color theme="1"/>
        <rFont val="Arial"/>
        <family val="2"/>
        <scheme val="minor"/>
      </rPr>
      <t xml:space="preserve"> la part de la production française dans la consommation française est égale à la part d'importation d'Europe de l'Ouest divisé par 2.</t>
    </r>
  </si>
  <si>
    <t>Ainsi:</t>
  </si>
  <si>
    <t>Part de fabrication française</t>
  </si>
  <si>
    <t xml:space="preserve">On utilise également les données d'Eurostat pour les gants : </t>
  </si>
  <si>
    <t>HS code 401512</t>
  </si>
  <si>
    <t>Part pour les importations de pays hors Europe</t>
  </si>
  <si>
    <t>Transport par fret aérien</t>
  </si>
  <si>
    <t>On fait donc l'hypothèse que 100% du fret depuis les pays hors européen est du fret maritime.</t>
  </si>
  <si>
    <t xml:space="preserve">Ainsi, à l'aide de l'annexe - logistique, on obtient : </t>
  </si>
  <si>
    <t>Nombre de kilomètres camion - pays de production</t>
  </si>
  <si>
    <t>Nombre de kilomètres bateau</t>
  </si>
  <si>
    <t>Nombre de kilomètre camion - France</t>
  </si>
  <si>
    <t>On rappelle le poids des emballages, par kg de produit :</t>
  </si>
  <si>
    <t>Poids des emballages (en kg par kg de produit)</t>
  </si>
  <si>
    <t xml:space="preserve">On convertit enfin ces distances parcourues en GES avec les facteurs d'émissions reportés dans l'Annexe - Logistique : </t>
  </si>
  <si>
    <t>Emissions par kg - production hors Europe (kgCO2e)</t>
  </si>
  <si>
    <t>Emissions par kg - production Europe hoors France (kgCO2e)</t>
  </si>
  <si>
    <t>Emissions par kg - production France (kgCO2e)</t>
  </si>
  <si>
    <t>Transport camion - pays de production</t>
  </si>
  <si>
    <t>Transport bâteau</t>
  </si>
  <si>
    <t>Transport camion - France</t>
  </si>
  <si>
    <t>5) Fin de vie</t>
  </si>
  <si>
    <t>Dans la plupart des cas, les EPI peuvent être assimilés à des DAOM plutôt qu'à des DASRI, dont la fin de vie est plus énergivore.</t>
  </si>
  <si>
    <t>Néanmoins, dans certins cas, ceux-ci sont jetés par erreur dans les DASRI.</t>
  </si>
  <si>
    <t>https://archive.ansm.sante.fr/var/ansm_site/storage/original/application/c0881702f5b28bed08f2c61f249508fd.pdf</t>
  </si>
  <si>
    <r>
      <rPr>
        <b/>
        <sz val="11"/>
        <color rgb="FF7030A0"/>
        <rFont val="Arial"/>
        <family val="2"/>
        <scheme val="minor"/>
      </rPr>
      <t>Hyp :</t>
    </r>
    <r>
      <rPr>
        <sz val="11"/>
        <color theme="1"/>
        <rFont val="Arial"/>
        <family val="2"/>
        <scheme val="minor"/>
      </rPr>
      <t xml:space="preserve"> 50% des EPI sont jetés dans la poubelle DASRI.</t>
    </r>
  </si>
  <si>
    <t>On fait également l'hypothèse que les emballages sont considérés comme ordures ménagères.</t>
  </si>
  <si>
    <t xml:space="preserve">On utilise alors les facteurs d'émissions suivants : </t>
  </si>
  <si>
    <t>DASRI</t>
  </si>
  <si>
    <t>kgCO2e/tonne</t>
  </si>
  <si>
    <t>(4) DAS/Incinération - Impacts, Base Empreinte</t>
  </si>
  <si>
    <t>DAOM - Fin de vie moyenne - Impacts</t>
  </si>
  <si>
    <t>Base Empreinte - Ordures ménagères résiduelles/Fin de vie moyenne - Impacts</t>
  </si>
  <si>
    <t xml:space="preserve">Ainsi, on obtient : </t>
  </si>
  <si>
    <t>Fin de vie produit (kgCO2e/tonne</t>
  </si>
  <si>
    <t>Fin de vie des emballages (kgCO2e/tonne)</t>
  </si>
  <si>
    <t>Fin de vie total (kgCO2e/tonne)</t>
  </si>
  <si>
    <t>On exclut de cette section les gants, casaques et champs opératoires, traités précedemment.</t>
  </si>
  <si>
    <t>On regarde les données reportées dans l'onglet "Consommables - consos hospitalières" :</t>
  </si>
  <si>
    <t>Consommables d'aspiration</t>
  </si>
  <si>
    <t>Illustration</t>
  </si>
  <si>
    <t>1) Matières premières et fabrication</t>
  </si>
  <si>
    <t>Pour la composition des matériaux, on se base ici sur une étude allemande :</t>
  </si>
  <si>
    <t>https://ars.els-cdn.com/content/image/1-s2.0-S0921344922002683-mmc1.pdf</t>
  </si>
  <si>
    <t>Masse totale de produit (en g/jour/patient</t>
  </si>
  <si>
    <t>PP</t>
  </si>
  <si>
    <t>PET</t>
  </si>
  <si>
    <t>PE</t>
  </si>
  <si>
    <t>PS</t>
  </si>
  <si>
    <t>PVC</t>
  </si>
  <si>
    <t>PU</t>
  </si>
  <si>
    <t>Caoutchouc</t>
  </si>
  <si>
    <t>Autre polymère</t>
  </si>
  <si>
    <t xml:space="preserve">Sets de perfusion ; seringues ; systèmes d'administration intraveineux ; sondes urinaires ; drainage et d'aspiration postopératoire </t>
  </si>
  <si>
    <t>Anesthésie (masques, etc.)</t>
  </si>
  <si>
    <t xml:space="preserve">On retrouve une proportion comparable pour le PVC dans les consommations européennes : </t>
  </si>
  <si>
    <t>Répartition</t>
  </si>
  <si>
    <t>Facts and figures | PVCMed Alliance</t>
  </si>
  <si>
    <t>PS, PET, PU</t>
  </si>
  <si>
    <t>Autres polymères</t>
  </si>
  <si>
    <t xml:space="preserve">A partir des facteurs d'émissions calculés à partir d'Ecoinvent, on obtient : </t>
  </si>
  <si>
    <t>Production (ktCO2e)</t>
  </si>
  <si>
    <t>Consommation annuelle (en tonne)</t>
  </si>
  <si>
    <t>Matières premières (ktCO2e)</t>
  </si>
  <si>
    <t xml:space="preserve">Injection de plastique  </t>
  </si>
  <si>
    <t>Consommations des salles blanches</t>
  </si>
  <si>
    <t>Pertes matériaux lors de l'injection</t>
  </si>
  <si>
    <t>Total production</t>
  </si>
  <si>
    <t>Hypothèse retenue = facteur d'émissions d'une production européenne</t>
  </si>
  <si>
    <t xml:space="preserve">On utilise les données issues d'une source analysant le sflux de matières d'un bloc opératoire : </t>
  </si>
  <si>
    <t>https://link.springer.com/article/10.1007/s00134-022-06940-6</t>
  </si>
  <si>
    <t>Ratio packaging / total</t>
  </si>
  <si>
    <t>Ratio product / total</t>
  </si>
  <si>
    <t>Ratio packaging / product</t>
  </si>
  <si>
    <t>Cups, containers and cutlery</t>
  </si>
  <si>
    <t>Disposable trays</t>
  </si>
  <si>
    <t>Disposable bags</t>
  </si>
  <si>
    <t>Tubes and connectors</t>
  </si>
  <si>
    <t>Needles</t>
  </si>
  <si>
    <t>Syringes</t>
  </si>
  <si>
    <t xml:space="preserve">Pour les systèmes d'aspiration, on utilise l'étude suivante : </t>
  </si>
  <si>
    <t>Systèmes d'aspiration</t>
  </si>
  <si>
    <t>Suction tip</t>
  </si>
  <si>
    <t>Suction tubing</t>
  </si>
  <si>
    <t>Suction irrigation</t>
  </si>
  <si>
    <t>Suction receptacle</t>
  </si>
  <si>
    <t>Masse du produit</t>
  </si>
  <si>
    <t>Masse du packaging - papier</t>
  </si>
  <si>
    <t>?</t>
  </si>
  <si>
    <t>Masse du packaging - PE</t>
  </si>
  <si>
    <t>Ratio packaging/produit</t>
  </si>
  <si>
    <t xml:space="preserve">Ainsi, on obtient, pour nos différentes catégories : </t>
  </si>
  <si>
    <t>Catégorie tableau précédent</t>
  </si>
  <si>
    <t>Ratio masse packaging/produit</t>
  </si>
  <si>
    <t>Moyenne pondérée</t>
  </si>
  <si>
    <t xml:space="preserve">On fait alors l'hypothèse suivante : </t>
  </si>
  <si>
    <r>
      <rPr>
        <b/>
        <sz val="11"/>
        <color rgb="FF7030A0"/>
        <rFont val="Arial"/>
        <family val="2"/>
        <scheme val="minor"/>
      </rPr>
      <t xml:space="preserve">Hyp : </t>
    </r>
    <r>
      <rPr>
        <sz val="11"/>
        <color theme="1"/>
        <rFont val="Arial"/>
        <family val="2"/>
        <scheme val="minor"/>
      </rPr>
      <t>La moitié de la masse des emballages est en papier, la moitité est en LDPE.</t>
    </r>
  </si>
  <si>
    <t>On utilise alors les facteurs d'émissions suivants d'Ecoinvent, et on obtient :</t>
  </si>
  <si>
    <t>Poids total consommé (en tonnes)</t>
  </si>
  <si>
    <t>Poids du packaging (en tonnes)</t>
  </si>
  <si>
    <t>Emissions liées à la production du packaging (ktCO2e)</t>
  </si>
  <si>
    <t>On suppose que 100% des consommables sont stériles.</t>
  </si>
  <si>
    <t>Masse de consommables (en comptant les emballages, en tonnes)</t>
  </si>
  <si>
    <t>Empreinte carbone totale (en ktCO2e)</t>
  </si>
  <si>
    <t>Consommables (en comptant les emballages)</t>
  </si>
  <si>
    <t>Somme des importations (en tonne)</t>
  </si>
  <si>
    <t>Aiguilles à sutures, pour la médecine</t>
  </si>
  <si>
    <t>Aiguilles tubulaires en métal, pour la médecine</t>
  </si>
  <si>
    <t>Aiguilles, cathéters, canules et simil. pour la médecine (sauf seringues, aiguilles tubulaires en métal et aiguilles à sutures)</t>
  </si>
  <si>
    <t>Seringues, avec ou sans aiguilles, autres qu'en matières plastiques, pour la médecine</t>
  </si>
  <si>
    <t>Seringues, avec ou sans aiguilles, en matières plastiques, pour la médecine</t>
  </si>
  <si>
    <t>Moyenne pondérée par la masse</t>
  </si>
  <si>
    <t>Il manque les données de la production française.</t>
  </si>
  <si>
    <r>
      <rPr>
        <b/>
        <sz val="11"/>
        <color rgb="FF7030A0"/>
        <rFont val="Arial"/>
        <family val="2"/>
        <scheme val="minor"/>
      </rPr>
      <t>Hyp :</t>
    </r>
    <r>
      <rPr>
        <sz val="11"/>
        <color theme="1"/>
        <rFont val="Arial"/>
        <family val="2"/>
        <scheme val="minor"/>
      </rPr>
      <t xml:space="preserve"> la part de la production française dans la consommation française est égale à la part d'importation d'Europe de l'Ouest.</t>
    </r>
  </si>
  <si>
    <t>Autres consommables hospitaliers</t>
  </si>
  <si>
    <t xml:space="preserve">On utilise également les données d'Eurostat pour les codes douaniers mentionnés précédemment : </t>
  </si>
  <si>
    <t>Transport par fret aérien d'importations des pays d'UE depuis des pays non européens</t>
  </si>
  <si>
    <t>Nombre de kilomètres avion</t>
  </si>
  <si>
    <t>Nombre de kilomètres Avion</t>
  </si>
  <si>
    <t>Emissions en kgCO2e / kg transporté</t>
  </si>
  <si>
    <t>Transport en avion</t>
  </si>
  <si>
    <t>Transport avion</t>
  </si>
  <si>
    <t>Transport bâteau/avion</t>
  </si>
  <si>
    <t>Production Europe Hors France</t>
  </si>
  <si>
    <t>Production hors europe</t>
  </si>
  <si>
    <t xml:space="preserve">Et au total : </t>
  </si>
  <si>
    <t>Emissions par kg de produit</t>
  </si>
  <si>
    <t>kgCO2e/kg</t>
  </si>
  <si>
    <t>Autres consommables hospitaliers - transport</t>
  </si>
  <si>
    <t>ktCO2e</t>
  </si>
  <si>
    <t>Dont fret routier</t>
  </si>
  <si>
    <t>Dont fret intercontinental</t>
  </si>
  <si>
    <t xml:space="preserve">On ajoute également la livraison aux hôpitaux : </t>
  </si>
  <si>
    <t>Autres consommables hospitalie - livraisonrs</t>
  </si>
  <si>
    <t>Dans la plupart des cas, les consommables peuvent être assimilés à des DAOM plutôt qu'à des DASRI, dont la fin de vie est plus énergivore.</t>
  </si>
  <si>
    <r>
      <rPr>
        <b/>
        <sz val="11"/>
        <color rgb="FF7030A0"/>
        <rFont val="Arial"/>
        <family val="2"/>
        <scheme val="minor"/>
      </rPr>
      <t>Hyp :</t>
    </r>
    <r>
      <rPr>
        <sz val="11"/>
        <color theme="1"/>
        <rFont val="Arial"/>
        <family val="2"/>
        <scheme val="minor"/>
      </rPr>
      <t xml:space="preserve"> 50% des consommables (hors emballages) sont jetés dans la poubelle DASRI.</t>
    </r>
  </si>
  <si>
    <t>Fin de vie produit (kgCO2e/kg de produit)</t>
  </si>
  <si>
    <t>Masse total consommée (en tonnes)</t>
  </si>
  <si>
    <t>Fin de vie total (ktCO2e)</t>
  </si>
  <si>
    <t>Consommables plastiques</t>
  </si>
  <si>
    <t>Consommables pour l'urologie et la stomathérapie</t>
  </si>
  <si>
    <t xml:space="preserve">On obtient : </t>
  </si>
  <si>
    <t>Total (en ktCO2e)</t>
  </si>
  <si>
    <t>Sonde urinaire</t>
  </si>
  <si>
    <t>Set de sondage urinaire</t>
  </si>
  <si>
    <t>Collecteur de jambe</t>
  </si>
  <si>
    <t>Collecteur de nuit</t>
  </si>
  <si>
    <t>Etui pénien</t>
  </si>
  <si>
    <t>Poche pour stomie</t>
  </si>
  <si>
    <t>Support pour stomie</t>
  </si>
  <si>
    <t>1) Sonde de drainage vésical intermittente, avec/sans collecteur scellés</t>
  </si>
  <si>
    <t xml:space="preserve">On regarde les données de remboursements de la LPP : </t>
  </si>
  <si>
    <t>Référence</t>
  </si>
  <si>
    <t>Nombre de remboursements</t>
  </si>
  <si>
    <t>Nombre d'unité par remboursement</t>
  </si>
  <si>
    <t>DRAINAGE, SOND INTERMITT STERILE + COLLECT, COLOPLAST, SPEEDICATH COMPACT, B/20</t>
  </si>
  <si>
    <t>DRAINAGE, SONDE VESIC INTERM STER +COLL, PRELUB/HYD, LATEX- B/30,B.BRAUN MEDICAL</t>
  </si>
  <si>
    <t>DRAINAGE, SONDE VESIC INTERM STER +COLL, PRELUB/HYD, LATEX- B/30,COLOPLAST</t>
  </si>
  <si>
    <t>DRAINAGE, SONDE VESIC INTERM STER +COLL, PRELUB/HYD, LATEX- B/30,DENTSPLY SIRONA</t>
  </si>
  <si>
    <t>DRAINAGE, SONDE VESIC INTERM STER +COLL, PRELUB/HYD, LATEX- B/30,HOLLISTER</t>
  </si>
  <si>
    <t>DRAINAGE, SONDE VESIC INTERM STER +COLL, PRELUB/HYD, LATEX- B/30,TELEFLEX MED</t>
  </si>
  <si>
    <t>DRAINAGE, SONDE VESIC INTERM STER +COLL, PRELUB/HYD, LATEX- B/30,VM HEALTH</t>
  </si>
  <si>
    <t>Total sets de sondage urinaire</t>
  </si>
  <si>
    <t>DRAINAGE, SONDE VESIC INTERMIT STER, NON LUB, LATEX-, FEMME B/1,CODAN FR</t>
  </si>
  <si>
    <t>DRAINAGE, SONDE VESIC INTERMIT STER, NON LUB, LATEX-, FEMME B/1,LABO TECHNO</t>
  </si>
  <si>
    <t>DRAINAGE, SONDE VESIC INTERMIT STER, NON LUB, LATEX-, FEMME B/20,COLOPLAST</t>
  </si>
  <si>
    <t>DRAINAGE, SONDE VESIC INTERMIT STER, NON LUB, LATEX-, FEMME B/20,COOP PHARMA FR</t>
  </si>
  <si>
    <t>DRAINAGE, SONDE VESIC INTERMIT STER, NON LUB, LATEX-, FEMME B/20,VYGON</t>
  </si>
  <si>
    <t>DRAINAGE, SONDE VESIC INTERMITT STERILE, COLOPLAST, SPEEDICATH COMPACT, B/30</t>
  </si>
  <si>
    <t>DRAINAGE, SONDE VESIC INTERMITT STERILE, PRELUB/HYD, LATEX- B/1,LABO TECHNO</t>
  </si>
  <si>
    <t>DRAINAGE, SONDE VESIC INTERMITT STERILE, PRELUB/HYD, LATEX- B/20,COLOPLAST</t>
  </si>
  <si>
    <t>DRAINAGE, SONDE VESIC INTERMITT STERILE, PRELUB/HYD, LATEX- B/30,ATOMHEALTH CORP</t>
  </si>
  <si>
    <t>DRAINAGE, SONDE VESIC INTERMITT STERILE, PRELUB/HYD, LATEX- B/30,B.BRAUN MEDICAL</t>
  </si>
  <si>
    <t>DRAINAGE, SONDE VESIC INTERMITT STERILE, PRELUB/HYD, LATEX- B/30,BARD FRANCE SAS</t>
  </si>
  <si>
    <t>DRAINAGE, SONDE VESIC INTERMITT STERILE, PRELUB/HYD, LATEX- B/30,COLOPLAST</t>
  </si>
  <si>
    <t>DRAINAGE, SONDE VESIC INTERMITT STERILE, PRELUB/HYD, LATEX- B/30,DENTSPLY SIRONA</t>
  </si>
  <si>
    <t>DRAINAGE, SONDE VESIC INTERMITT STERILE, PRELUB/HYD, LATEX- B/30,HOLLISTER</t>
  </si>
  <si>
    <t>DRAINAGE, SONDE VESIC INTERMITT STERILE, PRELUB/HYD, LATEX- B/30,LABO CONVATEC</t>
  </si>
  <si>
    <t>DRAINAGE, SONDE VESIC INTERMITT STERILE, PRELUB/HYD, LATEX- B/30,TELEFLEX MED</t>
  </si>
  <si>
    <t>DRAINAGE, SONDE VESIC INTERMITT STERILE, PRELUB/HYD, LATEX- B/30,VM HEALTH</t>
  </si>
  <si>
    <t>Total sondes urinaires</t>
  </si>
  <si>
    <t>2) Collecteurs de nuit et de jambe</t>
  </si>
  <si>
    <t>COLLECTEUR DE JAMBE, VIDANG+, STERILE-, ATTACHE-, RACCORD+ B/30,B.BRAUN MEDICAL</t>
  </si>
  <si>
    <t>COLLECTEUR DE JAMBE, VIDANG+, STERILE-, ATTACHE-, RACCORD+ B/30,COLOPLAST</t>
  </si>
  <si>
    <t>COLLECTEUR DE JAMBE, VIDANG+, STERILE-, ATTACHE-, RACCORD+ B/30,LABO CONVATEC</t>
  </si>
  <si>
    <t>COLLECTEUR DE JAMBE, VIDANG+, STERILE-, ATTACHE+, RACCORD+. B/10,BARD FRANCE SAS</t>
  </si>
  <si>
    <t>COLLECTEUR DE JAMBE, VIDANG+, STERILE-, ATTACHE+, RACCORD+. B/10,LABO CONVATEC</t>
  </si>
  <si>
    <t>COLLECTEUR DE JAMBE, VIDANG+, STERILE-, ATTACHE+, RACCORD+. B/10,MARQUE VERTE</t>
  </si>
  <si>
    <t>COLLECTEUR DE JAMBE, VIDANG+, STERILE-, ATTACHE+, RACCORD+. B/10,TELEFLEX MED</t>
  </si>
  <si>
    <t>COLLECTEUR DE JAMBE, VIDANG+, STERILE-, ATTACHE+, RACCORD+. B/30,COLOPLAST</t>
  </si>
  <si>
    <t>COLLECTEUR DE JAMBE, VIDANG+, STERILE-, ATTACHE+, RACCORD+. B/30,COOP PHARMA FR</t>
  </si>
  <si>
    <t>COLLECTEUR DE JAMBE, VIDANG+, STERILE-, ATTACHE+, RACCORD+. B/30,LABO CONVATEC</t>
  </si>
  <si>
    <t>COLLECTEUR DE JAMBE, VIDANG+, STERILE-, ATTACHE+, RACCORD+. B/30,TELEFLEX MED</t>
  </si>
  <si>
    <t>COLLECTEUR DE JAMBE, VIDANG+, STERILE-, ATTACHE+, RACCORD+. B/30,VM HEALTH</t>
  </si>
  <si>
    <t>COLLECTEUR DE JAMBE, VIDANG+, STERILE+, ATTACHE-, RACCORD+. B/10,COLOPLAST</t>
  </si>
  <si>
    <t>COLLECTEUR DE JAMBE, VIDANG+, STERILE+, ATTACHE+, RACCORD+. B/10,BARD FRANCE SAS</t>
  </si>
  <si>
    <t>COLLECTEUR DE JAMBE, VIDANG+, STERILE+, ATTACHE+, RACCORD+. B/10,HOLLISTER</t>
  </si>
  <si>
    <t>COLLECTEUR DE JAMBE, VIDANG+, STERILE+, ATTACHE+, RACCORD+. B/10,TELEFLEX MED</t>
  </si>
  <si>
    <t>Total collecteurs de jambe</t>
  </si>
  <si>
    <t>COLLECTEUR NUIT, VIDANG+, STERILE-, ACCROCHE+, RACCORD+. B/10,B.BRAUN MEDICAL</t>
  </si>
  <si>
    <t>COLLECTEUR NUIT, VIDANG+, STERILE-, ACCROCHE+, RACCORD+. B/10,BARD FRANCE SAS</t>
  </si>
  <si>
    <t>COLLECTEUR NUIT, VIDANG+, STERILE-, ACCROCHE+, RACCORD+. B/10,COLOPLAST</t>
  </si>
  <si>
    <t>COLLECTEUR NUIT, VIDANG+, STERILE-, ACCROCHE+, RACCORD+. B/10,HOLLISTER</t>
  </si>
  <si>
    <t>COLLECTEUR NUIT, VIDANG+, STERILE-, ACCROCHE+, RACCORD+. B/10,MARQUE VERTE</t>
  </si>
  <si>
    <t>COLLECTEUR NUIT, VIDANG+, STERILE-, ACCROCHE+, RACCORD+. B/10,OUSOFT</t>
  </si>
  <si>
    <t>COLLECTEUR NUIT, VIDANG+, STERILE-, ACCROCHE+, RACCORD+. B/10,TELEFLEX MED</t>
  </si>
  <si>
    <t>COLLECTEUR NUIT, VIDANG+, STERILE-, ACCROCHE+/-, RACCORD+ B/30,B.BRAUN MEDICAL</t>
  </si>
  <si>
    <t>COLLECTEUR NUIT, VIDANG+, STERILE-, ACCROCHE+/-, RACCORD+ B/30,BARD FRANCE SAS</t>
  </si>
  <si>
    <t>COLLECTEUR NUIT, VIDANG+, STERILE-, ACCROCHE+/-, RACCORD+ B/30,COLOPLAST</t>
  </si>
  <si>
    <t>COLLECTEUR NUIT, VIDANG+, STERILE-, ACCROCHE+/-, RACCORD+ B/30,COOP PHARMA FR</t>
  </si>
  <si>
    <t>COLLECTEUR NUIT, VIDANG+, STERILE-, ACCROCHE+/-, RACCORD+ B/30,DENTSPLY SIRONA</t>
  </si>
  <si>
    <t>COLLECTEUR NUIT, VIDANG+, STERILE-, ACCROCHE+/-, RACCORD+ B/30,DIDACTIC</t>
  </si>
  <si>
    <t>COLLECTEUR NUIT, VIDANG+, STERILE-, ACCROCHE+/-, RACCORD+ B/30,HARTMANN</t>
  </si>
  <si>
    <t>COLLECTEUR NUIT, VIDANG+, STERILE-, ACCROCHE+/-, RACCORD+ B/30,HOLLISTER</t>
  </si>
  <si>
    <t>COLLECTEUR NUIT, VIDANG+, STERILE-, ACCROCHE+/-, RACCORD+ B/30,LABO CONVATEC</t>
  </si>
  <si>
    <t>COLLECTEUR NUIT, VIDANG+, STERILE-, ACCROCHE+/-, RACCORD+ B/30,MARQUE VERTE</t>
  </si>
  <si>
    <t>COLLECTEUR NUIT, VIDANG+, STERILE-, ACCROCHE+/-, RACCORD+ B/30,SYLAMED</t>
  </si>
  <si>
    <t>COLLECTEUR NUIT, VIDANG+, STERILE-, ACCROCHE+/-, RACCORD+ B/30,TELEFLEX MED</t>
  </si>
  <si>
    <t>COLLECTEUR NUIT, VIDANG+, STERILE+, ACCROCHE+, RACCORD+. B/10,B.BRAUN MEDICAL</t>
  </si>
  <si>
    <t>COLLECTEUR NUIT, VIDANG+, STERILE+, ACCROCHE+, RACCORD+. B/10,BARD FRANCE SAS</t>
  </si>
  <si>
    <t>COLLECTEUR NUIT, VIDANG+, STERILE+, ACCROCHE+, RACCORD+. B/10,HOLLISTER</t>
  </si>
  <si>
    <t>COLLECTEUR NUIT, VIDANG+, STERILE+, ACCROCHE+/-, RACCORD+ B/30,BARD FRANCE SAS</t>
  </si>
  <si>
    <t>COLLECTEUR NUIT, VIDANG+, STERILE+, ACCROCHE+/-, RACCORD+ B/30,HOLLISTER</t>
  </si>
  <si>
    <t>INCONTINENCE, COLL DE NUIT, VIDANG+, NON STERILE,+/-ACCROCHE, AVEC RACCORD. B/30</t>
  </si>
  <si>
    <t>Total collecteurs nuit</t>
  </si>
  <si>
    <t>3) Etuis péniens</t>
  </si>
  <si>
    <t>INCONTINENCE, ETUI PENIEN EXTENSIBLE AUTOADH  LATEX+. B/15,COLOPLAST</t>
  </si>
  <si>
    <t>INCONTINENCE, ETUI PENIEN EXTENSIBLE AUTOADH ANALLERGIQUE. B/15,BARD FRANCE SAS</t>
  </si>
  <si>
    <t>INCONTINENCE, ETUI PENIEN EXTENSIBLE AUTOADH ANALLERGIQUE. B/15,COLOPLAST</t>
  </si>
  <si>
    <t>INCONTINENCE, ETUI PENIEN EXTENSIBLE AUTOADH ANALLERGIQUE. B/30,B.BRAUN MEDICAL</t>
  </si>
  <si>
    <t>INCONTINENCE, ETUI PENIEN EXTENSIBLE AUTOADH ANALLERGIQUE. B/30,BARD FRANCE SAS</t>
  </si>
  <si>
    <t>INCONTINENCE, ETUI PENIEN EXTENSIBLE AUTOADH ANALLERGIQUE. B/30,COLOPLAST</t>
  </si>
  <si>
    <t>INCONTINENCE, ETUI PENIEN EXTENSIBLE AUTOADH ANALLERGIQUE. B/30,HOLLISTER</t>
  </si>
  <si>
    <t>INCONTINENCE, ETUI PENIEN EXTENSIBLE AUTOADH ANALLERGIQUE. B/30,VM HEALTH</t>
  </si>
  <si>
    <t>INCONTINENCE, ETUI PENIEN EXTENSIBLE AUTOADH LATEX+. B/30,COLOPLAST</t>
  </si>
  <si>
    <t>INCONTINENCE, ETUI PENIEN EXTENSIBLE AUTOADH LATEX+. B/30,HOLLISTER</t>
  </si>
  <si>
    <t>Total Etuis péniens</t>
  </si>
  <si>
    <t>4) Dispositifs pour stomie</t>
  </si>
  <si>
    <t>Nombre d'unité</t>
  </si>
  <si>
    <t>Support</t>
  </si>
  <si>
    <t>Poches</t>
  </si>
  <si>
    <t>Nombre de poches</t>
  </si>
  <si>
    <t>Nombres de supports</t>
  </si>
  <si>
    <t>DIGESTIF, MINI-POCHE RECUEIL, AVEC SUPPORT (SYST 1 PC). B/30,LABO CONVATEC</t>
  </si>
  <si>
    <t>DIGESTIF, POC REC. MAT. FECALES, SS SUPP (2 PC), NON-VID. B/30,B.BRAUN MEDICAL</t>
  </si>
  <si>
    <t>DIGESTIF, POC REC. MAT. FECALES, SS SUPP (2 PC), NON-VID. B/30,COLOPLAST</t>
  </si>
  <si>
    <t>DIGESTIF, POC REC. MAT. FECALES, SS SUPP (2 PC), NON-VID. B/30,HOLLISTER</t>
  </si>
  <si>
    <t>DIGESTIF, POC REC. MAT. FECALES, SS SUPP (2 PC), NON-VID. B/30,LABO CONVATEC</t>
  </si>
  <si>
    <t>DIGESTIF, POC REC. MAT. FECALES, SS SUPP (2 PC), NON-VID. B/30,OUSOFT</t>
  </si>
  <si>
    <t>DIGESTIF, POC REC. MAT. FECALES, SS SUPP (2 PC), NON-VID. B/30,TG EAKIN</t>
  </si>
  <si>
    <t>DIGESTIF, POCH REC MAT FECAL PR COLL HD, AC SUPP, STD, VID B/30,B.BRAUN MEDICAL</t>
  </si>
  <si>
    <t>DIGESTIF, POCH REC MAT FECAL PR COLL HD, AC SUPP, STD, VID B/30,COLOPLAST</t>
  </si>
  <si>
    <t>DIGESTIF, POCH REC MAT FECAL PR COLL HD, AC SUPP, STD, VID B/30,HOLLISTER</t>
  </si>
  <si>
    <t>DIGESTIF, POCHE REC MAT FECALES, SS SUPP (2 PC), VIDABLE. B/10,COLOPLAST</t>
  </si>
  <si>
    <t>DIGESTIF, POCHE REC MAT FECALES, SS SUPP (2 PC), VIDABLE. B/10,HOLLISTER</t>
  </si>
  <si>
    <t>DIGESTIF, POCHE REC MAT FECALES, SS SUPP (2 PC), VIDABLE. B/10,LABO CONVATEC</t>
  </si>
  <si>
    <t>DIGESTIF, POCHE REC MAT FECALES, SS SUPP (2 PC), VIDABLE. B/10,OUSOFT</t>
  </si>
  <si>
    <t>DIGESTIF, POCHE REC MAT FECALES, SS SUPP (2 PC), VIDABLE. B/30,B.BRAUN MEDICAL</t>
  </si>
  <si>
    <t>DIGESTIF, POCHE REC MAT FECALES, SS SUPP (2 PC), VIDABLE. B/30,COLOPLAST</t>
  </si>
  <si>
    <t>DIGESTIF, POCHE REC MAT FECALES, SS SUPP (2 PC), VIDABLE. B/30,EAKIN</t>
  </si>
  <si>
    <t>DIGESTIF, POCHE REC MAT FECALES, SS SUPP (2 PC), VIDABLE. B/30,HOLLISTER</t>
  </si>
  <si>
    <t>DIGESTIF, POCHE REC MAT FECALES, SS SUPP (2 PC), VIDABLE. B/30,LABO CONVATEC</t>
  </si>
  <si>
    <t>DIGESTIF, POCHE REC MAT FECALES, SS SUPP (2 PC), VIDABLE. B/30,OUSOFT</t>
  </si>
  <si>
    <t>DIGESTIF, POCHE REC MAT FECALES, SS SUPP (2 PC), VIDABLE. B/30,TG EAKIN</t>
  </si>
  <si>
    <t>DIGESTIF, POCHE RECUEIL , AC SUPP (ST 1 PC) NON STD, VIDAB B/10,B.BRAUN MEDICAL</t>
  </si>
  <si>
    <t>DIGESTIF, POCHE RECUEIL , AC SUPP (ST 1 PC) NON STD, VIDAB B/10,EAKIN</t>
  </si>
  <si>
    <t>DIGESTIF, POCHE RECUEIL , AC SUPP (ST 1 PC) NON STD, VIDAB B/10,LABO CONVATEC</t>
  </si>
  <si>
    <t>DIGESTIF, POCHE RECUEIL , AC SUPP (ST 1 PC) NON STD, VIDAB B/10,OUSOFT</t>
  </si>
  <si>
    <t>DIGESTIF, POCHE RECUEIL , AC SUPP (ST 1 PC) NON STD, VIDAB B/10,TG EAKIN</t>
  </si>
  <si>
    <t>DIGESTIF, POCHE RECUEIL AVEC SUPP (SYST 1 PC), VIDABLE. B/30,B.BRAUN MEDICAL</t>
  </si>
  <si>
    <t>DIGESTIF, POCHE RECUEIL AVEC SUPP (SYST 1 PC), VIDABLE. B/30,COLOPLAST</t>
  </si>
  <si>
    <t>DIGESTIF, POCHE RECUEIL AVEC SUPP (SYST 1 PC), VIDABLE. B/30,EAKIN</t>
  </si>
  <si>
    <t>DIGESTIF, POCHE RECUEIL AVEC SUPP (SYST 1 PC), VIDABLE. B/30,HOLLISTER</t>
  </si>
  <si>
    <t>DIGESTIF, POCHE RECUEIL AVEC SUPP (SYST 1 PC), VIDABLE. B/30,LABO CONVATEC</t>
  </si>
  <si>
    <t>DIGESTIF, POCHE RECUEIL AVEC SUPP (SYST 1 PC), VIDABLE. B/30,OUSOFT</t>
  </si>
  <si>
    <t>DIGESTIF, POCHE RECUEIL AVEC SUPP (SYST 1 PC), VIDABLE. B/30,TG EAKIN</t>
  </si>
  <si>
    <t>DIGESTIF, POCHE RECUEIL PR COLL HD, SS SUPP (SYS 2P), VID B/10,HOLLISTER</t>
  </si>
  <si>
    <t>DIGESTIF, POCHE RECUEIL PR COLL HD, SS SUPP (SYS 2P), VID B/30,B.BRAUN MEDICAL</t>
  </si>
  <si>
    <t>DIGESTIF, POCHE RECUEIL, AC SUPP (1 PC) NON STD, NON-VIDAB. B/30,B.BRAUN MEDICAL</t>
  </si>
  <si>
    <t>DIGESTIF, POCHE RECUEIL, AC SUPP (1 PC) NON STD, NON-VIDAB. B/30,HOLLISTER</t>
  </si>
  <si>
    <t>DIGESTIF, POCHE RECUEIL, AC SUPP (1 PC) STD, NON-VIDABLE. B/30,B.BRAUN MEDICAL</t>
  </si>
  <si>
    <t>DIGESTIF, POCHE RECUEIL, AC SUPP (1 PC) STD, NON-VIDABLE. B/30,COLOPLAST</t>
  </si>
  <si>
    <t>DIGESTIF, POCHE RECUEIL, AC SUPP (1 PC) STD, NON-VIDABLE. B/30,HOLLISTER</t>
  </si>
  <si>
    <t>DIGESTIF, POCHE RECUEIL, AC SUPP (1 PC) STD, NON-VIDABLE. B/30,LABO CONVATEC</t>
  </si>
  <si>
    <t>DIGESTIF, POCHE RECUEIL, AC SUPP (1 PC) STD, NON-VIDABLE. B/30,OUSOFT</t>
  </si>
  <si>
    <t>DIGESTIF, POCHE RECUEIL, AC SUPP (ST 1 PC) NON STD, VIDAB. B/30,HOLLISTER</t>
  </si>
  <si>
    <t>DIGESTIF, POCHE RECUEIL, AC SUPP (ST 1 PC) NON STD, VIDAB. B/30,LABO CONVATEC</t>
  </si>
  <si>
    <t>DIGESTIF, POCHE RECUEIL, AVEC SUPP (SYST 1 PC), VIDABLE. B/10,HOLLISTER</t>
  </si>
  <si>
    <t>DIGESTIF, POCHE RECUEIL, AVEC SUPP (SYST 1 PC), VIDABLE. B/10,LABO CONVATEC</t>
  </si>
  <si>
    <t>COLLECTEUR, SUPPORT POCHE D UROSTOMIE OU REC MAT FECAL STD B/10,EAKIN</t>
  </si>
  <si>
    <t>COLLECTEUR, SUPPORT POCHE D¿UROSTOMIE OU REC MAT FECAL STD B/10,HOLLISTER</t>
  </si>
  <si>
    <t>COLLECTEUR, SUPPORT POCHE D'UROSTOMIE OU REC MAT FECAL STD B/10</t>
  </si>
  <si>
    <t>COLLECTEUR, SUPPORT POCHE D'UROSTOMIE OU REC MAT FECAL STD B/10,B.BRAUN MEDICAL</t>
  </si>
  <si>
    <t>COLLECTEUR, SUPPORT POCHE D'UROSTOMIE OU REC MAT FECAL STD B/10,COLOPLAST</t>
  </si>
  <si>
    <t>COLLECTEUR, SUPPORT POCHE D'UROSTOMIE OU REC MAT FECAL STD B/10,LABO CONVATEC</t>
  </si>
  <si>
    <t>COLLECTEUR, SUPPORT POCHE D'UROSTOMIE OU REC MAT FECAL STD B/10,TG EAKIN</t>
  </si>
  <si>
    <t>COLLECTEUR, SUPPORT POCHE D'UROSTOMIE OU REC MAT FECAL STD B/5,COLOPLAST</t>
  </si>
  <si>
    <t>COLLECTEUR, SUPPORT POCHE D'UROSTOMIE OU REC MAT FECAL STD B/5,HOLLISTER</t>
  </si>
  <si>
    <t>COLLECTEUR, SUPPORT POCHE D'UROSTOMIE OU REC MAT FECAL STD B/5,LABO CONVATEC</t>
  </si>
  <si>
    <t>COLLECTEUR, SUPPORT POCHE D'UROSTOMIE OU REC MAT FECAL STD B/5,OUSOFT</t>
  </si>
  <si>
    <t>COLLECTEUR, SUPPORT POCHE UROSTOM OU REC MAT FECAL NON STD B/10,COLOPLAST</t>
  </si>
  <si>
    <t>COLLECTEUR, SUPPORT POCHE UROSTOM OU REC MAT FECAL NON STD B/10,LABO CONVATEC</t>
  </si>
  <si>
    <t>COLLECTEUR, SUPPORT POCHE UROSTOMIE OU REC MAT FECAL NON STD B/5,B.BRAUN MEDICAL</t>
  </si>
  <si>
    <t>COLLECTEUR, SUPPORT POCHE UROSTOMIE OU REC MAT FECAL NON STD B/5,COLOPLAST</t>
  </si>
  <si>
    <t>COLLECTEUR, SUPPORT POCHE UROSTOMIE OU REC MAT FECAL NON STD B/5,EAKIN</t>
  </si>
  <si>
    <t>COLLECTEUR, SUPPORT POCHE UROSTOMIE OU REC MAT FECAL NON STD B/5,HOLLISTER</t>
  </si>
  <si>
    <t>COLLECTEUR, SUPPORT POCHE UROSTOMIE OU REC MAT FECAL NON STD B/5,LABO CONVATEC</t>
  </si>
  <si>
    <t>COLLECTEUR, SUPPORT POCHE UROSTOMIE OU REC MAT FECAL NON STD B/5,OUSOFT</t>
  </si>
  <si>
    <t>COLLECTEUR, SUPPORT POCHE UROSTOMIE OU REC MAT FECAL NON STD B/5,TG EAKIN</t>
  </si>
  <si>
    <t>UROSTOMIE, POCHE + SUPPORT (1 PC) NON STD, VIDANG+, STERIL- B/10,B.BRAUN MEDICAL</t>
  </si>
  <si>
    <t>UROSTOMIE, POCHE + SUPPORT (1 PC) NON STD, VIDANG+, STERIL- B/10,EAKIN</t>
  </si>
  <si>
    <t>UROSTOMIE, POCHE + SUPPORT (1 PC) NON STD, VIDANG+, STERIL- B/10,HOLLISTER</t>
  </si>
  <si>
    <t>UROSTOMIE, POCHE + SUPPORT (1 PC) NON STD, VIDANG+, STERIL- B/10,OUSOFT</t>
  </si>
  <si>
    <t>UROSTOMIE, POCHE + SUPPORT (1 PC) NON STD, VIDANG+, STERIL- B/10,TG EAKIN</t>
  </si>
  <si>
    <t>UROSTOMIE, POCHE + SUPPORT (1 PC) NON STD, VIDANG+, STERIL- B/30,LABO CONVATEC</t>
  </si>
  <si>
    <t>UROSTOMIE, POCHE + SUPPORT (1 PC) STD, VIDANG+, STERIL- B/10,HOLLISTER</t>
  </si>
  <si>
    <t>UROSTOMIE, POCHE + SUPPORT (1 PC) STD, VIDANG+, STERIL- B/10,OUSOFT</t>
  </si>
  <si>
    <t>UROSTOMIE, POCHE + SUPPORT (1 PC) STD, VIDANG+, STERIL- B/30,B.BRAUN MEDICAL</t>
  </si>
  <si>
    <t>UROSTOMIE, POCHE + SUPPORT (1 PC) STD, VIDANG+, STERIL- B/30,COLOPLAST</t>
  </si>
  <si>
    <t>UROSTOMIE, POCHE + SUPPORT (1 PC) STD, VIDANG+, STERIL- B/30,EAKIN</t>
  </si>
  <si>
    <t>UROSTOMIE, POCHE + SUPPORT (1 PC) STD, VIDANG+, STERIL- B/30,HOLLISTER</t>
  </si>
  <si>
    <t>UROSTOMIE, POCHE + SUPPORT (1 PC) STD, VIDANG+, STERIL- B/30,LABO CONVATEC</t>
  </si>
  <si>
    <t>UROSTOMIE, POCHE + SUPPORT (1 PC) STD, VIDANG+, STERIL- B/30,TG EAKIN</t>
  </si>
  <si>
    <t>UROSTOMIE, POCHE SS SUPPORT (2 PC), VIDANG+, NON STERILE. B/10,OUSOFT</t>
  </si>
  <si>
    <t>UROSTOMIE, POCHE SS SUPPORT (2 PC), VIDANG+, NON STERILE. B/30,B.BRAUN MEDICAL</t>
  </si>
  <si>
    <t>UROSTOMIE, POCHE SS SUPPORT (2 PC), VIDANG+, NON STERILE. B/30,COLOPLAST</t>
  </si>
  <si>
    <t>UROSTOMIE, POCHE SS SUPPORT (2 PC), VIDANG+, NON STERILE. B/30,EAKIN</t>
  </si>
  <si>
    <t>UROSTOMIE, POCHE SS SUPPORT (2 PC), VIDANG+, NON STERILE. B/30,HOLLISTER</t>
  </si>
  <si>
    <t>UROSTOMIE, POCHE SS SUPPORT (2 PC), VIDANG+, NON STERILE. B/30,LABO CONVATEC</t>
  </si>
  <si>
    <t>5) Bilan</t>
  </si>
  <si>
    <t xml:space="preserve">On a finalement : </t>
  </si>
  <si>
    <t>Total nombre d'unités</t>
  </si>
  <si>
    <t>II - Evaluation energie carbone</t>
  </si>
  <si>
    <t xml:space="preserve">Pour les poids des sondes uriniares et les sets de sondes uriniares, on regarde les données issues d'un caculateur de B.Braun : </t>
  </si>
  <si>
    <t>Act Green Calculator</t>
  </si>
  <si>
    <t>Poids (en kg/an) pour une référence/jour</t>
  </si>
  <si>
    <t>Poids par unité (en gramme)</t>
  </si>
  <si>
    <t>Poids moyen par unité</t>
  </si>
  <si>
    <t>Set de sondage urinaire homme</t>
  </si>
  <si>
    <t>Speedicat Compact Set</t>
  </si>
  <si>
    <t>VaplusPro Pocket</t>
  </si>
  <si>
    <t>Set de sondage urinaire femme</t>
  </si>
  <si>
    <t>Sonde urinaire homme</t>
  </si>
  <si>
    <t>Speedicat Compact</t>
  </si>
  <si>
    <t>Speedicat Flex</t>
  </si>
  <si>
    <t>VaPro (Hollister)</t>
  </si>
  <si>
    <t>Sonde urinaire femme</t>
  </si>
  <si>
    <t>Speedicat Compact Plus</t>
  </si>
  <si>
    <t>Speedicat Compact Eve</t>
  </si>
  <si>
    <t>Infyna Chic™, Hollister</t>
  </si>
  <si>
    <t xml:space="preserve">Pour les collecteurs de jambe et les collecteurs de nuit, on regarde le poids d'une référence, et on extrapole le poids au volume moyen des poches : </t>
  </si>
  <si>
    <t>Poids en grammes</t>
  </si>
  <si>
    <t>Collecteur 600 mL</t>
  </si>
  <si>
    <t>Buy Conveen Contoured Leg Bag (1 Each) Online France | Ubuy</t>
  </si>
  <si>
    <t xml:space="preserve">On a donc : </t>
  </si>
  <si>
    <t>Collecteur de jambe (500mL - 750 mL)</t>
  </si>
  <si>
    <t>Collecteur de nuit (1,5L - 2L)</t>
  </si>
  <si>
    <t xml:space="preserve">Pour les étuits péniens, on regarde le poids d'une référence : </t>
  </si>
  <si>
    <t>Etui pénien Conveen optima</t>
  </si>
  <si>
    <t>Etui pénien Conveen optima : explications et comparaisons avec Stop-Uri Confort |</t>
  </si>
  <si>
    <t>Enfin, pour les poches et supports pour stomie, on utilise des données partagées par un industriel</t>
  </si>
  <si>
    <t xml:space="preserve">Finalement, on a : </t>
  </si>
  <si>
    <t>Poids par unité (en g)</t>
  </si>
  <si>
    <t>Nombre d'unités</t>
  </si>
  <si>
    <t>Poids total (kt)</t>
  </si>
  <si>
    <t>On regarde ensuite les matériaux utilisés :</t>
  </si>
  <si>
    <t>Matériaux</t>
  </si>
  <si>
    <t>Hypothèses répartition</t>
  </si>
  <si>
    <t>cat_speedicath_coloplast_2014.pdf</t>
  </si>
  <si>
    <t>PU, lubrifiant</t>
  </si>
  <si>
    <t>98% PU, 2% lubrifiant</t>
  </si>
  <si>
    <t>Poches du set en PE</t>
  </si>
  <si>
    <t>54% PU, 1% lubrifiant, 45% PE</t>
  </si>
  <si>
    <t>fournisseur-medical.com/downloadable/download/attachment/id/3025914/</t>
  </si>
  <si>
    <t>Poche en PE, voile non-tissé en PET, clamp du robinet de vidange en ABS et tubulure en PE</t>
  </si>
  <si>
    <t>75% PE, 20% non tissé PET, 5% ABS</t>
  </si>
  <si>
    <t>Poche en PE ou en PVC, voile non-tissé en PET, tubulure en PE</t>
  </si>
  <si>
    <t>45% PE, 35% PVC, 20% non tissé PET</t>
  </si>
  <si>
    <t>Etuis péniens</t>
  </si>
  <si>
    <t>Protocole de soins Conveen.pdf</t>
  </si>
  <si>
    <t>Polysiloxane (silicone)</t>
  </si>
  <si>
    <t>100% Silicone</t>
  </si>
  <si>
    <t>Discussions avec industriel</t>
  </si>
  <si>
    <t>PE, EVA</t>
  </si>
  <si>
    <t>100% PE</t>
  </si>
  <si>
    <t xml:space="preserve">On convertit ces matériaux en émissions de CO2 à l'aide des facteurs d'émissions suivants issus d'EcoInvent, et on obtient : </t>
  </si>
  <si>
    <t>FE produit matières premières (kgCO2e/kg)</t>
  </si>
  <si>
    <t>FE produit production (kgCO2e/kg)</t>
  </si>
  <si>
    <t>Emissions par produit - matières premières (gCO2e)</t>
  </si>
  <si>
    <t>Emissions totales - matières premières (ktCO2e)</t>
  </si>
  <si>
    <t>Emissions par produit - production (gCO2e)</t>
  </si>
  <si>
    <t>Emissions totales - production (ktCO2e)</t>
  </si>
  <si>
    <t xml:space="preserve">Faute de données spécifiques sur les emballages, on fait les hypothèses suivantes : </t>
  </si>
  <si>
    <r>
      <rPr>
        <b/>
        <sz val="11"/>
        <color rgb="FF7030A0"/>
        <rFont val="Arial"/>
        <family val="2"/>
        <scheme val="minor"/>
      </rPr>
      <t>Hyp :</t>
    </r>
    <r>
      <rPr>
        <sz val="11"/>
        <color theme="1"/>
        <rFont val="Arial"/>
        <family val="2"/>
        <scheme val="minor"/>
      </rPr>
      <t xml:space="preserve"> les emballages représentent environ 20% du poids des produits</t>
    </r>
  </si>
  <si>
    <r>
      <rPr>
        <b/>
        <sz val="11"/>
        <color rgb="FF7030A0"/>
        <rFont val="Arial"/>
        <family val="2"/>
        <scheme val="minor"/>
      </rPr>
      <t>Hyp :</t>
    </r>
    <r>
      <rPr>
        <sz val="11"/>
        <color theme="1"/>
        <rFont val="Arial"/>
        <family val="2"/>
        <scheme val="minor"/>
      </rPr>
      <t xml:space="preserve"> les emballages sont constitués à 20% de carton, et à 80% de films plastiques</t>
    </r>
  </si>
  <si>
    <t xml:space="preserve">Ainsi : </t>
  </si>
  <si>
    <t>Masse des produits (en g)</t>
  </si>
  <si>
    <t>Masse des emballages  (en g)</t>
  </si>
  <si>
    <t xml:space="preserve">On utilise également les facteurs d'émissions suivants d'EcoInvent, et on obtient : </t>
  </si>
  <si>
    <t>Emissions par produits (gCO2e)</t>
  </si>
  <si>
    <t xml:space="preserve">On utilise ici le facteur d'émissions de la stérilisation : </t>
  </si>
  <si>
    <t>Emissions moyennes par kg stérilisé (kgCO2e)</t>
  </si>
  <si>
    <t xml:space="preserve">Ainsi, on a : </t>
  </si>
  <si>
    <t>Part des produits stériles</t>
  </si>
  <si>
    <t>Masse totale en g (produits + emballages)</t>
  </si>
  <si>
    <t>Emissions par produits (en gCO2e)</t>
  </si>
  <si>
    <t>Emissions totales (en ktCO2e)</t>
  </si>
  <si>
    <t xml:space="preserve">Provenance : </t>
  </si>
  <si>
    <t xml:space="preserve">On regarde les données des douanes pour les produits pour stomie : </t>
  </si>
  <si>
    <t xml:space="preserve">On fera l'hyppothèse suivante : </t>
  </si>
  <si>
    <r>
      <rPr>
        <b/>
        <sz val="11"/>
        <color rgb="FF7030A0"/>
        <rFont val="Arial"/>
        <family val="2"/>
        <scheme val="minor"/>
      </rPr>
      <t>Hyp :</t>
    </r>
    <r>
      <rPr>
        <sz val="11"/>
        <color theme="1"/>
        <rFont val="Arial"/>
        <family val="2"/>
        <scheme val="minor"/>
      </rPr>
      <t xml:space="preserve"> les produits pour l'urologie ont les mêmes origines que les produits pour stomie.</t>
    </r>
  </si>
  <si>
    <t xml:space="preserve">On fait également l'hypothèse suivante pour les productions françaises : </t>
  </si>
  <si>
    <t>Les productions françaises répondent à 25% des consommations françaises.</t>
  </si>
  <si>
    <t>Part de la production française dans la consommation française</t>
  </si>
  <si>
    <t xml:space="preserve">On regarde également les données d'Eurostat pour avoir la part de fret aérien pour ls importations extra-européennes : </t>
  </si>
  <si>
    <t>Part de fret aérien</t>
  </si>
  <si>
    <t>On ajoute également le facteur d'émissions pour la livraison calculé dans l'Annexe - logistique.</t>
  </si>
  <si>
    <t>Emissions par produit (en kgCO2e)</t>
  </si>
  <si>
    <t>Transport camion - livraison</t>
  </si>
  <si>
    <t xml:space="preserve">On utilise ici le facteur d'émissions de la fin de vie de la base empreinte, pour des déchets : </t>
  </si>
  <si>
    <t>On majore également le chiffre de 5%, en considérant que les produits sont plus lourds après utilisation qu'avant utilisation.</t>
  </si>
  <si>
    <t>Protections pour incontinence</t>
  </si>
  <si>
    <t>On obtient les résultats suivants :</t>
  </si>
  <si>
    <t>Type de protection</t>
  </si>
  <si>
    <t>Nombre de protections (en millions)</t>
  </si>
  <si>
    <t>Emissions par unité (kgCO2e)</t>
  </si>
  <si>
    <t>Protections anatomiques (incontinence légère ou lourde)</t>
  </si>
  <si>
    <t>Changes complets</t>
  </si>
  <si>
    <t>Slips absorbants</t>
  </si>
  <si>
    <t>Alèses</t>
  </si>
  <si>
    <t>Couches droites</t>
  </si>
  <si>
    <t>Total :</t>
  </si>
  <si>
    <t>On regarde les données de 2017 issues d'un rapport de l'ANSES et du syndicat Group'Hygiène :</t>
  </si>
  <si>
    <t>AVIS et RAPPORT de l'Anses relatif à la sécurité des couches pour incontinence</t>
  </si>
  <si>
    <t>Estimation de la population au 1ᵉʳ janvier 2023 | Insee</t>
  </si>
  <si>
    <t>Nombre de personnes de plus de 60 ans</t>
  </si>
  <si>
    <t>Nombre de protections (en milliards)</t>
  </si>
  <si>
    <t>Données de 2017</t>
  </si>
  <si>
    <t>Extrapolation pour 2023</t>
  </si>
  <si>
    <t xml:space="preserve">On suppose que la segmentation du marché en 2023 est la même qu'en 2017 : </t>
  </si>
  <si>
    <t>Segmentation du marché (en unité)</t>
  </si>
  <si>
    <t>Protections anatomiques (incontinence légère)</t>
  </si>
  <si>
    <t>Protections anatomiques (incontinence lourde)</t>
  </si>
  <si>
    <t>1) Matières premières</t>
  </si>
  <si>
    <t>On cherche dans un premier temps à estimer les poids des différentes protections pour incontinence :</t>
  </si>
  <si>
    <t>Type d'appareil</t>
  </si>
  <si>
    <t>Catégorie de protection</t>
  </si>
  <si>
    <t>Poids médian des produits (g)</t>
  </si>
  <si>
    <t>Pulp</t>
  </si>
  <si>
    <t>Polymers</t>
  </si>
  <si>
    <t>Plastics</t>
  </si>
  <si>
    <t>Lieux de fabrication</t>
  </si>
  <si>
    <t>Change complet moyen</t>
  </si>
  <si>
    <t>edana-sustainability-report---2015.pdf</t>
  </si>
  <si>
    <t>Tena Slip</t>
  </si>
  <si>
    <t>Suède, Pays-Bas, Pologne, Slovaquie, Espagne, Canada.</t>
  </si>
  <si>
    <t>Sac en plastique polyéthylène, et emballages de transport en carton</t>
  </si>
  <si>
    <t>TENA Slip</t>
  </si>
  <si>
    <t>Tena Flex</t>
  </si>
  <si>
    <t>Tena Pants</t>
  </si>
  <si>
    <t>Tena Men</t>
  </si>
  <si>
    <t>Protections absorbantes</t>
  </si>
  <si>
    <t>Tena Comfort</t>
  </si>
  <si>
    <t>Tena Bed</t>
  </si>
  <si>
    <t xml:space="preserve">On utilise les facteurs d'émissions suivants issus d'EcoInvent, et d'une étude sur les émissions des SAP (Superabsorbant polyacrylate) : </t>
  </si>
  <si>
    <t>LCA screening study on AHP_update April 2022.pdf</t>
  </si>
  <si>
    <t>On combine ensuite ces facteurs d'émissions avec une ACV d'EDANA pour obtenir les proportions des différents matériaux dans les changes complets, afin d'obtenir des facteurs d'émissions :</t>
  </si>
  <si>
    <t>Catégorie de composant</t>
  </si>
  <si>
    <t>Composant</t>
  </si>
  <si>
    <t>Proportion (Edana 2015)</t>
  </si>
  <si>
    <t>Facteur d'émissions (kgCO2e/kg)</t>
  </si>
  <si>
    <t>Pulpe en flocon</t>
  </si>
  <si>
    <t>Pulpe en coton</t>
  </si>
  <si>
    <t>On fait l'hypothèse que plastique = 50%PE, 50% PP</t>
  </si>
  <si>
    <t>Polymères</t>
  </si>
  <si>
    <t>SAP</t>
  </si>
  <si>
    <t>Fluff pulp</t>
  </si>
  <si>
    <t>Nombre d'unités consommées (en millions)</t>
  </si>
  <si>
    <t>Adhésif</t>
  </si>
  <si>
    <t xml:space="preserve">Changes complets </t>
  </si>
  <si>
    <t>Elsatique</t>
  </si>
  <si>
    <t>Film de polyéthylène</t>
  </si>
  <si>
    <t>Textile non-tissés</t>
  </si>
  <si>
    <t xml:space="preserve">Couches droites </t>
  </si>
  <si>
    <t>On prend également en compte des pertes à la production, équivalente à 4% du poids des produits finis (https://www.sciencedirect.com/science/article/pii/S0959652615001535#bib52)</t>
  </si>
  <si>
    <t>Emissions par produit - production des matières premières (kgCO2e)</t>
  </si>
  <si>
    <t>On prend la même valeur que pour les protections absorbantes.</t>
  </si>
  <si>
    <t>2) Production</t>
  </si>
  <si>
    <t>On cherche dans un premier temps à estimer les consommations d'énergie nécessaires à la production des produits.</t>
  </si>
  <si>
    <t>Pour cela, on regarde les données des deux sites de production français, Dourges (Ontex), Rouvroy (AMD) et Lièpvre (Hartmann) :</t>
  </si>
  <si>
    <t>Consommation d'électricité du site de production de Dourges</t>
  </si>
  <si>
    <t>MWh/an</t>
  </si>
  <si>
    <t>Consommation annuelle d’électricité et gaz par commune et par code NAF (jusqu'en 2021) — Agence ORE</t>
  </si>
  <si>
    <t>Production annuelle du site de Dourges</t>
  </si>
  <si>
    <t>millions d'unités</t>
  </si>
  <si>
    <t>Hygiène : Ontex ouvre une usine ultramoderne à Dourges | Les Echos</t>
  </si>
  <si>
    <t>Consommation d'électricité par unité - Dourges</t>
  </si>
  <si>
    <t>Emissions de CO2 - Lièpvre</t>
  </si>
  <si>
    <t>kgCO2e/1000 unité</t>
  </si>
  <si>
    <t>L’engagement RSE d’HARTMANN en 2022 | Hartmann</t>
  </si>
  <si>
    <t>Consommation d'électricité par unité - Lièpvre</t>
  </si>
  <si>
    <t>Déduit à partir d'EcoInvent</t>
  </si>
  <si>
    <t>Consommation d'électricité du site de production de Rouvroy</t>
  </si>
  <si>
    <t>Consommation de gaz du site de production de Rouvroy</t>
  </si>
  <si>
    <t>Production annuelle du site de Rouvroy</t>
  </si>
  <si>
    <t>Sites de productions - AMD - Activ Medical Disposable</t>
  </si>
  <si>
    <t>Consommation d'électricité par unité - Rouvroy</t>
  </si>
  <si>
    <t>Consommation de gaz par unité - Rouvroy</t>
  </si>
  <si>
    <t xml:space="preserve">On utilise alors les facteurs d'émissions d'EcoInvent et de la Base Empreinte, et on obtient : </t>
  </si>
  <si>
    <t>Emissions par unité - France (kgCO2e/produit)</t>
  </si>
  <si>
    <t>Emissions par unité - Europe (kgCO2e/produit)</t>
  </si>
  <si>
    <t>Emissions liées à la consommation d'électricité</t>
  </si>
  <si>
    <t>Emissions liées à la consommation de gaz</t>
  </si>
  <si>
    <t>On recroise ces résultats avec les données de l'entreprise Tena (cf paragraphe précédent) :</t>
  </si>
  <si>
    <t>Produit</t>
  </si>
  <si>
    <t>Poids (g)</t>
  </si>
  <si>
    <t>Emissions de CO2 liées à la production (kgCO2e)</t>
  </si>
  <si>
    <t>Ces données étant en cohérence avec les données calculées précédemment, on utilise les données de Tena.</t>
  </si>
  <si>
    <t>On remarque une corrélation entre poids des produits et empreinte carbone dans les calculs de Tena :</t>
  </si>
  <si>
    <t>On prendra dans nos calculs :</t>
  </si>
  <si>
    <t>Empreinte carbone par unité de poids</t>
  </si>
  <si>
    <t>kgCO2e/g de produit</t>
  </si>
  <si>
    <t xml:space="preserve">Et on obtient finalement : </t>
  </si>
  <si>
    <t>Poids moyen des produits (g)</t>
  </si>
  <si>
    <t>Emissions par produit - production (kgCO2e)</t>
  </si>
  <si>
    <t xml:space="preserve">On ajoute également les immobilisations des sites de production : </t>
  </si>
  <si>
    <t>Surface du site de production de Dourges</t>
  </si>
  <si>
    <t>m2</t>
  </si>
  <si>
    <t>Surface par unité - Dourges</t>
  </si>
  <si>
    <t>m2 par million d'unité</t>
  </si>
  <si>
    <t xml:space="preserve">Et on utilise les facteurs d'émissions suivant : </t>
  </si>
  <si>
    <t>Emissions de CO2</t>
  </si>
  <si>
    <t>kgCO2e/m2</t>
  </si>
  <si>
    <t>Base Empreinte, Bâtiment industriel/structure en béton</t>
  </si>
  <si>
    <t>On fait ensuite l'hypothèse suivante : on prend une durée d'amortissement des sites de 20 ans</t>
  </si>
  <si>
    <t xml:space="preserve">On obtient alors les résultats suivants : </t>
  </si>
  <si>
    <t>Empreinte carbone des immobilisations pour la production</t>
  </si>
  <si>
    <t>kgCO2e/produit</t>
  </si>
  <si>
    <t xml:space="preserve">Et : </t>
  </si>
  <si>
    <t>Emissions par produit - production dont immobilisation (kgCO2e)</t>
  </si>
  <si>
    <t>3) Emballages</t>
  </si>
  <si>
    <t>Comme vu à la partie 1, les emballages des produits sont constitués :</t>
  </si>
  <si>
    <t>- d'un sac en plastique (polyéthylène)</t>
  </si>
  <si>
    <t>- d'un emballage en carton pour le transport</t>
  </si>
  <si>
    <t xml:space="preserve">On fait l'hypothèse suivante : </t>
  </si>
  <si>
    <r>
      <rPr>
        <b/>
        <sz val="11"/>
        <color rgb="FF7030A0"/>
        <rFont val="Arial"/>
        <family val="2"/>
        <scheme val="minor"/>
      </rPr>
      <t xml:space="preserve">Hyp : </t>
    </r>
    <r>
      <rPr>
        <sz val="11"/>
        <color theme="1"/>
        <rFont val="Arial"/>
        <family val="2"/>
        <scheme val="minor"/>
      </rPr>
      <t>Les emballages des protections pour incontinence représentent 3% du poids des produits finis en film plastique (polyéthylène), et 3% en carton (emballages pour le transport).</t>
    </r>
  </si>
  <si>
    <t xml:space="preserve">On utilise également les facteurs d'émissions issus d'EcoInvent, et on obtient : </t>
  </si>
  <si>
    <t>Facteur d'émissions des emballages 50% PE 50% carton)</t>
  </si>
  <si>
    <t>Poids des produits finis (g)</t>
  </si>
  <si>
    <t>Poids des emballages</t>
  </si>
  <si>
    <t>Empreinte carbone des emballages (kgCO2e/produit)</t>
  </si>
  <si>
    <t>4) Transports</t>
  </si>
  <si>
    <t>On distingue ici les produits fabriqués en France, et les produits fabriqués en Europe.</t>
  </si>
  <si>
    <t>En effet, d'après les données des douanes françaises, 98,7% des importations de la catégorie "Articles hygiéniques, p. ex. articles pour l’incontinence" proviennent d'Europe (ou de Turquie).</t>
  </si>
  <si>
    <t>On néglige les importations des autres produits (notamment de Chine et d'Amérique du Nord).</t>
  </si>
  <si>
    <t>Autre Europe + Turquie</t>
  </si>
  <si>
    <t>Articles hygiéniques, p. ex. articles pour l’incontinence</t>
  </si>
  <si>
    <r>
      <rPr>
        <b/>
        <sz val="11"/>
        <color rgb="FF7030A0"/>
        <rFont val="Arial"/>
        <family val="2"/>
        <scheme val="minor"/>
      </rPr>
      <t xml:space="preserve">Hyp : </t>
    </r>
    <r>
      <rPr>
        <sz val="11"/>
        <color theme="1"/>
        <rFont val="Arial"/>
        <family val="2"/>
        <scheme val="minor"/>
      </rPr>
      <t>90% des produits pour incontinence consommés en France sont importés, et 10% sont fabriqués en France.</t>
    </r>
  </si>
  <si>
    <t>C'est le chiffre que l'on peut trouver pour les couches pour enfants :</t>
  </si>
  <si>
    <t>SPECIAL MADE IN FRANCE La PME Naturopera lance officiellement son projet d’usine éco-responsable dédiée à la production de couches écologiques - Turenne Groupe</t>
  </si>
  <si>
    <t>à consolider</t>
  </si>
  <si>
    <t xml:space="preserve">On obtient alors : </t>
  </si>
  <si>
    <t>Part des consommations françaises</t>
  </si>
  <si>
    <t xml:space="preserve">Enfin, on fait l'hypothèse suivante : </t>
  </si>
  <si>
    <r>
      <rPr>
        <b/>
        <sz val="11"/>
        <color rgb="FF7030A0"/>
        <rFont val="Arial"/>
        <family val="2"/>
        <scheme val="minor"/>
      </rPr>
      <t xml:space="preserve">Hyp : </t>
    </r>
    <r>
      <rPr>
        <sz val="11"/>
        <color theme="1"/>
        <rFont val="Arial"/>
        <family val="2"/>
        <scheme val="minor"/>
      </rPr>
      <t>L'ensemble des produits pour incontinence sont transportés par voie routière.</t>
    </r>
  </si>
  <si>
    <t>Nombre de kilomètres camion - pays de production - plateforme logistique en France</t>
  </si>
  <si>
    <t>Nombre de kilomètre camion - plateforme logistique - consommateur</t>
  </si>
  <si>
    <t>Production en France</t>
  </si>
  <si>
    <t>Production en Europe de l'Ouest</t>
  </si>
  <si>
    <t>Production autre Europe / Turquie</t>
  </si>
  <si>
    <t>Emissions de GES - Production en France (kgCO2e/produit)</t>
  </si>
  <si>
    <t>Emissions de GES - Production en Europe de l'Ouest (kgCO2e/produit)</t>
  </si>
  <si>
    <t>Emissions de GES - Production en autre Europe (kgCO2e/produit)</t>
  </si>
  <si>
    <t>Emissions (moyenne Europe) (kgCO2e/produit)</t>
  </si>
  <si>
    <t>Moyenne consommations françaises (kgCO2e/produit)</t>
  </si>
  <si>
    <t>Total livraison (ktCO2e)</t>
  </si>
  <si>
    <t>Total transport (hors livraison) (ktCO2e)</t>
  </si>
  <si>
    <t>On prend ici en compte l'impact de la fin de vie des protections. On ne prend par en compte l'impact des émissions évitées par la fin de vie (valorisation de l'incinération, etc.)</t>
  </si>
  <si>
    <t xml:space="preserve">On utilise les facteurs d'émissions suivants : </t>
  </si>
  <si>
    <t>Ordures ménagères résiduelles/Fin de vie moyenne - Impacts</t>
  </si>
  <si>
    <t>kgCO2e/tonne de déchets</t>
  </si>
  <si>
    <t>Ordures ménagères résiduelles/Fin de vie moyenne - Emissions évitées</t>
  </si>
  <si>
    <r>
      <t xml:space="preserve">On ne compte la fin de vie des produits </t>
    </r>
    <r>
      <rPr>
        <b/>
        <sz val="11"/>
        <color theme="1"/>
        <rFont val="Arial"/>
        <family val="2"/>
        <scheme val="minor"/>
      </rPr>
      <t>vides</t>
    </r>
    <r>
      <rPr>
        <sz val="11"/>
        <color theme="1"/>
        <rFont val="Arial"/>
        <family val="2"/>
        <scheme val="minor"/>
      </rPr>
      <t>.</t>
    </r>
  </si>
  <si>
    <t>https://sci-hub.se/https://journals.sagepub.com/doi/10.1177/0734242X20954271?url_ver=Z39.88-2003&amp;rfr_id=ori:rid:crossref.org&amp;rfr_dat=cr_pub%20%200pubmed</t>
  </si>
  <si>
    <t>One used nappy weighs 320 g (Bae et al., 2018; Knowaste, 2019a; Rai et al., 2010).</t>
  </si>
  <si>
    <t>Emissions de GES - fin de vie (kgCO2e/produit)</t>
  </si>
  <si>
    <t>Municipal waste of countries belonging to the OECD contains on average 4.8% of adult nappies.</t>
  </si>
  <si>
    <t>4,9% in France</t>
  </si>
  <si>
    <t xml:space="preserve">FE Spécifique : </t>
  </si>
  <si>
    <t>CE_Delft_2M03_LCA_of_waste_treatment_of_diaper_material_Def.pdf</t>
  </si>
  <si>
    <t xml:space="preserve">Carbon footprint of dutch municipal solid waste incinerator for 1 tonne of diapers : </t>
  </si>
  <si>
    <t>Synthèse de l'étude de préfiguration de la filière REP textiles sanitaires à usage unique</t>
  </si>
  <si>
    <t>Poids fin de vie = x5</t>
  </si>
  <si>
    <t>Donc l'empreinte carbone de la fin de vie est ici sous estimée.</t>
  </si>
  <si>
    <t>Pansements et autres produits pour plaies et cicatrisation</t>
  </si>
  <si>
    <t>Production et stérilisation</t>
  </si>
  <si>
    <t>Bandes de contention</t>
  </si>
  <si>
    <t>Compresses</t>
  </si>
  <si>
    <t>I - Consommations françaises</t>
  </si>
  <si>
    <t>0) Consommations totales</t>
  </si>
  <si>
    <t>On regarde les données d'achats de pansements issues de la LPP, de données d'établissements hospitaliers, et de données transmises par le Neres calculées par Openhealth.</t>
  </si>
  <si>
    <t>Total (en euros)</t>
  </si>
  <si>
    <t>Pansements remboursés en ville</t>
  </si>
  <si>
    <t>Compresses et coton</t>
  </si>
  <si>
    <t>Moyens de fixation et de maintien</t>
  </si>
  <si>
    <t>Pansements (hors hydrocellulaires)</t>
  </si>
  <si>
    <t>Pansemens hydrocellulaires</t>
  </si>
  <si>
    <t>Set pour plaies chroniques</t>
  </si>
  <si>
    <t>Set pour plaies post-opératoires</t>
  </si>
  <si>
    <t>Pansements consommés à l'hôpital</t>
  </si>
  <si>
    <t>Extrapolé à partir des données d'un groupement d'hôpitaux</t>
  </si>
  <si>
    <t>Pansements non remboursés (officines et grandes surfaces)</t>
  </si>
  <si>
    <t>1) Bandes de contention</t>
  </si>
  <si>
    <t>Les bandes Urgo représente 87% des remboursements en €, et 90% des unités remboursées.</t>
  </si>
  <si>
    <t>On extrapole à partir des remboursements en €, en supposant que ces remboursements sont globalement proportionnels à la surface des bandes remboursées.</t>
  </si>
  <si>
    <t>On obtient les longueurs à partir de : https://my-medical.fr/en/products/bande-compression-systeme-urgo-k2-2-dimensions-urgo</t>
  </si>
  <si>
    <t>Longeur Ktech (cm)</t>
  </si>
  <si>
    <t>Longeur KPress (cm)</t>
  </si>
  <si>
    <t>Largeur (cm)</t>
  </si>
  <si>
    <t>Surface par unité Ktech (en m2)</t>
  </si>
  <si>
    <t>Surface totale Ktech (en m2)</t>
  </si>
  <si>
    <t>URGOK2 18-25 CM, LG 10CM</t>
  </si>
  <si>
    <t>URGOK2 18-25 CM, LG 12CM</t>
  </si>
  <si>
    <t>URGOK2 18-25 CM, LG 8CM</t>
  </si>
  <si>
    <t>URGOK2 25-32 CM, LG 10CM</t>
  </si>
  <si>
    <t>URGOK2 25-32 CM, LG 12CM</t>
  </si>
  <si>
    <t>URGOK2 25-32 CM, LG 8CM</t>
  </si>
  <si>
    <t>URGOK2 LATEX FREE 18-25CM,LG 10CM</t>
  </si>
  <si>
    <t>URGOK2 LATEX FREE 25-32CM, LG 10CM</t>
  </si>
  <si>
    <t>Total UrgoK2</t>
  </si>
  <si>
    <t>Total bandes LPP</t>
  </si>
  <si>
    <t>2) Compresses</t>
  </si>
  <si>
    <t>On regarde ici les compresses stériles non-tissés, et autres compresses.</t>
  </si>
  <si>
    <t>Surface (cm2)</t>
  </si>
  <si>
    <t>Compresses par unité</t>
  </si>
  <si>
    <t>m2 totale par unité</t>
  </si>
  <si>
    <t>Surface totale (m2)</t>
  </si>
  <si>
    <t>Nombre total de compresses</t>
  </si>
  <si>
    <t>[ 56 - 100 CM2[, BTE DE 10 SACHETS X 2,CEORA</t>
  </si>
  <si>
    <t>[ 56 - 100 CM2[, BTE DE 10 SACHETS X 2,EUROMEDIS</t>
  </si>
  <si>
    <t>[ 56 - 100 CM2[, BTE DE 10 SACHETS X 2,EVOLUPHARM</t>
  </si>
  <si>
    <t>[ 56 - 100 CM2[, BTE DE 10 SACHETS X 2,HARTMANN</t>
  </si>
  <si>
    <t>[ 56 - 100 CM2[, BTE DE 10 SACHETS X 2,IDC GROUP</t>
  </si>
  <si>
    <t>[ 56 - 100 CM2[, BTE DE 10 SACHETS X 2,LCH MEDICAL</t>
  </si>
  <si>
    <t>[ 56 - 100 CM2[, BTE DE 10 SACHETS X 2,LOHMANN &amp; RAU.</t>
  </si>
  <si>
    <t>[ 56 - 100 CM2[, BTE DE 10 SACHETS X 2,MARQUE VERTE</t>
  </si>
  <si>
    <t>[ 56 - 100 CM2[, BTE DE 10 SACHETS X 2,MOLNLYCKE</t>
  </si>
  <si>
    <t>[ 56 - 100 CM2[, BTE DE 10 SACHETS X 2,NEP DEVELOP</t>
  </si>
  <si>
    <t>[ 56 - 100 CM2[, BTE DE 10 SACHETS X 2,RAFFIN MEDICAL</t>
  </si>
  <si>
    <t>[ 56 - 100 CM2[, BTE DE 10 SACHETS X 2,SOINEO</t>
  </si>
  <si>
    <t>[ 56 - 100 CM2[, BTE DE 10 SACHETS X 2,SYLAMED</t>
  </si>
  <si>
    <t>[ 56 - 100 CM2[, BTE DE 10 SACHETS X 2,TETRA MEDICAL</t>
  </si>
  <si>
    <t>[ 56 - 100 CM2[, BTE DE 10 SACHETS X 2,URGO HEALTHCARE</t>
  </si>
  <si>
    <t>[ 56 - 100 CM2[, BTE DE 25 SACHETS X 2,CEORA</t>
  </si>
  <si>
    <t>[ 56 - 100 CM2[, BTE DE 25 SACHETS X 2,EUROMEDIS</t>
  </si>
  <si>
    <t>[ 56 - 100 CM2[, BTE DE 25 SACHETS X 2,EVOLUPHARM</t>
  </si>
  <si>
    <t>[ 56 - 100 CM2[, BTE DE 25 SACHETS X 2,HARTMANN</t>
  </si>
  <si>
    <t>[ 56 - 100 CM2[, BTE DE 25 SACHETS X 2,IDC GROUP</t>
  </si>
  <si>
    <t>[ 56 - 100 CM2[, BTE DE 25 SACHETS X 2,LCH MEDICAL</t>
  </si>
  <si>
    <t>[ 56 - 100 CM2[, BTE DE 25 SACHETS X 2,LOHMANN &amp; RAU.</t>
  </si>
  <si>
    <t>[ 56 - 100 CM2[, BTE DE 25 SACHETS X 2,MARQUE VERTE</t>
  </si>
  <si>
    <t>[ 56 - 100 CM2[, BTE DE 25 SACHETS X 2,MOLNLYCKE</t>
  </si>
  <si>
    <t>[ 56 - 100 CM2[, BTE DE 25 SACHETS X 2,NEP DEVELOP</t>
  </si>
  <si>
    <t>[ 56 - 100 CM2[, BTE DE 25 SACHETS X 2,RAFFIN MEDICAL</t>
  </si>
  <si>
    <t>[ 56 - 100 CM2[, BTE DE 25 SACHETS X 2,SOINEO</t>
  </si>
  <si>
    <t>[ 56 - 100 CM2[, BTE DE 25 SACHETS X 2,SYLAMED</t>
  </si>
  <si>
    <t>[ 56 - 100 CM2[, BTE DE 25 SACHETS X 2,TETRA MEDICAL</t>
  </si>
  <si>
    <t>[ 56 - 100 CM2[, BTE DE 25 SACHETS X 2,URGO HEALTHCARE</t>
  </si>
  <si>
    <t>[ 56 - 100 CM2[, BTE DE 25 SACHETS X 2,VYGON</t>
  </si>
  <si>
    <t>[ 56 - 100 CM2[, BTE DE 50 SACHETS X 2,CEORA</t>
  </si>
  <si>
    <t>[ 56 - 100 CM2[, BTE DE 50 SACHETS X 2,EUROMEDIS</t>
  </si>
  <si>
    <t>[ 56 - 100 CM2[, BTE DE 50 SACHETS X 2,EVOLUPHARM</t>
  </si>
  <si>
    <t>[ 56 - 100 CM2[, BTE DE 50 SACHETS X 2,GUANXI</t>
  </si>
  <si>
    <t>[ 56 - 100 CM2[, BTE DE 50 SACHETS X 2,HARTMANN</t>
  </si>
  <si>
    <t>[ 56 - 100 CM2[, BTE DE 50 SACHETS X 2,IDC GROUP</t>
  </si>
  <si>
    <t>[ 56 - 100 CM2[, BTE DE 50 SACHETS X 2,LCH MEDICAL</t>
  </si>
  <si>
    <t>[ 56 - 100 CM2[, BTE DE 50 SACHETS X 2,LOHMANN &amp; RAU.</t>
  </si>
  <si>
    <t>[ 56 - 100 CM2[, BTE DE 50 SACHETS X 2,MARQUE VERTE</t>
  </si>
  <si>
    <t>[ 56 - 100 CM2[, BTE DE 50 SACHETS X 2,MEDISTOCK</t>
  </si>
  <si>
    <t>[ 56 - 100 CM2[, BTE DE 50 SACHETS X 2,MOLNLYCKE</t>
  </si>
  <si>
    <t>[ 56 - 100 CM2[, BTE DE 50 SACHETS X 2,NEP DEVELOP</t>
  </si>
  <si>
    <t>[ 56 - 100 CM2[, BTE DE 50 SACHETS X 2,RAFFIN MEDICAL</t>
  </si>
  <si>
    <t>[ 56 - 100 CM2[, BTE DE 50 SACHETS X 2,SOINEO</t>
  </si>
  <si>
    <t>[ 56 - 100 CM2[, BTE DE 50 SACHETS X 2,SYLAMED</t>
  </si>
  <si>
    <t>[ 56 - 100 CM2[, BTE DE 50 SACHETS X 2,TETRA MEDICAL</t>
  </si>
  <si>
    <t>[ 56 - 100 CM2[, BTE DE 50 SACHETS X 2,URGO HEALTHCARE</t>
  </si>
  <si>
    <t>&gt; OU = 100CM2, BTE DE 10 SACHETS X 2,ASEPT INMED</t>
  </si>
  <si>
    <t>&gt; OU = 100CM2, BTE DE 10 SACHETS X 2,CEORA</t>
  </si>
  <si>
    <t>&gt; OU = 100CM2, BTE DE 10 SACHETS X 2,EUROMEDIS</t>
  </si>
  <si>
    <t>&gt; OU = 100CM2, BTE DE 10 SACHETS X 2,EVOLUPHARM</t>
  </si>
  <si>
    <t>&gt; OU = 100CM2, BTE DE 10 SACHETS X 2,GUANXI</t>
  </si>
  <si>
    <t>&gt; OU = 100CM2, BTE DE 10 SACHETS X 2,HARTMANN</t>
  </si>
  <si>
    <t>&gt; OU = 100CM2, BTE DE 10 SACHETS X 2,HOMESET</t>
  </si>
  <si>
    <t>&gt; OU = 100CM2, BTE DE 10 SACHETS X 2,IDC GROUP</t>
  </si>
  <si>
    <t>&gt; OU = 100CM2, BTE DE 10 SACHETS X 2,LCH MEDICAL</t>
  </si>
  <si>
    <t>&gt; OU = 100CM2, BTE DE 10 SACHETS X 2,LOHMANN &amp; RAU.</t>
  </si>
  <si>
    <t>&gt; OU = 100CM2, BTE DE 10 SACHETS X 2,MARQUE VERTE</t>
  </si>
  <si>
    <t>&gt; OU = 100CM2, BTE DE 10 SACHETS X 2,MEDISTOCK</t>
  </si>
  <si>
    <t>&gt; OU = 100CM2, BTE DE 10 SACHETS X 2,MOLNLYCKE</t>
  </si>
  <si>
    <t>&gt; OU = 100CM2, BTE DE 10 SACHETS X 2,MYHOMECARE</t>
  </si>
  <si>
    <t>&gt; OU = 100CM2, BTE DE 10 SACHETS X 2,NEP DEVELOP</t>
  </si>
  <si>
    <t>&gt; OU = 100CM2, BTE DE 10 SACHETS X 2,RAFFIN MEDICAL</t>
  </si>
  <si>
    <t>&gt; OU = 100CM2, BTE DE 10 SACHETS X 2,SOINEO</t>
  </si>
  <si>
    <t>&gt; OU = 100CM2, BTE DE 10 SACHETS X 2,SYLAMED</t>
  </si>
  <si>
    <t>&gt; OU = 100CM2, BTE DE 10 SACHETS X 2,TETRA MEDICAL</t>
  </si>
  <si>
    <t>&gt; OU = 100CM2, BTE DE 10 SACHETS X 2,URGO HEALTHCARE</t>
  </si>
  <si>
    <t>&gt; OU = 100CM2, BTE DE 25 SACHETS X 2,ASEPT INMED</t>
  </si>
  <si>
    <t>&gt; OU = 100CM2, BTE DE 25 SACHETS X 2,CEORA</t>
  </si>
  <si>
    <t>&gt; OU = 100CM2, BTE DE 25 SACHETS X 2,EUROMEDIS</t>
  </si>
  <si>
    <t>&gt; OU = 100CM2, BTE DE 25 SACHETS X 2,EVOLUPHARM</t>
  </si>
  <si>
    <t>&gt; OU = 100CM2, BTE DE 25 SACHETS X 2,HARTMANN</t>
  </si>
  <si>
    <t>&gt; OU = 100CM2, BTE DE 25 SACHETS X 2,HOMESET</t>
  </si>
  <si>
    <t>&gt; OU = 100CM2, BTE DE 25 SACHETS X 2,IDC GROUP</t>
  </si>
  <si>
    <t>&gt; OU = 100CM2, BTE DE 25 SACHETS X 2,LCH MEDICAL</t>
  </si>
  <si>
    <t>&gt; OU = 100CM2, BTE DE 25 SACHETS X 2,LOHMANN &amp; RAU.</t>
  </si>
  <si>
    <t>&gt; OU = 100CM2, BTE DE 25 SACHETS X 2,MARQUE VERTE</t>
  </si>
  <si>
    <t>&gt; OU = 100CM2, BTE DE 25 SACHETS X 2,MOLNLYCKE</t>
  </si>
  <si>
    <t>&gt; OU = 100CM2, BTE DE 25 SACHETS X 2,MYHOMECARE</t>
  </si>
  <si>
    <t>&gt; OU = 100CM2, BTE DE 25 SACHETS X 2,NEP DEVELOP</t>
  </si>
  <si>
    <t>&gt; OU = 100CM2, BTE DE 25 SACHETS X 2,PANSCARE</t>
  </si>
  <si>
    <t>&gt; OU = 100CM2, BTE DE 25 SACHETS X 2,RAFFIN MEDICAL</t>
  </si>
  <si>
    <t>&gt; OU = 100CM2, BTE DE 25 SACHETS X 2,SOINEO</t>
  </si>
  <si>
    <t>&gt; OU = 100CM2, BTE DE 25 SACHETS X 2,SYLAMED</t>
  </si>
  <si>
    <t>&gt; OU = 100CM2, BTE DE 25 SACHETS X 2,TETRA MEDICAL</t>
  </si>
  <si>
    <t>&gt; OU = 100CM2, BTE DE 25 SACHETS X 2,URGO HEALTHCARE</t>
  </si>
  <si>
    <t>&gt; OU = 100CM2, BTE DE 50 SACHETS X 2,ACAPLAST</t>
  </si>
  <si>
    <t>&gt; OU = 100CM2, BTE DE 50 SACHETS X 2,ASEPT INMED</t>
  </si>
  <si>
    <t>&gt; OU = 100CM2, BTE DE 50 SACHETS X 2,CEORA</t>
  </si>
  <si>
    <t>&gt; OU = 100CM2, BTE DE 50 SACHETS X 2,EUROMEDIS</t>
  </si>
  <si>
    <t>&gt; OU = 100CM2, BTE DE 50 SACHETS X 2,EVOLUPHARM</t>
  </si>
  <si>
    <t>&gt; OU = 100CM2, BTE DE 50 SACHETS X 2,HARTMANN</t>
  </si>
  <si>
    <t>&gt; OU = 100CM2, BTE DE 50 SACHETS X 2,HOMESET</t>
  </si>
  <si>
    <t>&gt; OU = 100CM2, BTE DE 50 SACHETS X 2,IDC GROUP</t>
  </si>
  <si>
    <t>&gt; OU = 100CM2, BTE DE 50 SACHETS X 2,LCH MEDICAL</t>
  </si>
  <si>
    <t>&gt; OU = 100CM2, BTE DE 50 SACHETS X 2,LOHMANN &amp; RAU.</t>
  </si>
  <si>
    <t>&gt; OU = 100CM2, BTE DE 50 SACHETS X 2,MARQUE VERTE</t>
  </si>
  <si>
    <t>&gt; OU = 100CM2, BTE DE 50 SACHETS X 2,MEDISTOCK</t>
  </si>
  <si>
    <t>&gt; OU = 100CM2, BTE DE 50 SACHETS X 2,MOLNLYCKE</t>
  </si>
  <si>
    <t>&gt; OU = 100CM2, BTE DE 50 SACHETS X 2,MYHOMECARE</t>
  </si>
  <si>
    <t>&gt; OU = 100CM2, BTE DE 50 SACHETS X 2,NEP DEVELOP</t>
  </si>
  <si>
    <t>&gt; OU = 100CM2, BTE DE 50 SACHETS X 2,PANSCARE</t>
  </si>
  <si>
    <t>&gt; OU = 100CM2, BTE DE 50 SACHETS X 2,RAFFIN MEDICAL</t>
  </si>
  <si>
    <t>&gt; OU = 100CM2, BTE DE 50 SACHETS X 2,SOINEO</t>
  </si>
  <si>
    <t>&gt; OU = 100CM2, BTE DE 50 SACHETS X 2,SUBRA MEDICAL</t>
  </si>
  <si>
    <t>&gt; OU = 100CM2, BTE DE 50 SACHETS X 2,SYLAMED</t>
  </si>
  <si>
    <t>&gt; OU = 100CM2, BTE DE 50 SACHETS X 2,TETRA MEDICAL</t>
  </si>
  <si>
    <t>&gt; OU = 100CM2, BTE DE 50 SACHETS X 2,URGO HEALTHCARE</t>
  </si>
  <si>
    <t>&gt; OU = 100CM2, BOITE DE 10 SACHETS X 2</t>
  </si>
  <si>
    <t>&gt; OU = 100CM2, BOITE DE 25 SACHETS X 2</t>
  </si>
  <si>
    <t>&gt; OU = 100CM2, BOITE DE 50 SACHETS X 2</t>
  </si>
  <si>
    <t>&gt; OU= 56CM2 &amp; &lt; 100CM2, BOITE DE 25 SACHETS X 2</t>
  </si>
  <si>
    <t>&gt; OU= 56CM2 &amp; &lt; 100CM2, BOITE DE 50 SACHETS X 2</t>
  </si>
  <si>
    <t>&gt; OU=56CM2 &amp; &lt; 100CM2, BOITE DE 10 SACHETS X 2</t>
  </si>
  <si>
    <t>Total compresses stériles non tissées</t>
  </si>
  <si>
    <t>[ 56 - 100 CM2[, PAR 100.,EVOLUPHARM</t>
  </si>
  <si>
    <t>[ 56 - 100 CM2[, PAR 100.,HARTMANN</t>
  </si>
  <si>
    <t>[ 56 - 100 CM2[, PAR 100.,LOHMANN &amp; RAU.</t>
  </si>
  <si>
    <t>[ 56 - 100 CM2[, PAR 100.,MEDISTOCK</t>
  </si>
  <si>
    <t>[ 56 - 100 CM2[, PAR 100.,MOLNLYCKE</t>
  </si>
  <si>
    <t>[ 56 - 100 CM2[, PAR 100.,RAFFIN MEDICAL</t>
  </si>
  <si>
    <t>[ 56 - 100 CM2[, PAR 100.,SOINEO</t>
  </si>
  <si>
    <t>[ 56 - 100 CM2[, PAR 100.,SYLAMED</t>
  </si>
  <si>
    <t>[ 56 - 100 CM2[, PAR 100.,TETRA MEDICAL</t>
  </si>
  <si>
    <t>&gt; OU = 100 CM2, PAR 100.</t>
  </si>
  <si>
    <t>&gt; OU = 100 CM2, PAR 100.,EVOLUPHARM</t>
  </si>
  <si>
    <t>&gt; OU = 100 CM2, PAR 100.,HARTMANN</t>
  </si>
  <si>
    <t>&gt; OU = 100 CM2, PAR 100.,LOHMANN &amp; RAU.</t>
  </si>
  <si>
    <t>&gt; OU = 100 CM2, PAR 100.,MEDISTOCK</t>
  </si>
  <si>
    <t>&gt; OU = 100 CM2, PAR 100.,MOLNLYCKE</t>
  </si>
  <si>
    <t>&gt; OU = 100 CM2, PAR 100.,RAFFIN MEDICAL</t>
  </si>
  <si>
    <t>&gt; OU = 100 CM2, PAR 100.,SOINEO</t>
  </si>
  <si>
    <t>&gt; OU = 100 CM2, PAR 100.,SYLAMED</t>
  </si>
  <si>
    <t>&gt; OU = 100 CM2, PAR 100.,TETRA MEDICAL</t>
  </si>
  <si>
    <t>Total compresses non stériles non tissées</t>
  </si>
  <si>
    <t>[ 56 - 100CM2[, 10 SACHETS X 2,CEORA</t>
  </si>
  <si>
    <t>[ 56 - 100CM2[, 10 SACHETS X 2,EUROMEDIS</t>
  </si>
  <si>
    <t>[ 56 - 100CM2[, 10 SACHETS X 2,EVOLUPHARM</t>
  </si>
  <si>
    <t>[ 56 - 100CM2[, 10 SACHETS X 2,HARTMANN</t>
  </si>
  <si>
    <t>[ 56 - 100CM2[, 10 SACHETS X 2,IDC GROUP</t>
  </si>
  <si>
    <t>[ 56 - 100CM2[, 10 SACHETS X 2,LOHMANN &amp; RAU.</t>
  </si>
  <si>
    <t>[ 56 - 100CM2[, 10 SACHETS X 2,MARQUE VERTE</t>
  </si>
  <si>
    <t>[ 56 - 100CM2[, 10 SACHETS X 2,MEDISTOCK</t>
  </si>
  <si>
    <t>[ 56 - 100CM2[, 10 SACHETS X 2,NEP DEVELOP</t>
  </si>
  <si>
    <t>[ 56 - 100CM2[, 10 SACHETS X 2,RAFFIN MEDICAL</t>
  </si>
  <si>
    <t>[ 56 - 100CM2[, 10 SACHETS X 2,SOINEO</t>
  </si>
  <si>
    <t>[ 56 - 100CM2[, 10 SACHETS X 2,SYLAMED</t>
  </si>
  <si>
    <t>[ 56 - 100CM2[, 10 SACHETS X 2,TETRA MEDICAL</t>
  </si>
  <si>
    <t>[ 56 - 100CM2[, 10 SACHETS X 2,URGO HEALTHCARE</t>
  </si>
  <si>
    <t>[ 56 - 100CM2[, 25 SACHETS X 2,CEORA</t>
  </si>
  <si>
    <t>[ 56 - 100CM2[, 25 SACHETS X 2,EUROMEDIS</t>
  </si>
  <si>
    <t>[ 56 - 100CM2[, 25 SACHETS X 2,EVOLUPHARM</t>
  </si>
  <si>
    <t>[ 56 - 100CM2[, 25 SACHETS X 2,HARTMANN</t>
  </si>
  <si>
    <t>[ 56 - 100CM2[, 25 SACHETS X 2,LABO URGO</t>
  </si>
  <si>
    <t>[ 56 - 100CM2[, 25 SACHETS X 2,LOHMANN &amp; RAU.</t>
  </si>
  <si>
    <t>[ 56 - 100CM2[, 25 SACHETS X 2,MARQUE VERTE</t>
  </si>
  <si>
    <t>[ 56 - 100CM2[, 25 SACHETS X 2,NEP DEVELOP</t>
  </si>
  <si>
    <t>[ 56 - 100CM2[, 25 SACHETS X 2,RAFFIN MEDICAL</t>
  </si>
  <si>
    <t>[ 56 - 100CM2[, 25 SACHETS X 2,SOINEO</t>
  </si>
  <si>
    <t>[ 56 - 100CM2[, 25 SACHETS X 2,SYLAMED</t>
  </si>
  <si>
    <t>[ 56 - 100CM2[, 25 SACHETS X 2,TETRA MEDICAL</t>
  </si>
  <si>
    <t>[ 56 - 100CM2[, 50 SACHETS X 2,CEORA</t>
  </si>
  <si>
    <t>[ 56 - 100CM2[, 50 SACHETS X 2,EUROMEDIS</t>
  </si>
  <si>
    <t>[ 56 - 100CM2[, 50 SACHETS X 2,EVOLUPHARM</t>
  </si>
  <si>
    <t>[ 56 - 100CM2[, 50 SACHETS X 2,GUANXI</t>
  </si>
  <si>
    <t>[ 56 - 100CM2[, 50 SACHETS X 2,HARTMANN</t>
  </si>
  <si>
    <t>[ 56 - 100CM2[, 50 SACHETS X 2,IDC GROUP</t>
  </si>
  <si>
    <t>[ 56 - 100CM2[, 50 SACHETS X 2,LABO URGO</t>
  </si>
  <si>
    <t>[ 56 - 100CM2[, 50 SACHETS X 2,LOHMANN &amp; RAU.</t>
  </si>
  <si>
    <t>[ 56 - 100CM2[, 50 SACHETS X 2,MARQUE VERTE</t>
  </si>
  <si>
    <t>[ 56 - 100CM2[, 50 SACHETS X 2,MOLNLYCKE</t>
  </si>
  <si>
    <t>[ 56 - 100CM2[, 50 SACHETS X 2,NEP DEVELOP</t>
  </si>
  <si>
    <t>[ 56 - 100CM2[, 50 SACHETS X 2,RAFFIN MEDICAL</t>
  </si>
  <si>
    <t>[ 56 - 100CM2[, 50 SACHETS X 2,SOINEO</t>
  </si>
  <si>
    <t>[ 56 - 100CM2[, 50 SACHETS X 2,SYLAMED</t>
  </si>
  <si>
    <t>[ 56 - 100CM2[, 50 SACHETS X 2,TETRA MEDICAL</t>
  </si>
  <si>
    <t>&gt; OU = 100CM2, 25 SACHETS X 2,CEORA</t>
  </si>
  <si>
    <t>&gt; OU = 100CM2, 25 SACHETS X 2,EUROMEDIS</t>
  </si>
  <si>
    <t>&gt; OU = 100CM2, 25 SACHETS X 2,EVOLUPHARM</t>
  </si>
  <si>
    <t>&gt; OU = 100CM2, 25 SACHETS X 2,HARTMANN</t>
  </si>
  <si>
    <t>&gt; OU = 100CM2, 25 SACHETS X 2,IDC GROUP</t>
  </si>
  <si>
    <t>&gt; OU = 100CM2, 25 SACHETS X 2,LOHMANN &amp; RAU.</t>
  </si>
  <si>
    <t>&gt; OU = 100CM2, 25 SACHETS X 2,MARQUE VERTE</t>
  </si>
  <si>
    <t>&gt; OU = 100CM2, 25 SACHETS X 2,NEP DEVELOP</t>
  </si>
  <si>
    <t>&gt; OU = 100CM2, 25 SACHETS X 2,RAFFIN MEDICAL</t>
  </si>
  <si>
    <t>&gt; OU = 100CM2, 25 SACHETS X 2,SOINEO</t>
  </si>
  <si>
    <t>&gt; OU = 100CM2, 25 SACHETS X 2,SYLAMED</t>
  </si>
  <si>
    <t>&gt; OU = 100CM2, 25 SACHETS X 2,TETRA MEDICAL</t>
  </si>
  <si>
    <t>&gt; OU = 100CM2, 25 SACHETS X 2,URGO HEALTHCARE</t>
  </si>
  <si>
    <t>&gt; OU = 100CM2, 50 SACHETS X 2,CEORA</t>
  </si>
  <si>
    <t>&gt; OU = 100CM2, 50 SACHETS X 2,EUROMEDIS</t>
  </si>
  <si>
    <t>&gt; OU = 100CM2, 50 SACHETS X 2,EVOLUPHARM</t>
  </si>
  <si>
    <t>&gt; OU = 100CM2, 50 SACHETS X 2,HARTMANN</t>
  </si>
  <si>
    <t>&gt; OU = 100CM2, 50 SACHETS X 2,IDC GROUP</t>
  </si>
  <si>
    <t>&gt; OU = 100CM2, 50 SACHETS X 2,LOHMANN &amp; RAU.</t>
  </si>
  <si>
    <t>&gt; OU = 100CM2, 50 SACHETS X 2,MARQUE VERTE</t>
  </si>
  <si>
    <t>&gt; OU = 100CM2, 50 SACHETS X 2,MEDISTOCK</t>
  </si>
  <si>
    <t>&gt; OU = 100CM2, 50 SACHETS X 2,MOLNLYCKE</t>
  </si>
  <si>
    <t>&gt; OU = 100CM2, 50 SACHETS X 2,NEP DEVELOP</t>
  </si>
  <si>
    <t>&gt; OU = 100CM2, 50 SACHETS X 2,RAFFIN MEDICAL</t>
  </si>
  <si>
    <t>&gt; OU = 100CM2, 50 SACHETS X 2,SOINEO</t>
  </si>
  <si>
    <t>&gt; OU = 100CM2, 50 SACHETS X 2,SYLAMED</t>
  </si>
  <si>
    <t>&gt; OU = 100CM2, 50 SACHETS X 2,TETRA MEDICAL</t>
  </si>
  <si>
    <t>&gt; OU = 100CM2, 50 SACHETS X 2,URGO HEALTHCARE</t>
  </si>
  <si>
    <t>&gt; OU =100CM2, 10 SACHETS X 2,ASEPT INMED</t>
  </si>
  <si>
    <t>&gt; OU =100CM2, 10 SACHETS X 2,CEORA</t>
  </si>
  <si>
    <t>&gt; OU =100CM2, 10 SACHETS X 2,EUROMEDIS</t>
  </si>
  <si>
    <t>&gt; OU =100CM2, 10 SACHETS X 2,EVOLUPHARM</t>
  </si>
  <si>
    <t>&gt; OU =100CM2, 10 SACHETS X 2,GUANXI</t>
  </si>
  <si>
    <t>&gt; OU =100CM2, 10 SACHETS X 2,HARTMANN</t>
  </si>
  <si>
    <t>&gt; OU =100CM2, 10 SACHETS X 2,IDC GROUP</t>
  </si>
  <si>
    <t>&gt; OU =100CM2, 10 SACHETS X 2,LOHMANN &amp; RAU.</t>
  </si>
  <si>
    <t>&gt; OU =100CM2, 10 SACHETS X 2,MARQUE VERTE</t>
  </si>
  <si>
    <t>&gt; OU =100CM2, 10 SACHETS X 2,NEP DEVELOP</t>
  </si>
  <si>
    <t>&gt; OU =100CM2, 10 SACHETS X 2,RAFFIN MEDICAL</t>
  </si>
  <si>
    <t>&gt; OU =100CM2, 10 SACHETS X 2,SOINEO</t>
  </si>
  <si>
    <t>&gt; OU =100CM2, 10 SACHETS X 2,SYLAMED</t>
  </si>
  <si>
    <t>&gt; OU =100CM2, 10 SACHETS X 2,TETRA MEDICAL</t>
  </si>
  <si>
    <t>&gt; OU =100CM2, 10 SACHETS X 2,URGO HEALTHCARE</t>
  </si>
  <si>
    <t>&gt; OU = 100CM2, 50 SACHETS X 2</t>
  </si>
  <si>
    <t>&gt; OU = 56CM2 &amp; &lt; 100CM2, 50 SACHETS X 2</t>
  </si>
  <si>
    <t>&gt; OU = 56CM2 &amp;&lt; 100CM2, 10 SACHETS X 2</t>
  </si>
  <si>
    <t>&gt; OU =100CM2, 10 SACHETS X 2</t>
  </si>
  <si>
    <t>Total compresses stériles de gaze hydrophile</t>
  </si>
  <si>
    <t>&gt; OU = 100 CM2 ET &lt; 200 CM2, B/10.,EUROMEDIS</t>
  </si>
  <si>
    <t>&gt; OU = 100 CM2 ET &lt; 200 CM2, B/10.,EVOLUPHARM</t>
  </si>
  <si>
    <t>&gt; OU = 100 CM2 ET &lt; 200 CM2, B/10.,HARTMANN</t>
  </si>
  <si>
    <t>&gt; OU = 100 CM2 ET &lt; 200 CM2, B/10.,INNOSET</t>
  </si>
  <si>
    <t>&gt; OU = 100 CM2 ET &lt; 200 CM2, B/10.,LOHMANN &amp; RAU.</t>
  </si>
  <si>
    <t>&gt; OU = 100 CM2 ET &lt; 200 CM2, B/10.,MARQUE VERTE</t>
  </si>
  <si>
    <t>&gt; OU = 100 CM2 ET &lt; 200 CM2, B/10.,MOLNLYCKE</t>
  </si>
  <si>
    <t>&gt; OU = 100 CM2 ET &lt; 200 CM2, B/10.,SOINEO</t>
  </si>
  <si>
    <t>&gt; OU = 100 CM2 ET &lt; 200 CM2, B/10.,SYLAMED</t>
  </si>
  <si>
    <t>&gt; OU = 100 CM2 ET &lt; 200 CM2, B/10.,TETRA MEDICAL</t>
  </si>
  <si>
    <t>&gt; OU = 200 CM2 ET &lt; 300 CM2, B/10.,CEORA</t>
  </si>
  <si>
    <t>&gt; OU = 200 CM2 ET &lt; 300 CM2, B/10.,EUROMEDIS</t>
  </si>
  <si>
    <t>&gt; OU = 200 CM2 ET &lt; 300 CM2, B/10.,EVOLUPHARM</t>
  </si>
  <si>
    <t>&gt; OU = 200 CM2 ET &lt; 300 CM2, B/10.,HARTMANN</t>
  </si>
  <si>
    <t>&gt; OU = 200 CM2 ET &lt; 300 CM2, B/10.,MARQUE VERTE</t>
  </si>
  <si>
    <t>&gt; OU = 200 CM2 ET &lt; 300 CM2, B/10.,MOLNLYCKE</t>
  </si>
  <si>
    <t>&gt; OU = 200 CM2 ET &lt; 300 CM2, B/10.,SOINEO</t>
  </si>
  <si>
    <t>&gt; OU = 200 CM2 ET &lt; 300 CM2, B/10.,SYLAMED</t>
  </si>
  <si>
    <t>&gt; OU = 200 CM2 ET &lt; 300 CM2, B/10.,TETRA MEDICAL</t>
  </si>
  <si>
    <t>&gt; OU = 300 CM2 ET &lt; 500 CM2, B/10,CEORA</t>
  </si>
  <si>
    <t>&gt; OU = 300 CM2 ET &lt; 500 CM2, B/10,EUROMEDIS</t>
  </si>
  <si>
    <t>&gt; OU = 300 CM2 ET &lt; 500 CM2, B/10,EVOLUPHARM</t>
  </si>
  <si>
    <t>&gt; OU = 300 CM2 ET &lt; 500 CM2, B/10,HARTMANN</t>
  </si>
  <si>
    <t>&gt; OU = 300 CM2 ET &lt; 500 CM2, B/10,LOHMANN &amp; RAU.</t>
  </si>
  <si>
    <t>&gt; OU = 300 CM2 ET &lt; 500 CM2, B/10,MARQUE VERTE</t>
  </si>
  <si>
    <t>&gt; OU = 300 CM2 ET &lt; 500 CM2, B/10,MOLNLYCKE</t>
  </si>
  <si>
    <t>&gt; OU = 300 CM2 ET &lt; 500 CM2, B/10,SOINEO</t>
  </si>
  <si>
    <t>&gt; OU = 300 CM2 ET &lt; 500 CM2, B/10,SYLAMED</t>
  </si>
  <si>
    <t>&gt; OU = 300 CM2 ET &lt; 500 CM2, B/10,TETRA MEDICAL</t>
  </si>
  <si>
    <t>&gt; OU = 500 CM2, B/10.,EUROMEDIS</t>
  </si>
  <si>
    <t>&gt; OU = 500 CM2, B/10.,EVOLUPHARM</t>
  </si>
  <si>
    <t>&gt; OU = 500 CM2, B/10.,HARTMANN</t>
  </si>
  <si>
    <t>&gt; OU = 500 CM2, B/10.,LOHMANN &amp; RAU.</t>
  </si>
  <si>
    <t>&gt; OU = 500 CM2, B/10.,MARQUE VERTE</t>
  </si>
  <si>
    <t>&gt; OU = 500 CM2, B/10.,MOLNLYCKE</t>
  </si>
  <si>
    <t>&gt; OU = 500 CM2, B/10.,SOINEO</t>
  </si>
  <si>
    <t>&gt; OU = 500 CM2, B/10.,SYLAMED</t>
  </si>
  <si>
    <t>&gt; OU = 500 CM2, B/10.,TETRA MEDICAL</t>
  </si>
  <si>
    <t>Total pansements/compresses stériles absorbant non adhérent</t>
  </si>
  <si>
    <t>Total compresses LPP</t>
  </si>
  <si>
    <t>A partir du nombre de ventes en OTC, on en déduit les surfaces et le nombre de compresses vendues en officine non remboursées :</t>
  </si>
  <si>
    <t xml:space="preserve"> Total compresses stériles non tissées </t>
  </si>
  <si>
    <t xml:space="preserve"> Total compresses non stériles non tissées </t>
  </si>
  <si>
    <t xml:space="preserve"> Total compresses stériles de gaze hydrophile </t>
  </si>
  <si>
    <t>Total compresses OTC</t>
  </si>
  <si>
    <t>3) Pansements hydrocellulaires</t>
  </si>
  <si>
    <t xml:space="preserve">On regarde les rmeboursements de la LPP en pansements hydrocellulaires : </t>
  </si>
  <si>
    <t>Pansements par unité</t>
  </si>
  <si>
    <t>Nombre total de pansements</t>
  </si>
  <si>
    <t>PANSEMENTS HYDROCELLULAIRES, 156 CM2, URGO, URGOSTART, B/16.</t>
  </si>
  <si>
    <t>PANSEMENTS HYDROCELLULAIRES, 169 CM2, URGO, URGOSTART BORDER, B/16.</t>
  </si>
  <si>
    <t>PANSEMENTS HYDROCELLULAIRES, 228 CM2, URGO, URGOSTART, B/16.</t>
  </si>
  <si>
    <t>PANSEMENTS HYDROCELLULAIRES, 300 CM2, URGO, URGOSTART BORDER, B/16.</t>
  </si>
  <si>
    <t>PANSEMENTS HYDROCELLULAIRES, 300 CM2, URGO, URGOSTART, B/16.</t>
  </si>
  <si>
    <t>PANSEMENTS HYDROCELLULAIRES, 400 CM2, URGO, URGOSTART BORDER, B/16.</t>
  </si>
  <si>
    <t>PANSEMENTS HYDROCELLULAIRES, 64 CM2, URGO, URGOSTART BORDER, B/16.</t>
  </si>
  <si>
    <t>Total autres pansements hydrocellulaires à absortion importante</t>
  </si>
  <si>
    <t>PANSEMENT ANATOMIQUE ABSORP IMPTE, 198 CM2, SMITH, ALLEVYN HEEL, B/10</t>
  </si>
  <si>
    <t>PANSEMENT ANATOMIQUE ABSORP IMPTE, 210 CM2, MOLNLYCKE, MEPILEX TALON, B/10.</t>
  </si>
  <si>
    <t>PANSEMENT ANATOMIQUE ABSORP IMPTE, 234 CM2, HARTMANN, HYDROTAC CONCAVE, B/10</t>
  </si>
  <si>
    <t>PANSEMENT ANATOMIQUE ABSORP IMPTE, 234CM2, SMITH, ALLEVYN LIFE SACRUM, B/10.</t>
  </si>
  <si>
    <t>PANSEMENT ANATOMIQUE ABSORP IMPTE, 255 CM2, MOLNLYCKE, MEPILEX TALON, B/10</t>
  </si>
  <si>
    <t>PANSEMENT ANATOMIQUE ABSORP IMPTE, 302 CM2, LOHMANN, SUPRASORB P SACRUM, B/10</t>
  </si>
  <si>
    <t>PANSEMENT ANATOMIQUE ABSORP IMPTE, 385 CM2, SMITH, ALLEVYN LIFE SACRUM, B/10.</t>
  </si>
  <si>
    <t>PANSEMENT ANATOMIQUE ABSORP IMPTE, 545CM2, SMITH, ALLEVYN LIFE HEEL, B/10.</t>
  </si>
  <si>
    <t>PANSEMENT ANATOMIQUE ABSORP IMPTE, ADH, 200 CM2,HARTMANN,PERMAFOAM SACRAL,B/10.</t>
  </si>
  <si>
    <t>PANSEMENT ANATOMIQUE ABSORP IMPTE, ADH, 220 CM2, SMITH, ALLEVYN GBM, B/10</t>
  </si>
  <si>
    <t>PANSEMENT ANATOMIQUE ABSORP IMPTE, ADH, 223CM2,MOLNLYCKE,MEPILEX BP SACRUM,B/ 10</t>
  </si>
  <si>
    <t>PANSEMENT ANATOMIQUE ABSORP IMPTE, ADH, 226 CM2, HARTMANN, HYDROTAC SACRAL, B/10</t>
  </si>
  <si>
    <t>PANSEMENT ANATOMIQUE ABSORP IMPTE, ADH, 247 CM2, CONVATEC, AQUACEL FOAM T, B/10.</t>
  </si>
  <si>
    <t>PANSEMENT ANATOMIQUE ABSORP IMPTE, ADH, 282CM¿, CONVATEC, AQUACEL FOAM S, B/10</t>
  </si>
  <si>
    <t>PANSEMENT ANATOMIQUE ABSORP IMPTE, ADH, 302 CM2, KCI, TIELLE SACRUM, B/10.</t>
  </si>
  <si>
    <t>PANSEMENT ANATOMIQUE ABSORP IMPTE, ADH, 325 CM2,URGO,URGOTUL BORDER SACRUM,B/10</t>
  </si>
  <si>
    <t>PANSEMENT ANATOMIQUE ABSORP IMPTE, ADH, 336 CM2, HARTMANN, HYDROTAC SACRAL, B/10</t>
  </si>
  <si>
    <t>PANSEMENT ANATOMIQUE ABSORP IMPTE, ADH, 380CM2, MOLNLYCKE, MEPILEX B SACRUM,B/10</t>
  </si>
  <si>
    <t>PANSEMENT ANATOMIQUE ABSORP IMPTE, ADH, 398CM2, MOLNLYCKE, MEPILEX B TALON, B/10</t>
  </si>
  <si>
    <t>PANSEMENT ANATOMIQUE ABSORP IMPTE, ADH, 402 CM2, COLOPLAST, BIATAIN SACRUM, B/5</t>
  </si>
  <si>
    <t>PANSEMENT ANATOMIQUE ABSORP IMPTE, ADH, 434 CM2, CONVATEC, AQUACEL FOAM S, B/10</t>
  </si>
  <si>
    <t>PANSEMENT ANATOMIQUE ABSORP IMPTE, ADH, 460CM2, SMITH, ALLEVYN GB HEEL, B/10.</t>
  </si>
  <si>
    <t>PANSEMENT ANATOMIQUE ABSORP IMPTE, ADH, 465 CM2, COLOPLAST, BIATAIN TALON, B/5.</t>
  </si>
  <si>
    <t>PANSEMENTS HYDROCELLULAIRES, 156 CM2, URGO, URGOSTART PLUS COMPRESSE, B/16</t>
  </si>
  <si>
    <t>PANSEMENTS HYDROCELLULAIRES, 169 CM2, URGO, URGOSTART PLUS BORDER, B/16</t>
  </si>
  <si>
    <t>PANSEMENTS HYDROCELLULAIRES, 300 CM2, URGO, URGOSTART PLUS ABSORB, B/16</t>
  </si>
  <si>
    <t>PANSEMENTS HYDROCELLULAIRES, 300 CM2, URGO, URGOSTART PLUS BORDER, B/16</t>
  </si>
  <si>
    <t>PANSEMENTS HYDROCELLULAIRES, 300 CM2, URGO, URGOSTART PLUS COMPRESSE, B/16</t>
  </si>
  <si>
    <t>PANSEMENTS HYDROCELLULAIRES, 36 CM2, URGO, URGOSTART PLUS ABSORB, B/10.</t>
  </si>
  <si>
    <t>PANSEMENTS HYDROCELLULAIRES, 36 CM2, URGO, URGOSTART PLUS COMPRESSE, B/16</t>
  </si>
  <si>
    <t>PANSEMENTS HYDROCELLULAIRES, 400 CM2, URGO, URGOSTART PLUS BORDER, B/16</t>
  </si>
  <si>
    <t>PANSEMENTS HYDROCELLULAIRES, 64 CM2, URGO, URGOSTART PLUS BORDER, B/16</t>
  </si>
  <si>
    <t>PANSMT ANATOM ABSORP IMPTE, 242 CM2, MARQUE VERTE, ABSOFOAM BORD SACRUM, B/10.</t>
  </si>
  <si>
    <t>PANSMT ANATOM ABSORP IMPTE, 433 CM2, MARQUE VERTE, ABSOFOAM BORD SACRUM, B/10.</t>
  </si>
  <si>
    <t>PANST ANAT ABSORP IMPTE, ADH SILIC, 229CM2, COLOPLAST, BIATAIN SILICONE SAC, B/5</t>
  </si>
  <si>
    <t>PANST ANAT ABSORP IMPTE, ADH SILIC, 293CM2, COLOPLAST, BIATAIN SILICONE TAL, B/5</t>
  </si>
  <si>
    <t>PANST ANAT ABSORP IMPTE, ADH SILIC, 485CM2, COLOPLAST, BIATAIN SILICONE SAC, B/5</t>
  </si>
  <si>
    <t>PANST ANAT ABSORP IMPTE, ADH SILIC,215CM2, COLOPLAST,BIATAIN SILICONE MULTI,B/5</t>
  </si>
  <si>
    <t>PANST ANATOMIQUE ABSORP IMPTE, ADH, 247 CM2, CONVATEC, AQUACEL FOAM PRO T, B/10</t>
  </si>
  <si>
    <t>PANST ANATOMIQUE ABSORP IMPTE, ADH, 282 CM2, CONVATEC, AQUACEL FOAM PRO S, B/5</t>
  </si>
  <si>
    <t>PANST ANATOMIQUE ABSORP IMPTE, ADH, 434 CM2, CONVATEC, AQUACEL FOAM PRO S, B/5</t>
  </si>
  <si>
    <t xml:space="preserve">Total pansements anatomiques hydrocellulaires à absorption importante </t>
  </si>
  <si>
    <t>Dont 38% Molnlycke, 31% Urgo</t>
  </si>
  <si>
    <t>PANSEMENT ANATOMIQUE ABSORP MOY, 225 CM2, B.BRAUN, ASKINA HEEL, B/10</t>
  </si>
  <si>
    <t>PANSEMENT ANATOMIQUE ABSORP MOY, ADH, 226 CM2, B.BRAUN, ASKINA SACRUM, B/10</t>
  </si>
  <si>
    <t>PANSEMENT ANATOMIQUE ABSORP MOY, ADH, 47 CM2, SMITH, ALLEVYN GBLM, B/10</t>
  </si>
  <si>
    <t>PANSEMENT ANATOMIQUE ABSORP MOY, ADH,433 CM2, B.BRAUN,ASKINA DRESSIL HEEL, B/10</t>
  </si>
  <si>
    <t>Total pansements anatomiques hydrocellulaires à absorption moyenne</t>
  </si>
  <si>
    <t>PANS. HYDROCEL ABSORP MOY, ADH, &gt; OU = 25 CM2 ET &lt; 50 CM2, B/10.,EVOLUPHARM</t>
  </si>
  <si>
    <t>PANS. HYDROCEL ABSORP MOY, ADH, &gt; OU = 25 CM2 ET &lt; 50 CM2, B/10.,HARTMANN</t>
  </si>
  <si>
    <t>PANS. HYDROCEL ABSORP MOY, ADH, &gt; OU = 25 CM2 ET &lt; 50 CM2, B/10.,LOHMANN &amp; RAU.</t>
  </si>
  <si>
    <t>PANS. HYDROCEL ABSORP MOY, ADH, &gt; OU = 25 CM2 ET &lt; 50 CM2, B/10.,MARQUE VERTE</t>
  </si>
  <si>
    <t>PANS. HYDROCEL ABSORP MOY, ADH, &gt; OU = 25 CM2 ET &lt; 50 CM2, B/10.,MOLNLYCKE</t>
  </si>
  <si>
    <t>PANS. HYDROCEL ABSORP MOY, ADH, &gt; OU = 25 CM2 ET &lt; 50 CM2, B/10.,SYLAMED</t>
  </si>
  <si>
    <t>PANS. HYDROCELL ABS MOY, ADH, &gt; OU = 100 CM2 ET &lt; 120 CM2, B/10,LABO CONVATEC</t>
  </si>
  <si>
    <t>PANS. HYDROCELL ABS MOY, ADH, &gt; OU = 100 CM2 ET &lt; 120 CM2, B/10,LOHMANN &amp; RAU.</t>
  </si>
  <si>
    <t>PANS. HYDROCELL ABS MOY, ADH, &gt; OU = 100 CM2 ET &lt; 120 CM2, B/10,SMITH ET NEPHEW</t>
  </si>
  <si>
    <t>PANS. HYDROCELL ABS MOY, ADH, &gt; OU = 120 CM2 ET &lt; 156 CM2, B/10,COLOPLAST</t>
  </si>
  <si>
    <t>PANS. HYDROCELL ABS MOY, ADH, &gt; OU = 120 CM2 ET &lt; 156 CM2, B/10,HARTMANN</t>
  </si>
  <si>
    <t>PANS. HYDROCELL ABS MOY, ADH, &gt; OU = 120 CM2 ET &lt; 156 CM2, B/10,LABO URGO</t>
  </si>
  <si>
    <t>PANS. HYDROCELL ABS MOY, ADH, &gt; OU = 120 CM2 ET &lt; 156 CM2, B/10,LOHMANN &amp; RAU.</t>
  </si>
  <si>
    <t>PANS. HYDROCELL ABS MOY, ADH, &gt; OU = 120 CM2 ET &lt; 156 CM2, B/10,MARQUE VERTE</t>
  </si>
  <si>
    <t>PANS. HYDROCELL ABS MOY, ADH, &gt; OU = 120 CM2 ET &lt; 156 CM2, B/10,MOLNLYCKE</t>
  </si>
  <si>
    <t>PANS. HYDROCELL ABS MOY, ADH, &gt; OU = 120 CM2 ET &lt; 156 CM2, B/10,SMITH ET NEPHEW</t>
  </si>
  <si>
    <t>PANS. HYDROCELL ABS MOY, ADH, &gt; OU = 120 CM2 ET &lt; 156 CM2, B/10,SYLAMED</t>
  </si>
  <si>
    <t>PANS. HYDROCELL ABS MOY, ADH, &gt; OU = 200 CM2 ET &lt; 225 CM2, B/10,B.BRAUN MEDICAL</t>
  </si>
  <si>
    <t>PANS. HYDROCELL ABS MOY, ADH, &gt; OU = 200 CM2 ET &lt; 225 CM2, B/10,HARTMANN</t>
  </si>
  <si>
    <t>PANS. HYDROCELL ABS MOY, ADH, &gt; OU = 200 CM2 ET &lt; 225 CM2, B/10,LABO CONVATEC</t>
  </si>
  <si>
    <t>PANS. HYDROCELL ABS MOY, ADH, &gt; OU = 200 CM2 ET &lt; 225 CM2, B/10,LABO URGO</t>
  </si>
  <si>
    <t>PANS. HYDROCELL ABS MOY, ADH, &gt; OU = 200 CM2 ET &lt; 225 CM2, B/10,LOHMANN &amp; RAU.</t>
  </si>
  <si>
    <t>PANS. HYDROCELL ABS MOY, ADH, &gt; OU = 200 CM2 ET &lt; 225 CM2, B/10,MARQUE VERTE</t>
  </si>
  <si>
    <t>PANS. HYDROCELL ABS MOY, ADH, &gt; OU = 200 CM2 ET &lt; 225 CM2, B/10,MOLNLYCKE</t>
  </si>
  <si>
    <t>PANS. HYDROCELL ABS MOY, ADH, &gt; OU = 200 CM2 ET &lt; 225 CM2, B/10,SMITH ET NEPHEW</t>
  </si>
  <si>
    <t>PANS. HYDROCELL ABS MOY, ADH, &gt; OU = 200 CM2 ET &lt; 225 CM2, B/10,SYLAMED</t>
  </si>
  <si>
    <t>PANS. HYDROCELL ABS MOY, ADH, &gt; OU = 225 CM2 ET &lt; 300 CM2, B/10,COLOPLAST</t>
  </si>
  <si>
    <t>PANS. HYDROCELL ABS MOY, ADH, &gt; OU = 225 CM2 ET &lt; 300 CM2, B/10,LABO CONVATEC</t>
  </si>
  <si>
    <t>PANS. HYDROCELL ABS MOY, ADH, &gt; OU = 225 CM2 ET &lt; 300 CM2, B/10,MOLNLYCKE</t>
  </si>
  <si>
    <t>PANS. HYDROCELL ABS MOY, ADH, &gt; OU = 225 CM2 ET &lt; 300 CM2, B/10,SMITH ET NEPHEW</t>
  </si>
  <si>
    <t>PANS. HYDROCELL ABS MOY, ADH, &gt; OU = 300 CM2 ET &lt; 400 CM2, B/10,HARTMANN</t>
  </si>
  <si>
    <t>PANS. HYDROCELL ABS MOY, ADH, &gt; OU = 300 CM2 ET &lt; 400 CM2, B/10,LABO URGO</t>
  </si>
  <si>
    <t>PANS. HYDROCELL ABS MOY, ADH, &gt; OU = 63 CM2 ET &lt; 100 CM2, B/10.,B.BRAUN MEDICAL</t>
  </si>
  <si>
    <t>PANS. HYDROCELL ABS MOY, ADH, &gt; OU = 63 CM2 ET &lt; 100 CM2, B/10.,EVOLUPHARM</t>
  </si>
  <si>
    <t>PANS. HYDROCELL ABS MOY, ADH, &gt; OU = 63 CM2 ET &lt; 100 CM2, B/10.,HARTMANN</t>
  </si>
  <si>
    <t>PANS. HYDROCELL ABS MOY, ADH, &gt; OU = 63 CM2 ET &lt; 100 CM2, B/10.,LABO CONVATEC</t>
  </si>
  <si>
    <t>PANS. HYDROCELL ABS MOY, ADH, &gt; OU = 63 CM2 ET &lt; 100 CM2, B/10.,LABO URGO</t>
  </si>
  <si>
    <t>PANS. HYDROCELL ABS MOY, ADH, &gt; OU = 63 CM2 ET &lt; 100 CM2, B/10.,LOHMANN &amp; RAU.</t>
  </si>
  <si>
    <t>PANS. HYDROCELL ABS MOY, ADH, &gt; OU = 63 CM2 ET &lt; 100 CM2, B/10.,MARQUE VERTE</t>
  </si>
  <si>
    <t>PANS. HYDROCELL ABS MOY, ADH, &gt; OU = 63 CM2 ET &lt; 100 CM2, B/10.,MOLNLYCKE</t>
  </si>
  <si>
    <t>PANS. HYDROCELL ABS MOY, ADH, &gt; OU = 63 CM2 ET &lt; 100 CM2, B/10.,SMITH ET NEPHEW</t>
  </si>
  <si>
    <t>PANS. HYDROCELL ABS MOY, ADH, &gt; OU = 63 CM2 ET &lt; 100 CM2, B/10.,SYLAMED</t>
  </si>
  <si>
    <t>PANS. HYDROCELL ABSORB MOY, &gt; OU = 120 CM2 ET &lt; 156 CM2, B/10.,INNOSET</t>
  </si>
  <si>
    <t>PANS. HYDROCELL ABSORB MOY, &gt; OU = 156 CM2 ET &lt; 200 CM2, B/10.,LABO URGO</t>
  </si>
  <si>
    <t>PANS. HYDROCELL ABSORB MOY, &gt; OU = 200 CM2 ET &lt; 225 CM2, B/10.,LABO URGO</t>
  </si>
  <si>
    <t>PANS. HYDROCELL ABSORB MOY, &gt; OU = 200 CM2 ET &lt; 225 CM2, B/10.,MOLNLYCKE</t>
  </si>
  <si>
    <t>PANS. HYDROCELL ABSORB MOY, &gt; OU = 300 CM2 ET &lt; 400 CM2, B/10,LABO URGO</t>
  </si>
  <si>
    <t>PANS. HYDROCELL ABSORB MOY, &gt; OU = 300 CM2 ET &lt; 400 CM2, B/10,MOLNLYCKE</t>
  </si>
  <si>
    <t>PANS. HYDROCELL ABSORB MOY, ADH, &gt;OU =156 CM2 ET &lt;200 CM2,B/10.,COLOPLAST</t>
  </si>
  <si>
    <t>PANS. HYDROCELL ABSORB MOY, ADH, &gt;OU =156 CM2 ET &lt;200 CM2,B/10.,SMITH ET NEPHEW</t>
  </si>
  <si>
    <t>PANS. HYDROCELL ABSORP MOY, &gt; OU = 100 CM2 ET &lt; 120 CM2, B/10,BRIGHTWAKE</t>
  </si>
  <si>
    <t>PANS. HYDROCELL ABSORP MOY, &gt; OU = 63 CM2 ET &lt; 100 CM2, B/10.,KCI MEDICAL</t>
  </si>
  <si>
    <t>PANS. HYDROCELL ABSORP MOY, &gt; OU = 63 CM2 ET &lt; 100 CM2, B/10.,LABO URGO</t>
  </si>
  <si>
    <t>PANS. HYDROCELL ABSORP MOY, &gt; OU = 63 CM2 ET &lt; 100 CM2, B/10.,MOLNLYCKE</t>
  </si>
  <si>
    <t>PANS. HYDROCELL ABSORP MOY, ADHESIF, &gt;OU= 25CM2 ET &lt;50 CM2,B/5,COLOPLAST</t>
  </si>
  <si>
    <t>PANS. HYDROCELL ABSORP MOY,ADHESIF, &gt;OU=50 CM2 ET &lt; 63 CM2,B/10.,COLOPLAST</t>
  </si>
  <si>
    <t>PANS. HYDROCELL ABSORP MOY,ADHESIF, &gt;OU=50 CM2 ET &lt; 63 CM2,B/10.,LOHMANN &amp; RAU.</t>
  </si>
  <si>
    <t>PANS. HYDROCELL ABSORP MOY,ADHESIF, &gt;OU=50 CM2 ET &lt; 63 CM2,B/10.,SMITH ET NEPHEW</t>
  </si>
  <si>
    <t>PANSEMENT HYDROCELLULAIRE ABSORP MOY, ADHESIF, &gt; OU = 63 CM2 ET &lt; 100 CM2, B/10.</t>
  </si>
  <si>
    <t>Total pansements hydrocellulaires à absorption moyenne</t>
  </si>
  <si>
    <t>Dont 57% Molnlycke</t>
  </si>
  <si>
    <t>PANS. HYDROCEL ABSORP IMPTE, ADH, &gt;OU =120 CM2 ET &lt;156 CM2, B/10,3M FRANCE</t>
  </si>
  <si>
    <t>PANS. HYDROCEL ABSORP IMPTE, ADH, &gt;OU =120 CM2 ET &lt;156 CM2, B/10,HARTMANN</t>
  </si>
  <si>
    <t>PANS. HYDROCEL ABSORP IMPTE, ADH, &gt;OU =120 CM2 ET &lt;156 CM2, B/10,LABO URGO</t>
  </si>
  <si>
    <t>PANS. HYDROCEL ABSORP IMPTE, ADH, &gt;OU =200 CM2 ET &lt;225 CM2, B/16,EVOLUPHARM</t>
  </si>
  <si>
    <t>PANS. HYDROCEL ABSORP IMPTE, ADH, &gt;OU =200 CM2 ET &lt;225 CM2, B/16,MARQUE VERTE</t>
  </si>
  <si>
    <t>PANS. HYDROCEL ABSORP IMPTE, ADH, &gt;OU =200 CM2 ET &lt;225 CM2, B/16,MOLNLYCKE</t>
  </si>
  <si>
    <t>PANS. HYDROCEL ABSORP IMPTE, ADH, &gt;OU =200 CM2 ET &lt;225 CM2, B/16,SMITH ET NEPHEW</t>
  </si>
  <si>
    <t>PANS. HYDROCEL ABSORP IMPTE, ADH, &gt;OU =200 CM2 ET &lt;225 CM2, B/16,SYLAMED</t>
  </si>
  <si>
    <t>PANS. HYDROCEL ABSORP IMPTE, ADH, &gt;OU= 225CM2 ET &lt; 300 CM2, B/10,B.BRAUN MEDICAL</t>
  </si>
  <si>
    <t>PANS. HYDROCEL ABSORP IMPTE, ADH, &gt;OU= 225CM2 ET &lt; 300 CM2, B/10,BSN-RADIANTE</t>
  </si>
  <si>
    <t>PANS. HYDROCEL ABSORP IMPTE, ADH, &gt;OU= 225CM2 ET &lt; 300 CM2, B/10,EVOLUPHARM</t>
  </si>
  <si>
    <t>PANS. HYDROCEL ABSORP IMPTE, ADH, &gt;OU= 225CM2 ET &lt; 300 CM2, B/10,HARTMANN</t>
  </si>
  <si>
    <t>PANS. HYDROCEL ABSORP IMPTE, ADH, &gt;OU= 225CM2 ET &lt; 300 CM2, B/10,LABO CONVATEC</t>
  </si>
  <si>
    <t>PANS. HYDROCEL ABSORP IMPTE, ADH, &gt;OU= 225CM2 ET &lt; 300 CM2, B/10,LABO URGO</t>
  </si>
  <si>
    <t>PANS. HYDROCEL ABSORP IMPTE, ADH, &gt;OU= 225CM2 ET &lt; 300 CM2, B/10,LOHMANN &amp; RAU.</t>
  </si>
  <si>
    <t>PANS. HYDROCEL ABSORP IMPTE, ADH, &gt;OU= 225CM2 ET &lt; 300 CM2, B/10,MOLNLYCKE</t>
  </si>
  <si>
    <t>PANS. HYDROCEL ABSORP IMPTE, ADH, &gt;OU= 225CM2 ET &lt; 300 CM2, B/10,SMITH ET NEPHEW</t>
  </si>
  <si>
    <t>PANS. HYDROCEL ABSORP IMPTE, ADH, &gt;OU=120 CM2 ET &lt; 156 CM2, B/16,EVOLUPHARM</t>
  </si>
  <si>
    <t>PANS. HYDROCEL ABSORP IMPTE, ADH, &gt;OU=120 CM2 ET &lt; 156 CM2, B/16,KCI MEDICAL</t>
  </si>
  <si>
    <t>PANS. HYDROCEL ABSORP IMPTE, ADH, &gt;OU=120 CM2 ET &lt; 156 CM2, B/16,MARQUE VERTE</t>
  </si>
  <si>
    <t>PANS. HYDROCEL ABSORP IMPTE, ADH, &gt;OU=120 CM2 ET &lt; 156 CM2, B/16,MOLNLYCKE</t>
  </si>
  <si>
    <t>PANS. HYDROCEL ABSORP IMPTE, ADH, &gt;OU=120 CM2 ET &lt; 156 CM2, B/16,SYLAMED</t>
  </si>
  <si>
    <t>PANS. HYDROCELL ABS IMPTE, ADH, &gt; OU = 50 CM2 ET &lt; 63 CM2, B/10,B.BRAUN MEDICAL</t>
  </si>
  <si>
    <t>PANS. HYDROCELL ABS IMPTE, ADH, &gt; OU = 50 CM2 ET &lt; 63 CM2, B/10,BRIGHTWAKE</t>
  </si>
  <si>
    <t>PANS. HYDROCELL ABS IMPTE, ADH, &gt; OU = 50 CM2 ET &lt; 63 CM2, B/10,COLOPLAST</t>
  </si>
  <si>
    <t>PANS. HYDROCELL ABS IMPTE, ADH, &gt; OU = 50 CM2 ET &lt; 63 CM2, B/10,EVOLUPHARM</t>
  </si>
  <si>
    <t>PANS. HYDROCELL ABS IMPTE, ADH, &gt; OU = 50 CM2 ET &lt; 63 CM2, B/10,LOHMANN &amp; RAU.</t>
  </si>
  <si>
    <t>PANS. HYDROCELL ABS IMPTE, ADH, &gt; OU=100 CM2 ET &lt; 120 CM2, B/10,B.BRAUN MEDICAL</t>
  </si>
  <si>
    <t>PANS. HYDROCELL ABS IMPTE, ADH, &gt; OU=100 CM2 ET &lt; 120 CM2, B/10,BSN-RADIANTE</t>
  </si>
  <si>
    <t>PANS. HYDROCELL ABS IMPTE, ADH, &gt; OU=100 CM2 ET &lt; 120 CM2, B/10,HARTMANN</t>
  </si>
  <si>
    <t>PANS. HYDROCELL ABS IMPTE, ADH, &gt; OU=100 CM2 ET &lt; 120 CM2, B/10,LABO CONVATEC</t>
  </si>
  <si>
    <t>PANS. HYDROCELL ABS IMPTE, ADH, &gt; OU=100 CM2 ET &lt; 120 CM2, B/10,LOHMANN &amp; RAU.</t>
  </si>
  <si>
    <t>PANS. HYDROCELL ABS IMPTE, ADH, &gt;OU =156 CM2 ET &lt; 200 CM2, B/10,BSN-RADIANTE</t>
  </si>
  <si>
    <t>PANS. HYDROCELL ABS IMPTE, ADH, &gt;OU =156 CM2 ET &lt; 200 CM2, B/10,COLOPLAST</t>
  </si>
  <si>
    <t>PANS. HYDROCELL ABS IMPTE, ADH, &gt;OU =156 CM2 ET &lt; 200 CM2, B/10,HARTMANN</t>
  </si>
  <si>
    <t>PANS. HYDROCELL ABS IMPTE, ADH, &gt;OU =156 CM2 ET &lt; 200 CM2, B/10,LOHMANN &amp; RAU.</t>
  </si>
  <si>
    <t>PANS. HYDROCELL ABS IMPTE,ADH, &gt; OU = 63 CM2 ET &lt; 100 CM2, B/10,3M FRANCE</t>
  </si>
  <si>
    <t>PANS. HYDROCELL ABS IMPTE,ADH, &gt; OU = 63 CM2 ET &lt; 100 CM2, B/10,BRIGHTWAKE</t>
  </si>
  <si>
    <t>PANS. HYDROCELL ABS IMPTE,ADH, &gt; OU = 63 CM2 ET &lt; 100 CM2, B/10,BSN-RADIANTE</t>
  </si>
  <si>
    <t>PANS. HYDROCELL ABS IMPTE,ADH, &gt; OU = 63 CM2 ET &lt; 100 CM2, B/10,HARTMANN</t>
  </si>
  <si>
    <t>PANS. HYDROCELL ABS IMPTE,ADH, &gt; OU = 63 CM2 ET &lt; 100 CM2, B/10,KCI MEDICAL</t>
  </si>
  <si>
    <t>PANS. HYDROCELL ABS IMPTE,ADH, &gt; OU = 63 CM2 ET &lt; 100 CM2, B/10,LABO CONVATEC</t>
  </si>
  <si>
    <t>PANS. HYDROCELL ABS IMPTE,ADH, &gt; OU = 63 CM2 ET &lt; 100 CM2, B/10,LABO URGO</t>
  </si>
  <si>
    <t>PANS. HYDROCELL ABS IMPTE,ADH, &gt; OU = 63 CM2 ET &lt; 100 CM2, B/10,LOHMANN &amp; RAU.</t>
  </si>
  <si>
    <t>PANS. HYDROCELL ABS IMPTE,ADH, &gt; OU = 63 CM2 ET &lt; 100 CM2, B/10,MARQUE VERTE</t>
  </si>
  <si>
    <t>PANS. HYDROCELL ABS IMPTE,ADH, &gt; OU = 63 CM2 ET &lt; 100 CM2, B/16,EVOLUPHARM</t>
  </si>
  <si>
    <t>PANS. HYDROCELL ABS IMPTE,ADH, &gt; OU = 63 CM2 ET &lt; 100 CM2, B/16,HARTMANN</t>
  </si>
  <si>
    <t>PANS. HYDROCELL ABS IMPTE,ADH, &gt; OU = 63 CM2 ET &lt; 100 CM2, B/16,KCI MEDICAL</t>
  </si>
  <si>
    <t>PANS. HYDROCELL ABS IMPTE,ADH, &gt; OU = 63 CM2 ET &lt; 100 CM2, B/16,LABO URGO</t>
  </si>
  <si>
    <t>PANS. HYDROCELL ABS IMPTE,ADH, &gt; OU = 63 CM2 ET &lt; 100 CM2, B/16,MARQUE VERTE</t>
  </si>
  <si>
    <t>PANS. HYDROCELL ABS IMPTE,ADH, &gt; OU = 63 CM2 ET &lt; 100 CM2, B/16,MOLNLYCKE</t>
  </si>
  <si>
    <t>PANS. HYDROCELL ABS IMPTE,ADH, &gt; OU = 63 CM2 ET &lt; 100 CM2, B/16,SMITH ET NEPHEW</t>
  </si>
  <si>
    <t>PANS. HYDROCELL ABS IMPTE,ADH, &gt; OU = 63 CM2 ET &lt; 100 CM2, B/16,SYLAMED</t>
  </si>
  <si>
    <t>PANS. HYDROCELL ABSORB IMPTE, &gt;OU=300 CM2 ET &lt;400 CM2, B/10,B.BRAUN MEDICAL</t>
  </si>
  <si>
    <t>PANS. HYDROCELL ABSORB IMPTE, &gt;OU=300 CM2 ET &lt;400 CM2, B/10,COLOPLAST</t>
  </si>
  <si>
    <t>PANS. HYDROCELL ABSORB IMPTE, &gt;OU=300 CM2 ET &lt;400 CM2, B/10,HARTMANN</t>
  </si>
  <si>
    <t>PANS. HYDROCELL ABSORB IMPTE, &gt;OU=300 CM2 ET &lt;400 CM2, B/10,LABO CONVATEC</t>
  </si>
  <si>
    <t>PANS. HYDROCELL ABSORB IMPTE, &gt;OU=300 CM2 ET &lt;400 CM2, B/10,LABO URGO</t>
  </si>
  <si>
    <t>PANS. HYDROCELL ABSORB IMPTE, &gt;OU=300 CM2 ET &lt;400 CM2, B/10,LOHMANN &amp; RAU.</t>
  </si>
  <si>
    <t>PANS. HYDROCELL ABSORB IMPTE, &gt;OU=300 CM2 ET &lt;400 CM2, B/10,MOLNLYCKE</t>
  </si>
  <si>
    <t>PANS. HYDROCELL ABSORB IMPTE, &gt;OU=400 CM2 ET &lt;460 CM2, B/10,3M FRANCE</t>
  </si>
  <si>
    <t>PANS. HYDROCELL ABSORB IMPTE, &gt;OU=400 CM2 ET &lt;460 CM2, B/10,HARTMANN</t>
  </si>
  <si>
    <t>PANS. HYDROCELL ABSORB IMPTE, &gt;OU=400 CM2 ET &lt;460 CM2, B/10,INRESA</t>
  </si>
  <si>
    <t>PANS. HYDROCELL ABSORB IMPTE, &gt;OU=400 CM2 ET &lt;460 CM2, B/10,LABO CONVATEC</t>
  </si>
  <si>
    <t>PANS. HYDROCELL ABSORB IMPTE, &gt;OU=400 CM2 ET &lt;460 CM2, B/10,LOHMANN &amp; RAU.</t>
  </si>
  <si>
    <t>PANS. HYDROCELL ABSORB IMPTE, &gt;OU=400 CM2 ET &lt;460 CM2, B/10,MARQUE VERTE</t>
  </si>
  <si>
    <t>PANS. HYDROCELL ABSORB IMPTE, &gt;OU=400 CM2 ET &lt;460 CM2, B/10,SMITH ET NEPHEW</t>
  </si>
  <si>
    <t>PANS. HYDROCELL ABSORB IMPTE, ADH,&gt;OU=400 CM2 ET &lt;460 CM2,B/10,ACAPLAST</t>
  </si>
  <si>
    <t>PANS. HYDROCELL ABSORB IMPTE, ADH,&gt;OU=400 CM2 ET &lt;460 CM2,B/10,EVOLUPHARM</t>
  </si>
  <si>
    <t>PANS. HYDROCELL ABSORB IMPTE, ADH,&gt;OU=400 CM2 ET &lt;460 CM2,B/10,HARTMANN</t>
  </si>
  <si>
    <t>PANS. HYDROCELL ABSORB IMPTE, ADH,&gt;OU=400 CM2 ET &lt;460 CM2,B/10,LABO CONVATEC</t>
  </si>
  <si>
    <t>PANS. HYDROCELL ABSORB IMPTE, ADH,&gt;OU=400 CM2 ET &lt;460 CM2,B/10,LOHMANN &amp; RAU.</t>
  </si>
  <si>
    <t>PANS. HYDROCELL ABSORB IMPTE, ADH,&gt;OU=400 CM2 ET &lt;460 CM2,B/10,MOLNLYCKE</t>
  </si>
  <si>
    <t>PANS. HYDROCELL ABSORB IMPTE, ADHESIF, &gt; OU = 460 CM2, B/10.,COLOPLAST</t>
  </si>
  <si>
    <t>PANS. HYDROCELL ABSORB IMPTE, ADHESIF, &gt; OU = 460 CM2, B/10.,HARTMANN</t>
  </si>
  <si>
    <t>PANS. HYDROCELL ABSORB IMPTE, ADHESIF, &gt; OU = 460 CM2, B/10.,SMITH ET NEPHEW</t>
  </si>
  <si>
    <t>PANS. HYDROCELL ABSORP IMPTE, &gt; OU = 100 CM2 ET &lt; 120 CM2, B/10,3M FRANCE</t>
  </si>
  <si>
    <t>PANS. HYDROCELL ABSORP IMPTE, &gt; OU = 100 CM2 ET &lt; 120 CM2, B/10,B.BRAUN MEDICAL</t>
  </si>
  <si>
    <t>PANS. HYDROCELL ABSORP IMPTE, &gt; OU = 100 CM2 ET &lt; 120 CM2, B/10,BSN-RADIANTE</t>
  </si>
  <si>
    <t>PANS. HYDROCELL ABSORP IMPTE, &gt; OU = 100 CM2 ET &lt; 120 CM2, B/10,HARTMANN</t>
  </si>
  <si>
    <t>PANS. HYDROCELL ABSORP IMPTE, &gt; OU = 100 CM2 ET &lt; 120 CM2, B/10,INRESA</t>
  </si>
  <si>
    <t>PANS. HYDROCELL ABSORP IMPTE, &gt; OU = 100 CM2 ET &lt; 120 CM2, B/10,LOHMANN &amp; RAU.</t>
  </si>
  <si>
    <t>PANS. HYDROCELL ABSORP IMPTE, &gt; OU = 100 CM2 ET &lt; 120 CM2, B/10,SMITH ET NEPHEW</t>
  </si>
  <si>
    <t>PANS. HYDROCELL ABSORP IMPTE, &gt; OU = 120 CM2 ET &lt; 156 CM2, B/16.,SMITH ET NEPHEW</t>
  </si>
  <si>
    <t>PANS. HYDROCELL ABSORP IMPTE, &gt; OU = 156 CM2 ET &lt; 200 CM2, B/10,COLOPLAST</t>
  </si>
  <si>
    <t>PANS. HYDROCELL ABSORP IMPTE, &gt; OU = 156 CM2 ET &lt; 200 CM2, B/10,HARTMANN</t>
  </si>
  <si>
    <t>PANS. HYDROCELL ABSORP IMPTE, &gt; OU = 156 CM2 ET &lt; 200 CM2, B/10,LABO CONVATEC</t>
  </si>
  <si>
    <t>PANS. HYDROCELL ABSORP IMPTE, &gt; OU = 156 CM2 ET &lt; 200 CM2, B/16,HARTMANN</t>
  </si>
  <si>
    <t>PANS. HYDROCELL ABSORP IMPTE, &gt; OU = 156 CM2 ET &lt; 200 CM2, B/16,KCI MEDICAL</t>
  </si>
  <si>
    <t>PANS. HYDROCELL ABSORP IMPTE, &gt; OU = 156 CM2 ET &lt; 200 CM2, B/16,LABO CONVATEC</t>
  </si>
  <si>
    <t>PANS. HYDROCELL ABSORP IMPTE, &gt; OU = 156 CM2 ET &lt; 200 CM2, B/16,LABO URGO</t>
  </si>
  <si>
    <t>PANS. HYDROCELL ABSORP IMPTE, &gt; OU = 156 CM2 ET &lt; 200 CM2, B/16,MARQUE VERTE</t>
  </si>
  <si>
    <t>PANS. HYDROCELL ABSORP IMPTE, &gt; OU = 200 CM2 ET &lt; 225 CM2, B/10,3M FRANCE</t>
  </si>
  <si>
    <t>PANS. HYDROCELL ABSORP IMPTE, &gt; OU = 200 CM2 ET &lt; 225 CM2, B/10,BSN-RADIANTE</t>
  </si>
  <si>
    <t>PANS. HYDROCELL ABSORP IMPTE, &gt; OU = 200 CM2 ET &lt; 225 CM2, B/10,COLOPLAST</t>
  </si>
  <si>
    <t>PANS. HYDROCELL ABSORP IMPTE, &gt; OU = 200 CM2 ET &lt; 225 CM2, B/10,HARTMANN</t>
  </si>
  <si>
    <t>PANS. HYDROCELL ABSORP IMPTE, &gt; OU = 200 CM2 ET &lt; 225 CM2, B/10,INRESA</t>
  </si>
  <si>
    <t>PANS. HYDROCELL ABSORP IMPTE, &gt; OU = 200 CM2 ET &lt; 225 CM2, B/10,LOHMANN &amp; RAU.</t>
  </si>
  <si>
    <t>PANS. HYDROCELL ABSORP IMPTE, &gt; OU = 200 CM2 ET &lt; 225 CM2, B/10,SMITH ET NEPHEW</t>
  </si>
  <si>
    <t>PANS. HYDROCELL ABSORP IMPTE, &gt; OU = 200 CM2 ET &lt; 225 CM2, B/16,MARQUE VERTE</t>
  </si>
  <si>
    <t>PANS. HYDROCELL ABSORP IMPTE, &gt; OU = 200 CM2 ET &lt; 225 CM2, B/16,MOLNLYCKE</t>
  </si>
  <si>
    <t>PANS. HYDROCELL ABSORP IMPTE, &gt; OU = 200 CM2 ET &lt; 225 CM2, B/16,SMITH ET NEPHEW</t>
  </si>
  <si>
    <t>PANS. HYDROCELL ABSORP IMPTE, &gt; OU = 225 CM2 ET &lt; 300 CM2, B/10,ACAPLAST</t>
  </si>
  <si>
    <t>PANS. HYDROCELL ABSORP IMPTE, &gt; OU = 225 CM2 ET &lt; 300 CM2, B/10,BSN-RADIANTE</t>
  </si>
  <si>
    <t>PANS. HYDROCELL ABSORP IMPTE, &gt; OU = 225 CM2 ET &lt; 300 CM2, B/10,HARTMANN</t>
  </si>
  <si>
    <t>PANS. HYDROCELL ABSORP IMPTE, &gt; OU = 225 CM2 ET &lt; 300 CM2, B/10,INRESA</t>
  </si>
  <si>
    <t>PANS. HYDROCELL ABSORP IMPTE, &gt; OU = 225 CM2 ET &lt; 300 CM2, B/10,LOHMANN &amp; RAU.</t>
  </si>
  <si>
    <t>PANS. HYDROCELL ABSORP IMPTE, &gt; OU = 225 CM2 ET &lt; 300 CM2, B/10,SMITH ET NEPHEW</t>
  </si>
  <si>
    <t>PANS. HYDROCELL ABSORP IMPTE, &gt; OU = 25 CM2 ET &lt; 50 CM2, B/10,LOHMANN &amp; RAU.</t>
  </si>
  <si>
    <t>PANS. HYDROCELL ABSORP IMPTE, &gt; OU = 50 CM2 ET &lt; 63 CM2, B/10,BSN-RADIANTE</t>
  </si>
  <si>
    <t>PANS. HYDROCELL ABSORP IMPTE, &gt; OU = 50 CM2 ET &lt; 63 CM2, B/10,COLOPLAST</t>
  </si>
  <si>
    <t>PANS. HYDROCELL ABSORP IMPTE, &gt; OU = 50 CM2 ET &lt; 63 CM2, B/10,LOHMANN &amp; RAU.</t>
  </si>
  <si>
    <t>PANS. HYDROCELL ABSORP IMPTE, &gt; OU = 63 CM2 ET &lt; 100 CM2, B/10,HARTMANN</t>
  </si>
  <si>
    <t>PANS. HYDROCELL ABSORP IMPTE, &gt; OU = 63 CM2 ET &lt; 100 CM2, B/10,INNOSET</t>
  </si>
  <si>
    <t>PANS. HYDROCELL ABSORP IMPTE, ADH, &gt;OU= 300CM2 ET &lt;400 CM2,B/10,3M FRANCE</t>
  </si>
  <si>
    <t>PANS. HYDROCELL ABSORP IMPTE, ADH, &gt;OU= 300CM2 ET &lt;400 CM2,B/10,BRIGHTWAKE</t>
  </si>
  <si>
    <t>PANS. HYDROCELL ABSORP IMPTE, ADH, &gt;OU= 300CM2 ET &lt;400 CM2,B/10,COLOPLAST</t>
  </si>
  <si>
    <t>PANS. HYDROCELL ABSORP IMPTE, ADH, &gt;OU= 300CM2 ET &lt;400 CM2,B/10,HARTMANN</t>
  </si>
  <si>
    <t>PANS. HYDROCELL ABSORP IMPTE, ADH, &gt;OU= 300CM2 ET &lt;400 CM2,B/10,KCI MEDICAL</t>
  </si>
  <si>
    <t>PANS. HYDROCELL ABSORP IMPTE, ADH, &gt;OU= 300CM2 ET &lt;400 CM2,B/10,LABO CONVATEC</t>
  </si>
  <si>
    <t>PANS. HYDROCELL ABSORP IMPTE, ADH, &gt;OU= 300CM2 ET &lt;400 CM2,B/10,LABO URGO</t>
  </si>
  <si>
    <t>PANS. HYDROCELL ABSORP IMPTE, ADH, &gt;OU= 300CM2 ET &lt;400 CM2,B/10,LOHMANN &amp; RAU.</t>
  </si>
  <si>
    <t>PANS. HYDROCELL ABSORP IMPTE, ADH, &gt;OU= 300CM2 ET &lt;400 CM2,B/10,MARQUE VERTE</t>
  </si>
  <si>
    <t>PANS. HYDROCELL ABSORP IMPTE, ADH, &gt;OU= 300CM2 ET &lt;400 CM2,B/10,MOLNLYCKE</t>
  </si>
  <si>
    <t>PANS. HYDROCELL ABSORP IMPTE, ADH, &gt;OU= 300CM2 ET &lt;400 CM2,B/10,SMITH ET NEPHEW</t>
  </si>
  <si>
    <t>PANS. HYDROCELL ABSORP IMPTE, ADH, &gt;OU= 300CM2 ET &lt;400 CM2,B/10,SYLAMED</t>
  </si>
  <si>
    <t>PANS. HYDROCELL ABSORP IMPTE, ADH, &gt;OU=200 CM2 ET &lt;225 CM2, B/10,3M FRANCE</t>
  </si>
  <si>
    <t>PANS. HYDROCELL ABSORP IMPTE, ADH, &gt;OU=200 CM2 ET &lt;225 CM2, B/10,B.BRAUN MEDICAL</t>
  </si>
  <si>
    <t>PANS. HYDROCELL ABSORP IMPTE, ADH, &gt;OU=200 CM2 ET &lt;225 CM2, B/10,BRIGHTWAKE</t>
  </si>
  <si>
    <t>PANS. HYDROCELL ABSORP IMPTE, ADH, &gt;OU=200 CM2 ET &lt;225 CM2, B/10,COLOPLAST</t>
  </si>
  <si>
    <t>PANS. HYDROCELL ABSORP IMPTE, ADH, &gt;OU=200 CM2 ET &lt;225 CM2, B/10,EVOLUPHARM</t>
  </si>
  <si>
    <t>PANS. HYDROCELL ABSORP IMPTE, ADH, &gt;OU=200 CM2 ET &lt;225 CM2, B/10,HARTMANN</t>
  </si>
  <si>
    <t>PANS. HYDROCELL ABSORP IMPTE, ADH, &gt;OU=200 CM2 ET &lt;225 CM2, B/10,KCI MEDICAL</t>
  </si>
  <si>
    <t>PANS. HYDROCELL ABSORP IMPTE, ADH, &gt;OU=200 CM2 ET &lt;225 CM2, B/10,LABO CONVATEC</t>
  </si>
  <si>
    <t>PANS. HYDROCELL ABSORP IMPTE, ADH, &gt;OU=200 CM2 ET &lt;225 CM2, B/10,SMITH ET NEPHEW</t>
  </si>
  <si>
    <t>PANS. HYDROCELL ABSORP IMPTE,ADH, &gt;OU=100 CM2 ET &lt; 120 CM2, B/16,MOLNLYCKE</t>
  </si>
  <si>
    <t>PANS. HYDROCELL ABSORP IMPTE,ADH, &gt;OU=100 CM2 ET &lt; 120 CM2, B/16,SMITH ET NEPHEW</t>
  </si>
  <si>
    <t>PANS. HYDROCELL ABSORP IMPTE,ADH,&gt; OU =156 CM2 ET &lt;200CM2, B/16,EVOLUPHARM</t>
  </si>
  <si>
    <t>PANS. HYDROCELL ABSORP IMPTE,ADH,&gt; OU =156 CM2 ET &lt;200CM2, B/16,HARTMANN</t>
  </si>
  <si>
    <t>PANS. HYDROCELL ABSORP IMPTE,ADH,&gt; OU =156 CM2 ET &lt;200CM2, B/16,KCI MEDICAL</t>
  </si>
  <si>
    <t>PANS. HYDROCELL ABSORP IMPTE,ADH,&gt; OU =156 CM2 ET &lt;200CM2, B/16,LABO CONVATEC</t>
  </si>
  <si>
    <t>PANS. HYDROCELL ABSORP IMPTE,ADH,&gt; OU =156 CM2 ET &lt;200CM2, B/16,LABO URGO</t>
  </si>
  <si>
    <t>PANS. HYDROCELL ABSORP IMPTE,ADH,&gt; OU =156 CM2 ET &lt;200CM2, B/16,MARQUE VERTE</t>
  </si>
  <si>
    <t>PANS. HYDROCELL ABSORP IMPTE,ADH,&gt; OU =156 CM2 ET &lt;200CM2, B/16,SMITH ET NEPHEW</t>
  </si>
  <si>
    <t>PANSEMENT HYDROCELLULAIRE ABSORB IMPTE, &gt; OU = 460 CM2, B/10.,COLOPLAST</t>
  </si>
  <si>
    <t>PANSEMENT HYDROCELLULAIRE ABSORB IMPTE, &gt; OU = 460 CM2, B/10.,KCI MEDICAL</t>
  </si>
  <si>
    <t>PANSEMENT HYDROCELLULAIRE ABSORB IMPTE, &gt; OU = 460 CM2, B/10.,MOLNLYCKE</t>
  </si>
  <si>
    <t>PANSEMENT HYDROCELLULAIRE ABSORB IMPTE, &gt; OU = 460 CM2, B/10.,SMITH ET NEPHEW</t>
  </si>
  <si>
    <t>PANSEMENT HYDROCELLULAIRE ABSORP IMPTE, ADHESIF, &gt;OU= 300CM2 ET &lt;400 CM2,B/10</t>
  </si>
  <si>
    <t>PANSEMENT HYDROCELLULAIRE ABSORP IMPTE,ADHESIF, &gt; OU = 63 CM2 ET &lt; 100 CM2, B/16</t>
  </si>
  <si>
    <t>PANST ANATOMIQ ABSORP IMPTE, ADH,230CM2,3M,3M TEGADERM SILICONE FOAM BORDER,B/5</t>
  </si>
  <si>
    <t>PANST ANATOMIQ ABSORP IMPTE, ADH,335CM2,3M,3M TEGADERM SILICONE FOAM BORDER, B/5</t>
  </si>
  <si>
    <t>PANST ANATOMIQUE ABSORP IMPTE, 433CM2, LOHMANN, SUPRASORB P SENSITIVE S., B/10</t>
  </si>
  <si>
    <t>PANST ANATOMIQUE ABSORP IMPTE,242CM2, LOHMANN, SUPRASORB P SENSITIVE S., B/10</t>
  </si>
  <si>
    <t>PANST ANATOMIQUE ABSORP IMPTE,474CM2, LOHMANN, SUPRASORB P SENSITIVE HEEL, B/10</t>
  </si>
  <si>
    <t>Total pansements hydrocellulaires à absorption importante</t>
  </si>
  <si>
    <t>Dont 63% Molnlycke</t>
  </si>
  <si>
    <t>PANS. HYDROCELL SUPERABS, &gt; OU = 100 CM2 ET &lt; 120 CM2, B/10,3M FRANCE</t>
  </si>
  <si>
    <t>PANS. HYDROCELL SUPERABS, &gt; OU = 100 CM2 ET &lt; 120 CM2, B/10,BSN-RADIANTE</t>
  </si>
  <si>
    <t>PANS. HYDROCELL SUPERABS, &gt; OU = 100 CM2 ET &lt; 120 CM2, B/10,DTF</t>
  </si>
  <si>
    <t>PANS. HYDROCELL SUPERABS, &gt; OU = 100 CM2 ET &lt; 120 CM2, B/10,HARTMANN</t>
  </si>
  <si>
    <t>PANS. HYDROCELL SUPERABS, &gt; OU = 100 CM2 ET &lt; 120 CM2, B/10,INRESA</t>
  </si>
  <si>
    <t>PANS. HYDROCELL SUPERABS, &gt; OU = 100 CM2 ET &lt; 120 CM2, B/10,KCI MEDICAL</t>
  </si>
  <si>
    <t>PANS. HYDROCELL SUPERABS, &gt; OU = 100 CM2 ET &lt; 120 CM2, B/10,LABO CONVATEC</t>
  </si>
  <si>
    <t>PANS. HYDROCELL SUPERABS, &gt; OU = 100 CM2 ET &lt; 120 CM2, B/10,LOHMANN &amp; RAU.</t>
  </si>
  <si>
    <t>PANS. HYDROCELL SUPERABS, &gt; OU = 100 CM2 ET &lt; 120 CM2, B/10,MARQUE VERTE</t>
  </si>
  <si>
    <t>PANS. HYDROCELL SUPERABS, &gt; OU = 100 CM2 ET &lt; 120 CM2, B/10,SMITH ET NEPHEW</t>
  </si>
  <si>
    <t>PANS. HYDROCELL SUPERABS, &gt; OU = 156 CM2 ET &lt; 200 CM2, B/10,BIOGARAN</t>
  </si>
  <si>
    <t>PANS. HYDROCELL SUPERABS, &gt; OU = 156 CM2 ET &lt; 200 CM2, B/10,HARTMANN</t>
  </si>
  <si>
    <t>PANS. HYDROCELL SUPERABS, &gt; OU = 156 CM2 ET &lt; 200 CM2, B/10,LABO CONVATEC</t>
  </si>
  <si>
    <t>PANS. HYDROCELL SUPERABS, &gt; OU = 156 CM2 ET &lt; 200 CM2, B/10,LOHMANN &amp; RAU.</t>
  </si>
  <si>
    <t>PANS. HYDROCELL SUPERABS, &gt; OU = 156 CM2 ET &lt; 200 CM2, B/10,MARQUE VERTE</t>
  </si>
  <si>
    <t>PANS. HYDROCELL SUPERABS, &gt; OU = 156 CM2 ET &lt; 200 CM2, B/10,MOLNLYCKE</t>
  </si>
  <si>
    <t>PANS. HYDROCELL SUPERABS, &gt; OU = 225 CM2 ET &lt; 300 CM2, B/10,BIOGARAN</t>
  </si>
  <si>
    <t>PANS. HYDROCELL SUPERABS, &gt; OU = 225 CM2 ET &lt; 300 CM2, B/10,BSN-RADIANTE</t>
  </si>
  <si>
    <t>PANS. HYDROCELL SUPERABS, &gt; OU = 225 CM2 ET &lt; 300 CM2, B/10,DTF</t>
  </si>
  <si>
    <t>PANS. HYDROCELL SUPERABS, &gt; OU = 225 CM2 ET &lt; 300 CM2, B/10,LOHMANN &amp; RAU.</t>
  </si>
  <si>
    <t>PANS. HYDROCELL SUPERABS, &gt; OU = 225 CM2 ET &lt; 300 CM2, B/10,MOLNLYCKE</t>
  </si>
  <si>
    <t>PANS. HYDROCELL SUPERABS, &gt; OU = 400 CM2 ET &lt; 460 CM2, B/10,3M FRANCE</t>
  </si>
  <si>
    <t>PANS. HYDROCELL SUPERABS, &gt; OU = 400 CM2 ET &lt; 460 CM2, B/10,BIOGARAN</t>
  </si>
  <si>
    <t>PANS. HYDROCELL SUPERABS, &gt; OU = 400 CM2 ET &lt; 460 CM2, B/10,BSN-RADIANTE</t>
  </si>
  <si>
    <t>PANS. HYDROCELL SUPERABS, &gt; OU = 400 CM2 ET &lt; 460 CM2, B/10,DTF</t>
  </si>
  <si>
    <t>PANS. HYDROCELL SUPERABS, &gt; OU = 400 CM2 ET &lt; 460 CM2, B/10,HARTMANN</t>
  </si>
  <si>
    <t>PANS. HYDROCELL SUPERABS, &gt; OU = 400 CM2 ET &lt; 460 CM2, B/10,INRESA</t>
  </si>
  <si>
    <t>PANS. HYDROCELL SUPERABS, &gt; OU = 400 CM2 ET &lt; 460 CM2, B/10,KCI MEDICAL</t>
  </si>
  <si>
    <t>PANS. HYDROCELL SUPERABS, &gt; OU = 400 CM2 ET &lt; 460 CM2, B/10,LABO CONVATEC</t>
  </si>
  <si>
    <t>PANS. HYDROCELL SUPERABS, &gt; OU = 400 CM2 ET &lt; 460 CM2, B/10,LOHMANN &amp; RAU.</t>
  </si>
  <si>
    <t>PANS. HYDROCELL SUPERABS, &gt; OU = 400 CM2 ET &lt; 460 CM2, B/10,SMITH ET NEPHEW</t>
  </si>
  <si>
    <t>PANS. HYDROCELL SUPERABS, &gt; OU = 63 CM2 ET &lt; 100 CM2, B/10.,HARTMANN</t>
  </si>
  <si>
    <t>PANS. HYDROCELL SUPERABS, ADH, &gt; OU=100 CM2 ET &lt;120 CM2,B/10,HARTMANN</t>
  </si>
  <si>
    <t>PANS. HYDROCELL SUPERABS, ADH, &gt; OU=100 CM2 ET &lt;120 CM2,B/10,LABO CONVATEC</t>
  </si>
  <si>
    <t>PANS. HYDROCELL SUPERABS, ADH, &gt;OU =400CM2 ET &lt;460 CM2,B/10,LABO CONVATEC</t>
  </si>
  <si>
    <t>PANS. HYDROCELL SUPERABS, ADH, &gt;OU=156 CM2 ET &lt;200 CM2,B/10,HARTMANN</t>
  </si>
  <si>
    <t>PANS. HYDROCELL SUPERABS, ADH,&gt;OU = 225CM2 ET &lt;300 CM2,B/10,LABO CONVATEC</t>
  </si>
  <si>
    <t>PANS. HYDROCELL SUPERABS, ADH,&gt;OU = 225CM2 ET &lt;300 CM2,B/10,LOHMANN &amp; RAU.</t>
  </si>
  <si>
    <t>PANS. HYDROCELL SUPERABS, ADHESIF, &gt;OU=460CM2 ET &lt;600 CM2,B/10,HARTMANN</t>
  </si>
  <si>
    <t>PANS. HYDROCELL SUPERABS, ADHESIF,&gt;OU=200 CM2 ET &lt;225 CM2,B/10,LABO CONVATEC</t>
  </si>
  <si>
    <t>PANS. HYDROCELL SUPERABS,ADH, &gt; OU=120 CM2 ET &lt;156 CM2,B/10,LOHMANN &amp; RAU.</t>
  </si>
  <si>
    <t>PANS. HYDROCELL SUPERABSORBANT, &gt; OU = 200 CM2 ET &lt; 225 CM2,B/10,3M FRANCE</t>
  </si>
  <si>
    <t>PANS. HYDROCELL SUPERABSORBANT, &gt; OU = 200 CM2 ET &lt; 225 CM2,B/10,BSN-RADIANTE</t>
  </si>
  <si>
    <t>PANS. HYDROCELL SUPERABSORBANT, &gt; OU = 200 CM2 ET &lt; 225 CM2,B/10,DTF</t>
  </si>
  <si>
    <t>PANS. HYDROCELL SUPERABSORBANT, &gt; OU = 200 CM2 ET &lt; 225 CM2,B/10,HARTMANN</t>
  </si>
  <si>
    <t>PANS. HYDROCELL SUPERABSORBANT, &gt; OU = 200 CM2 ET &lt; 225 CM2,B/10,INRESA</t>
  </si>
  <si>
    <t>PANS. HYDROCELL SUPERABSORBANT, &gt; OU = 200 CM2 ET &lt; 225 CM2,B/10,KCI MEDICAL</t>
  </si>
  <si>
    <t>PANS. HYDROCELL SUPERABSORBANT, &gt; OU = 200 CM2 ET &lt; 225 CM2,B/10,LABO CONVATEC</t>
  </si>
  <si>
    <t>PANS. HYDROCELL SUPERABSORBANT, &gt; OU = 200 CM2 ET &lt; 225 CM2,B/10,LOHMANN &amp; RAU.</t>
  </si>
  <si>
    <t>PANS. HYDROCELL SUPERABSORBANT, &gt; OU = 200 CM2 ET &lt; 225 CM2,B/10,MARQUE VERTE</t>
  </si>
  <si>
    <t>PANS. HYDROCELL SUPERABSORBANT, &gt; OU = 460CM2 ET &lt;600 CM2,B/10,HARTMANN</t>
  </si>
  <si>
    <t>PANS. HYDROCELL SUPERABSORBANT, &gt; OU = 460CM2 ET &lt;600 CM2,B/10,LOHMANN &amp; RAU.</t>
  </si>
  <si>
    <t>PANS. HYDROCELL SUPERABSORBANT, &gt; OU = 460CM2 ET &lt;600 CM2,B/10,MARQUE VERTE</t>
  </si>
  <si>
    <t>PANS. HYDROCELL SUPERABSORBANT, &gt; OU = 460CM2 ET &lt;600 CM2,B/10,SMITH ET NEPHEW</t>
  </si>
  <si>
    <t>PANS. HYDROCELL SUPERABSORBANT, &gt; OU = 50 CM2 ET &lt; 63 CM2, B/10.,BSN-RADIANTE</t>
  </si>
  <si>
    <t>PANS. HYDROCELL SUPERABSORBANT, &gt;OU=300 CM2 ET &lt;400 CM2,B/10,EVOLUPHARM</t>
  </si>
  <si>
    <t>PANS. HYDROCELL SUPERABSORBANT, &gt;OU=300 CM2 ET &lt;400 CM2,B/10,HARTMANN</t>
  </si>
  <si>
    <t>PANS. HYDROCELL SUPERABSORBANT, &gt;OU=300 CM2 ET &lt;400 CM2,B/10,LABO CONVATEC</t>
  </si>
  <si>
    <t>PANS. HYDROCELL SUPERABSORBANT, &gt;OU=300 CM2 ET &lt;400 CM2,B/10,LOHMANN &amp; RAU.</t>
  </si>
  <si>
    <t>PANS. HYDROCELL SUPERABSORBANT, &gt;OU=300 CM2 ET &lt;400 CM2,B/10,MARQUE VERTE</t>
  </si>
  <si>
    <t>PANS. HYDROCELL SUPERABSORBANT, &gt;OU=300 CM2 ET &lt;400 CM2,B/10,MOLNLYCKE</t>
  </si>
  <si>
    <t>PANS. HYDROCELL SUPERABSORBANT, &gt;OU=300 CM2 ET &lt;400 CM2,B/10,SMITH ET NEPHEW</t>
  </si>
  <si>
    <t>PANS. HYDROCELL SUPERABSORBANT, ADH,&gt;OU=300CM2 ET &lt;400 CM2,B/10,HARTMANN</t>
  </si>
  <si>
    <t>PANS. HYDROCELL SUPERABSORBANT, ADH,&gt;OU=300CM2 ET &lt;400 CM2,B/10,LABO CONVATEC</t>
  </si>
  <si>
    <t>PANS. HYDROCELL SUPERABSORBANT, ADH,&gt;OU=300CM2 ET &lt;400 CM2,B/10,LOHMANN &amp; RAU.</t>
  </si>
  <si>
    <t>PANSEMENT HYDROCELLULAIRE SUPERABSORBANT, &gt; OU = 600 CM2, B/10.,3M FRANCE</t>
  </si>
  <si>
    <t>PANSEMENT HYDROCELLULAIRE SUPERABSORBANT, &gt; OU = 600 CM2, B/10.,BIOGARAN</t>
  </si>
  <si>
    <t>PANSEMENT HYDROCELLULAIRE SUPERABSORBANT, &gt; OU = 600 CM2, B/10.,BSN-RADIANTE</t>
  </si>
  <si>
    <t>PANSEMENT HYDROCELLULAIRE SUPERABSORBANT, &gt; OU = 600 CM2, B/10.,DTF</t>
  </si>
  <si>
    <t>PANSEMENT HYDROCELLULAIRE SUPERABSORBANT, &gt; OU = 600 CM2, B/10.,HARTMANN</t>
  </si>
  <si>
    <t>PANSEMENT HYDROCELLULAIRE SUPERABSORBANT, &gt; OU = 600 CM2, B/10.,INRESA</t>
  </si>
  <si>
    <t>PANSEMENT HYDROCELLULAIRE SUPERABSORBANT, &gt; OU = 600 CM2, B/10.,KCI MEDICAL</t>
  </si>
  <si>
    <t>PANSEMENT HYDROCELLULAIRE SUPERABSORBANT, &gt; OU = 600 CM2, B/10.,LABO CONVATEC</t>
  </si>
  <si>
    <t>PANSEMENT HYDROCELLULAIRE SUPERABSORBANT, &gt; OU = 600 CM2, B/10.,LOHMANN &amp; RAU.</t>
  </si>
  <si>
    <t>PANSEMENT HYDROCELLULAIRE SUPERABSORBANT, &gt; OU = 600 CM2, B/10.,MARQUE VERTE</t>
  </si>
  <si>
    <t>PANSEMENT HYDROCELLULAIRE SUPERABSORBANT, &gt; OU = 600 CM2, B/10.,MOLNLYCKE</t>
  </si>
  <si>
    <t>PANSEMENT HYDROCELLULAIRE SUPERABSORBANT, &gt; OU = 600 CM2, B/10.,SMITH ET NEPHEW</t>
  </si>
  <si>
    <t>PANSEMENT HYDROCELLULAIRE SUPERABSORBANT, &gt; OU = 600 CM2, B/10.,WOUNDEL</t>
  </si>
  <si>
    <t>PANST ANATOMIQ. SUPERABS., 100CM¿, BSN, CUTIMED SORBION SACHET S DRAINAGE, B/10.</t>
  </si>
  <si>
    <t>PANST ANATOMIQ. SUPERABS., 1059CM2, BSN, CUTIMED SORBION SACHET XL, B/10.</t>
  </si>
  <si>
    <t>PANST ANATOMIQ. SUPERABS., 154CM2, BSN, CUTIMED SORBION MULTI STAR, B/10.</t>
  </si>
  <si>
    <t>Total pansements hydrocellulaires superabsorbants</t>
  </si>
  <si>
    <t>Dont 44% Hartmann, 16% Molnlycke</t>
  </si>
  <si>
    <t>Total pansements hydrocellulaires</t>
  </si>
  <si>
    <t>Dont 52% Molnlycke</t>
  </si>
  <si>
    <t>4) Autres pansements</t>
  </si>
  <si>
    <t xml:space="preserve">On regarde les remboursements de la LPP : </t>
  </si>
  <si>
    <t>PANSEMENTS VASELINES, &gt; OU = 100CM2 &amp; &lt; 275CM2, BOITE DE 10</t>
  </si>
  <si>
    <t>PANSEMENTS VASELINES, &gt; OU = 100CM2 &amp; &lt; 275CM2, BOITE DE 10,3M FRANCE</t>
  </si>
  <si>
    <t>PANSEMENTS VASELINES, &gt; OU = 100CM2 &amp; &lt; 275CM2, BOITE DE 10,BIOGARAN</t>
  </si>
  <si>
    <t>PANSEMENTS VASELINES, &gt; OU = 100CM2 &amp; &lt; 275CM2, BOITE DE 10,BSN-RADIANTE</t>
  </si>
  <si>
    <t>PANSEMENTS VASELINES, &gt; OU = 100CM2 &amp; &lt; 275CM2, BOITE DE 10,CEORA</t>
  </si>
  <si>
    <t>PANSEMENTS VASELINES, &gt; OU = 100CM2 &amp; &lt; 275CM2, BOITE DE 10,EUROMEDIS</t>
  </si>
  <si>
    <t>PANSEMENTS VASELINES, &gt; OU = 100CM2 &amp; &lt; 275CM2, BOITE DE 10,EVOLUPHARM</t>
  </si>
  <si>
    <t>PANSEMENTS VASELINES, &gt; OU = 100CM2 &amp; &lt; 275CM2, BOITE DE 10,HARTMANN</t>
  </si>
  <si>
    <t>PANSEMENTS VASELINES, &gt; OU = 100CM2 &amp; &lt; 275CM2, BOITE DE 10,IDC GROUP</t>
  </si>
  <si>
    <t>PANSEMENTS VASELINES, &gt; OU = 100CM2 &amp; &lt; 275CM2, BOITE DE 10,KCI MEDICAL</t>
  </si>
  <si>
    <t>PANSEMENTS VASELINES, &gt; OU = 100CM2 &amp; &lt; 275CM2, BOITE DE 10,LOHMANN &amp; RAU.</t>
  </si>
  <si>
    <t>PANSEMENTS VASELINES, &gt; OU = 100CM2 &amp; &lt; 275CM2, BOITE DE 10,MARQUE VERTE</t>
  </si>
  <si>
    <t>PANSEMENTS VASELINES, &gt; OU = 100CM2 &amp; &lt; 275CM2, BOITE DE 10,MYLAN MEDICAL</t>
  </si>
  <si>
    <t>PANSEMENTS VASELINES, &gt; OU = 100CM2 &amp; &lt; 275CM2, BOITE DE 10,NEP DEVELOP</t>
  </si>
  <si>
    <t>PANSEMENTS VASELINES, &gt; OU = 100CM2 &amp; &lt; 275CM2, BOITE DE 10,RAFFIN MEDICAL</t>
  </si>
  <si>
    <t>PANSEMENTS VASELINES, &gt; OU = 100CM2 &amp; &lt; 275CM2, BOITE DE 10,SMITH ET NEPHEW</t>
  </si>
  <si>
    <t>PANSEMENTS VASELINES, &gt; OU = 100CM2 &amp; &lt; 275CM2, BOITE DE 10,SOINEO</t>
  </si>
  <si>
    <t>PANSEMENTS VASELINES, &gt; OU = 100CM2 &amp; &lt; 275CM2, BOITE DE 10,SYLAMED</t>
  </si>
  <si>
    <t>PANSEMENTS VASELINES, &gt; OU = 100CM2 &amp; &lt; 275CM2, BOITE DE 10,TETRA MEDICAL</t>
  </si>
  <si>
    <t>PANSEMENTS VASELINES, &gt; OU = 25CM2 &amp; &lt; 57CM2, BOITE DE 5,BIOGARAN</t>
  </si>
  <si>
    <t>PANSEMENTS VASELINES, &gt; OU = 25CM2 &amp; &lt; 57CM2, BOITE DE 5,BSN-RADIANTE</t>
  </si>
  <si>
    <t>PANSEMENTS VASELINES, &gt; OU = 275CM2 &amp; &lt; 400CM2, BOITE DE 12,KCI MEDICAL</t>
  </si>
  <si>
    <t>PANSEMENTS VASELINES, &gt; OU = 400CM2, BOITE DE 10,BIOGARAN</t>
  </si>
  <si>
    <t>PANSEMENTS VASELINES, &gt; OU = 400CM2, BOITE DE 10,BSN-RADIANTE</t>
  </si>
  <si>
    <t>PANSEMENTS VASELINES, &gt; OU = 400CM2, BOITE DE 10,EUROMEDIS</t>
  </si>
  <si>
    <t>PANSEMENTS VASELINES, &gt; OU = 400CM2, BOITE DE 10,HARTMANN</t>
  </si>
  <si>
    <t>PANSEMENTS VASELINES, &gt; OU = 400CM2, BOITE DE 10,MYLAN MEDICAL</t>
  </si>
  <si>
    <t>PANSEMENTS VASELINES, &gt; OU = 400CM2, BOITE DE 10,SMITH ET NEPHEW</t>
  </si>
  <si>
    <t>PANSEMENTS VASELINES, &gt; OU = 400CM2, BOITE DE 10,SYLAMED</t>
  </si>
  <si>
    <t>PANSEMENTS VASELINES, &gt; OU = 57CM2 &amp; &lt; 100CM2, BOITE DE 10,HARTMANN</t>
  </si>
  <si>
    <t>Total pansements vaseline</t>
  </si>
  <si>
    <t>PANS. EN FIBRES DE CMC, &gt;OU= 100 CM2 ET &lt; 120 CM2, BOITE DE 10,3M FRANCE</t>
  </si>
  <si>
    <t>PANS. EN FIBRES DE CMC, &gt;OU= 100 CM2 ET &lt; 120 CM2, BOITE DE 10,KCI MEDICAL</t>
  </si>
  <si>
    <t>PANS. EN FIBRES DE CMC, &gt;OU= 100 CM2 ET &lt; 120 CM2, BOITE DE 10,LABO CONVATEC</t>
  </si>
  <si>
    <t>PANS. EN FIBRES DE CMC, &gt;OU= 100 CM2 ET &lt; 120 CM2, BOITE DE 10,MARQUE VERTE</t>
  </si>
  <si>
    <t>PANS. EN FIBRES DE CMC, &gt;OU= 100 CM2 ET &lt; 120 CM2, BOITE DE 16,LABO CONVATEC</t>
  </si>
  <si>
    <t>PANS. EN FIBRES DE CMC, &gt;OU= 120 CM2 ET &lt; 156 CM2, BOITE DE 10,LABO CONVATEC</t>
  </si>
  <si>
    <t>PANS. EN FIBRES DE CMC, &gt;OU= 156 CM2 ET &lt; 200 CM2, BOITE DE 10,COLOPLAST</t>
  </si>
  <si>
    <t>PANS. EN FIBRES DE CMC, &gt;OU= 156 CM2 ET &lt; 200 CM2, BOITE DE 10,LABO CONVATEC</t>
  </si>
  <si>
    <t>PANS. EN FIBRES DE CMC, &gt;OU= 156 CM2 ET &lt; 200 CM2, BOITE DE 10,MARQUE VERTE</t>
  </si>
  <si>
    <t>PANS. EN FIBRES DE CMC, &gt;OU= 156 CM2 ET &lt; 200 CM2, BOITE DE 16,LABO CONVATEC</t>
  </si>
  <si>
    <t>PANS. EN FIBRES DE CMC, &gt;OU= 200 CM2 ET &lt; 225 CM2, BOITE DE 10,LABO CONVATEC</t>
  </si>
  <si>
    <t>PANS. EN FIBRES DE CMC, &gt;OU= 200 CM2 ET &lt; 225 CM2, BOITE DE 10,MARQUE VERTE</t>
  </si>
  <si>
    <t>PANS. EN FIBRES DE CMC, &gt;OU= 200 CM2 ET &lt; 225 CM2, BOITE DE 16,LABO CONVATEC</t>
  </si>
  <si>
    <t>PANS. EN FIBRES DE CMC, &gt;OU= 225 CM2 ET &lt; 300 CM2, BOITE DE 10,COLOPLAST</t>
  </si>
  <si>
    <t>PANS. EN FIBRES DE CMC, &gt;OU= 225 CM2 ET &lt; 300 CM2, BOITE DE 10,KCI MEDICAL</t>
  </si>
  <si>
    <t>PANS. EN FIBRES DE CMC, &gt;OU= 225 CM2 ET &lt; 300 CM2, BOITE DE 10,LABO CONVATEC</t>
  </si>
  <si>
    <t>PANS. EN FIBRES DE CMC, &gt;OU= 400 CM2 ET &lt; 460 CM2, BOITE DE 10,LABO CONVATEC</t>
  </si>
  <si>
    <t>PANS. EN FIBRES DE CMC, &gt;OU= 63 CM2 ET &lt; 100 CM2, BOITE DE 10,KCI MEDICAL</t>
  </si>
  <si>
    <t>PANS. EN FIBRES DE CMC, &gt;OU= 63 CM2 ET &lt; 100 CM2, BOITE DE 10,LABO CONVATEC</t>
  </si>
  <si>
    <t>PANSEMENT EN FIBRES DE CMC, &gt;OU= 25 CM2 ET &lt; 50 CM2, BOITE DE 10,KCI MEDICAL</t>
  </si>
  <si>
    <t>PANSEMENT EN FIBRES DE CMC, &gt;OU= 460 CM2, BOITE DE 10,COLOPLAST</t>
  </si>
  <si>
    <t>PANSEMENT EN FIBRES DE CMC, &gt;OU= 460 CM2, BOITE DE 10,LABO CONVATEC</t>
  </si>
  <si>
    <t>PANSEMENT EN FIBRES DE CMC, &gt;OU= 460 CM2, BOITE DE 10,MARQUE VERTE</t>
  </si>
  <si>
    <t>PANSEMENT EN FIBRES DE CMC, &gt;OU= 50 CM2 ET &lt; 63 CM2, BOITE DE 10,LABO CONVATEC</t>
  </si>
  <si>
    <t>PANSEMENT EN FIBRES DE CMC, &gt;OU= 50 CM2 ET &lt; 63 CM2, BOITE DE 10,MARQUE VERTE</t>
  </si>
  <si>
    <t>PANSEMENT EN FIBRES DE CMC, &gt;OU= 50 CM2 ET &lt; 63 CM2, BOITE DE 16,LABO CONVATEC</t>
  </si>
  <si>
    <t>PANSEMENT EN FIBRES, POLYACRYLATE, URGO, URGOCLEAN, 156 CM2, B/16</t>
  </si>
  <si>
    <t>PANSEMENT EN FIBRES, POLYACRYLATE, URGO, URGOCLEAN, 200 CM2, B/16</t>
  </si>
  <si>
    <t>PANSEMENT EN FIBRES, POLYACRYLATE, URGO, URGOCLEAN, 300 CM2, B/10</t>
  </si>
  <si>
    <t>PANSEMENT EN FIBRES, POLYACRYLATE, URGO, URGOCLEAN, 60 CM2, B/16</t>
  </si>
  <si>
    <t>PANSEMENT EN FIBRES, PVA, MOLNLYCKE, EXUFIBER, 100 CM2 (10 X 10), B/16.</t>
  </si>
  <si>
    <t>PANSEMENT EN FIBRES, PVA, MOLNLYCKE, EXUFIBER, 100 CM2 (2,5 X 40), B/16.</t>
  </si>
  <si>
    <t>PANSEMENT EN FIBRES, PVA, MOLNLYCKE, EXUFIBER, 156 CM2, B/16.</t>
  </si>
  <si>
    <t>PANSEMENT EN FIBRES, PVA, MOLNLYCKE, EXUFIBER, 200 CM2 (10 X 20), B/16.</t>
  </si>
  <si>
    <t>PANSEMENT EN FIBRES, PVA, MOLNLYCKE, EXUFIBER, 200 CM2 (5 X 40), B/10.</t>
  </si>
  <si>
    <t>PANSEMENT EN FIBRES, PVA, MOLNLYCKE, EXUFIBER, 200 CM2 (5 X 40), B/16.</t>
  </si>
  <si>
    <t>PANSEMENT EN FIBRES, PVA, MOLNLYCKE, EXUFIBER, 400 CM2, B/10.</t>
  </si>
  <si>
    <t>PANSEMENT EN FIBRES, PVA, MOLNLYCKE, EXUFIBER, 50 CM2, B/16.</t>
  </si>
  <si>
    <t>PANSEMENT EN FIBRES, PVA, MOLNLYCKE, EXUFIBER, 600 CM2, B/10.</t>
  </si>
  <si>
    <t>PANSEMENT EN FIBRES, PVA, MOLNLYCKE, EXUFIBER, 90 CM2, B/5.</t>
  </si>
  <si>
    <t>Total pansements en fibres à haut pouvoir d'absorption</t>
  </si>
  <si>
    <t>PANSEMENTS INTERFACE CMC, 100 CM2, COLOPLAST, PHYSIOTULLE, B/10</t>
  </si>
  <si>
    <t>PANSEMENTS INTERFACE CMC, 300 CM2, COLOPLAST, PHYSIOTULLE, B/10</t>
  </si>
  <si>
    <t>PANSEMENTS INTERFACE, 156 CM2, URGO, URGOSTART INTERFACE, B/16</t>
  </si>
  <si>
    <t>PANSEMENTS INTERFACE, 180 CM2, MOLNLYCKE, MEPITEL ONE, BOITE DE 10.</t>
  </si>
  <si>
    <t>PANSEMENTS INTERFACE, 180 CM2, MOLNLYCKE, MEPITEL, BOITE DE 10.</t>
  </si>
  <si>
    <t>PANSEMENTS INTERFACE, 190,5 CM2, 3M, ADAPTIC TOUCH, B/10</t>
  </si>
  <si>
    <t>PANSEMENTS INTERFACE, 300 CM2, URGO, URGOSTART INTERFACE, B/16</t>
  </si>
  <si>
    <t>PANSEMENTS INTERFACE, 35 CM2, URGO, URGOSTART INTERFACE, B/16</t>
  </si>
  <si>
    <t>PANSEMENTS INTERFACE, 37,5 CM2, MOLNLYCKE, MEPITEL ONE, BOITE DE 10</t>
  </si>
  <si>
    <t>PANSEMENTS INTERFACE, 37,5 CM2, MOLNLYCKE, MEPITEL, BOITE DE 10.</t>
  </si>
  <si>
    <t>PANSEMENTS INTERFACE, 400 CM2, URGO, URGOTUL, BOITE DE 10.</t>
  </si>
  <si>
    <t>PANSEMENTS INTERFACE, 620 CM2, MOLNLYCKE, MEPITEL, BOITE DE 5.</t>
  </si>
  <si>
    <t>PANSEMENTS INTERFACE, 640 CM2, 3M, ADAPTIC TOUCH, B/5</t>
  </si>
  <si>
    <t>PANSEMENTS INTERFACE, 660 CM2, MOLNLYCKE, MEPITEL ONE, BOITE DE 5.</t>
  </si>
  <si>
    <t>PANSEMENTS INTERFACE, 75 CM2, MOLNLYCKE, MEPITEL ONE, BOITE DE 10.</t>
  </si>
  <si>
    <t>PANSEMENTS INTERFACE, 75 CM2, MOLNLYCKE, MEPITEL, BOITE DE 10.</t>
  </si>
  <si>
    <t>PANSEMENTS INTERFACE, 83,6 CM2, 3M, ADAPTIC TOUCH, B/10</t>
  </si>
  <si>
    <t>PANSEMENTS INTERFACE, URGO, URGOTUL, 120CM2, BOITE DE 16</t>
  </si>
  <si>
    <t>PANSEMENTS INTERFACE, URGO, URGOTUL, 300CM2, BOITE DE 10.</t>
  </si>
  <si>
    <t>Total pansements interface</t>
  </si>
  <si>
    <t>ALGINATE DE CALCIUM, TAMPON DE 0,4 G, BROTHIER, COALGAN, BOITE DE 5.</t>
  </si>
  <si>
    <t>PANSEMENT D'ALGINATE, &gt;OU= 100 CM2 ET &lt; 120 CM2, BOITE DE 10,3M FRANCE</t>
  </si>
  <si>
    <t>PANSEMENT D'ALGINATE, &gt;OU= 100 CM2 ET &lt; 120 CM2, BOITE DE 10,B.BRAUN MEDICAL</t>
  </si>
  <si>
    <t>PANSEMENT D'ALGINATE, &gt;OU= 100 CM2 ET &lt; 120 CM2, BOITE DE 10,COLOPLAST</t>
  </si>
  <si>
    <t>PANSEMENT D'ALGINATE, &gt;OU= 100 CM2 ET &lt; 120 CM2, BOITE DE 10,HARTMANN</t>
  </si>
  <si>
    <t>PANSEMENT D'ALGINATE, &gt;OU= 100 CM2 ET &lt; 120 CM2, BOITE DE 10,LOHMANN &amp; RAU.</t>
  </si>
  <si>
    <t>PANSEMENT D'ALGINATE, &gt;OU= 100 CM2 ET &lt; 120 CM2, BOITE DE 10,SMITH ET NEPHEW</t>
  </si>
  <si>
    <t>PANSEMENT D'ALGINATE, &gt;OU= 120 CM2 ET &lt; 156 CM2, BOITE DE 10,COLOPLAST</t>
  </si>
  <si>
    <t>PANSEMENT D'ALGINATE, &gt;OU= 120 CM2 ET &lt; 156 CM2, BOITE DE 10,LABO URGO</t>
  </si>
  <si>
    <t>PANSEMENT D'ALGINATE, &gt;OU= 120 CM2 ET &lt; 156 CM2, BOITE DE 10,MOLNLYCKE</t>
  </si>
  <si>
    <t>PANSEMENT D'ALGINATE, &gt;OU= 200 CM2 ET &lt; 225 CM2, BOITE DE 10,3M FRANCE</t>
  </si>
  <si>
    <t>PANSEMENT D'ALGINATE, &gt;OU= 200 CM2 ET &lt; 225 CM2, BOITE DE 10,HARTMANN</t>
  </si>
  <si>
    <t>PANSEMENT D'ALGINATE, &gt;OU= 200 CM2 ET &lt; 225 CM2, BOITE DE 10,LABO CONVATEC</t>
  </si>
  <si>
    <t>PANSEMENT D'ALGINATE, &gt;OU= 200 CM2 ET &lt; 225 CM2, BOITE DE 10,LABO URGO</t>
  </si>
  <si>
    <t>PANSEMENT D'ALGINATE, &gt;OU= 200 CM2 ET &lt; 225 CM2, BOITE DE 10,LOHMANN &amp; RAU.</t>
  </si>
  <si>
    <t>PANSEMENT D'ALGINATE, &gt;OU= 200 CM2 ET &lt; 225 CM2, BOITE DE 10,MOLNLYCKE</t>
  </si>
  <si>
    <t>PANSEMENT D'ALGINATE, &gt;OU= 225 CM2 ET &lt; 300 CM2, BOITE DE 10,B.BRAUN MEDICAL</t>
  </si>
  <si>
    <t>PANSEMENT D'ALGINATE, &gt;OU= 225 CM2 ET &lt; 300 CM2, BOITE DE 10,COLOPLAST</t>
  </si>
  <si>
    <t>PANSEMENT D'ALGINATE, &gt;OU= 25 CM2 ET &lt; 50 CM2, BOITE DE 10,LABO CONVATEC</t>
  </si>
  <si>
    <t>PANSEMENT D'ALGINATE, &gt;OU= 300 CM2 ET &lt; 400 CM2, BOITE DE 10,SMITH ET NEPHEW</t>
  </si>
  <si>
    <t>PANSEMENT D'ALGINATE, &gt;OU= 50 CM2 ET &lt; 63 CM2, BOITE DE 10,LABO URGO</t>
  </si>
  <si>
    <t>PANSEMENT D'ALGINATE, &gt;OU= 63 CM2 ET &lt; 100 CM2, BOITE DE 10,LABO CONVATEC</t>
  </si>
  <si>
    <t>PANSEMENTS DALGINATE DE CA PUR, 100 CM2, BROTHIER, ALGOSTERIL, BOITE DE 16.</t>
  </si>
  <si>
    <t>PANSEMENTS DALGINATE DE CA PUR, 200 CM2, BROTHIER, ALGOSTERIL, BOITE DE 16.</t>
  </si>
  <si>
    <t>PANSEMENTS DALGINATE DE CA PUR, 25 CM2, BROTHIER, ALGOSTERIL, BOITE DE 10.</t>
  </si>
  <si>
    <t>Total pansements alginate</t>
  </si>
  <si>
    <t>PANS. ADH FILM, COMP. INTEG, &gt; OU = 135 CM2 ET &lt; 180 CM2, B/5,3M FRANCE</t>
  </si>
  <si>
    <t>PANS. ADH FILM, COMP. INTEG, &gt; OU = 135 CM2 ET &lt; 180 CM2, B/5,EUROMEDIS</t>
  </si>
  <si>
    <t>PANS. ADH FILM, COMP. INTEG, &gt; OU = 135 CM2 ET &lt; 180 CM2, B/5,EVOLUPHARM</t>
  </si>
  <si>
    <t>PANS. ADH FILM, COMP. INTEG, &gt; OU = 135 CM2 ET &lt; 180 CM2, B/5,HARTMANN</t>
  </si>
  <si>
    <t>PANS. ADH FILM, COMP. INTEG, &gt; OU = 135 CM2 ET &lt; 180 CM2, B/5,MARQUE VERTE</t>
  </si>
  <si>
    <t>PANS. ADH FILM, COMP. INTEG, &gt; OU = 135 CM2 ET &lt; 180 CM2, B/5,PIKDARE</t>
  </si>
  <si>
    <t>PANS. ADH FILM, COMP. INTEG, &gt; OU = 135 CM2 ET &lt; 180 CM2, B/5,SOINEO</t>
  </si>
  <si>
    <t>PANS. ADH FILM, COMP. INTEG, &gt; OU = 135 CM2 ET &lt; 180 CM2, B/5,TETRA MEDICAL</t>
  </si>
  <si>
    <t>PANS. ADH FILM, COMP. INTEG, &gt; OU = 135 CM2 ET &lt; 180 CM2, B/5,URGO HEALTHCARE</t>
  </si>
  <si>
    <t>PANS. ADH FILM, COMP. INTEG, &gt; OU = 30 CM2 ET &lt; 40 CM2, B/10,3M FRANCE</t>
  </si>
  <si>
    <t>PANS. ADH FILM, COMP. INTEG, &gt; OU = 30 CM2 ET &lt; 40 CM2, B/5,3M FRANCE</t>
  </si>
  <si>
    <t>PANS. ADH FILM, COMP. INTEG, &gt; OU = 30 CM2 ET &lt; 40 CM2, B/5,BSN-RADIANTE</t>
  </si>
  <si>
    <t>PANS. ADH FILM, COMP. INTEG, &gt; OU = 30 CM2 ET &lt; 40 CM2, B/5,CEORA</t>
  </si>
  <si>
    <t>PANS. ADH FILM, COMP. INTEG, &gt; OU = 30 CM2 ET &lt; 40 CM2, B/5,EUROMEDIS</t>
  </si>
  <si>
    <t>PANS. ADH FILM, COMP. INTEG, &gt; OU = 30 CM2 ET &lt; 40 CM2, B/5,EVOLUPHARM</t>
  </si>
  <si>
    <t>PANS. ADH FILM, COMP. INTEG, &gt; OU = 30 CM2 ET &lt; 40 CM2, B/5,HARTMANN</t>
  </si>
  <si>
    <t>PANS. ADH FILM, COMP. INTEG, &gt; OU = 30 CM2 ET &lt; 40 CM2, B/5,LOHMANN &amp; RAU.</t>
  </si>
  <si>
    <t>PANS. ADH FILM, COMP. INTEG, &gt; OU = 30 CM2 ET &lt; 40 CM2, B/5,MARQUE VERTE</t>
  </si>
  <si>
    <t>PANS. ADH FILM, COMP. INTEG, &gt; OU = 30 CM2 ET &lt; 40 CM2, B/5,PIKDARE</t>
  </si>
  <si>
    <t>PANS. ADH FILM, COMP. INTEG, &gt; OU = 30 CM2 ET &lt; 40 CM2, B/5,SMITH ET NEPHEW</t>
  </si>
  <si>
    <t>PANS. ADH FILM, COMP. INTEG, &gt; OU = 30 CM2 ET &lt; 40 CM2, B/5,SOINEO</t>
  </si>
  <si>
    <t>PANS. ADH FILM, COMP. INTEG, &gt; OU = 30 CM2 ET &lt; 40 CM2, B/5,TETRA MEDICAL</t>
  </si>
  <si>
    <t>PANS. ADH FILM, COMP. INTEG, &gt; OU = 40 CM2 ET &lt; 70 CM2, B/10.,URGO HEALTHCARE</t>
  </si>
  <si>
    <t>PANS. ADH FILM, COMP. INTEG, &gt; OU = 70 CM2 ET &lt; 135 CM2, B/10.,3M FRANCE</t>
  </si>
  <si>
    <t>PANS. ADH FILM, COMP. INTEG, &gt; OU = 70 CM2 ET &lt; 135 CM2, B/10.,URGO HEALTHCARE</t>
  </si>
  <si>
    <t>PANS. ADH FILM, COMP. INTEG, &gt; OU = 70 CM2 ET &lt; 135 CM2, B/5,3M FRANCE</t>
  </si>
  <si>
    <t>PANS. ADH FILM, COMP. INTEG, &gt; OU = 70 CM2 ET &lt; 135 CM2, B/5,BEIERSDORF</t>
  </si>
  <si>
    <t>PANS. ADH FILM, COMP. INTEG, &gt; OU = 70 CM2 ET &lt; 135 CM2, B/5,BSN-RADIANTE</t>
  </si>
  <si>
    <t>PANS. ADH FILM, COMP. INTEG, &gt; OU = 70 CM2 ET &lt; 135 CM2, B/5,CEORA</t>
  </si>
  <si>
    <t>PANS. ADH FILM, COMP. INTEG, &gt; OU = 70 CM2 ET &lt; 135 CM2, B/5,EUROMEDIS</t>
  </si>
  <si>
    <t>PANS. ADH FILM, COMP. INTEG, &gt; OU = 70 CM2 ET &lt; 135 CM2, B/5,EVOLUPHARM</t>
  </si>
  <si>
    <t>PANS. ADH FILM, COMP. INTEG, &gt; OU = 70 CM2 ET &lt; 135 CM2, B/5,HARTMANN</t>
  </si>
  <si>
    <t>PANS. ADH FILM, COMP. INTEG, &gt; OU = 70 CM2 ET &lt; 135 CM2, B/5,LOHMANN &amp; RAU.</t>
  </si>
  <si>
    <t>PANS. ADH FILM, COMP. INTEG, &gt; OU = 70 CM2 ET &lt; 135 CM2, B/5,MARQUE VERTE</t>
  </si>
  <si>
    <t>PANS. ADH FILM, COMP. INTEG, &gt; OU = 70 CM2 ET &lt; 135 CM2, B/5,PIKDARE</t>
  </si>
  <si>
    <t>PANS. ADH FILM, COMP. INTEG, &gt; OU = 70 CM2 ET &lt; 135 CM2, B/5,SMITH ET NEPHEW</t>
  </si>
  <si>
    <t>PANS. ADH FILM, COMP. INTEG, &gt; OU = 70 CM2 ET &lt; 135 CM2, B/5,SOINEO</t>
  </si>
  <si>
    <t>PANS. ADH FILM, COMP. INTEG, &gt; OU = 70 CM2 ET &lt; 135 CM2, B/5,TETRA MEDICAL</t>
  </si>
  <si>
    <t>PANS. ADH TEXTILE, COMP. INTEG, &gt; OU = 135 CM2 ET &lt; 180 CM2, B/5,EUROMEDIS</t>
  </si>
  <si>
    <t>PANS. ADH TEXTILE, COMP. INTEG, &gt; OU = 135 CM2 ET &lt; 180 CM2, B/5,PIKDARE</t>
  </si>
  <si>
    <t>PANS. ADH TEXTILE, COMP. INTEG, &gt; OU = 135 CM2 ET &lt; 180 CM2, B/5,SYLAMED</t>
  </si>
  <si>
    <t>PANS. ADH TEXTILE, COMP. INTEG, &gt; OU = 30 CM2 ET &lt; 40 CM2, B/10.,3M FRANCE</t>
  </si>
  <si>
    <t>PANS. ADH TEXTILE, COMP. INTEG, &gt; OU = 30 CM2 ET &lt; 40 CM2, B/10.,CEORA</t>
  </si>
  <si>
    <t>PANS. ADH TEXTILE, COMP. INTEG, &gt; OU = 30 CM2 ET &lt; 40 CM2, B/10.,EVOLUPHARM</t>
  </si>
  <si>
    <t>PANS. ADH TEXTILE, COMP. INTEG, &gt; OU = 30 CM2 ET &lt; 40 CM2, B/10.,HARTMANN</t>
  </si>
  <si>
    <t>PANS. ADH TEXTILE, COMP. INTEG, &gt; OU = 30 CM2 ET &lt; 40 CM2, B/10.,LOHMANN &amp; RAU.</t>
  </si>
  <si>
    <t>PANS. ADH TEXTILE, COMP. INTEG, &gt; OU = 30 CM2 ET &lt; 40 CM2, B/10.,MARQUE VERTE</t>
  </si>
  <si>
    <t>PANS. ADH TEXTILE, COMP. INTEG, &gt; OU = 30 CM2 ET &lt; 40 CM2, B/10.,PIKDARE</t>
  </si>
  <si>
    <t>PANS. ADH TEXTILE, COMP. INTEG, &gt; OU = 30 CM2 ET &lt; 40 CM2, B/10.,SOINEO</t>
  </si>
  <si>
    <t>PANS. ADH TEXTILE, COMP. INTEG, &gt; OU = 30 CM2 ET &lt; 40 CM2, B/10.,SYLAMED</t>
  </si>
  <si>
    <t>PANS. ADH TEXTILE, COMP. INTEG, &gt; OU = 30 CM2 ET &lt; 40 CM2, B/10.,TETRA MEDICAL</t>
  </si>
  <si>
    <t>PANS. ADH TEXTILE, COMP. INTEG, &gt; OU = 30 CM2 ET &lt; 40 CM2, B/5,BSN-RADIANTE</t>
  </si>
  <si>
    <t>PANS. ADH TEXTILE, COMP. INTEG, &gt; OU = 30 CM2 ET &lt; 40 CM2, B/5,EUROMEDIS</t>
  </si>
  <si>
    <t>PANS. ADH TEXTILE, COMP. INTEG, &gt; OU = 30 CM2 ET &lt; 40 CM2, B/5,HARTMANN</t>
  </si>
  <si>
    <t>PANS. ADH TEXTILE, COMP. INTEG, &gt; OU = 30 CM2 ET &lt; 40 CM2, B/5,PIKDARE</t>
  </si>
  <si>
    <t>PANS. ADH TEXTILE, COMP. INTEG, &gt; OU = 30 CM2 ET &lt; 40 CM2, B/5,SMITH ET NEPHEW</t>
  </si>
  <si>
    <t>PANS. ADH TEXTILE, COMP. INTEG, &gt; OU = 30 CM2 ET &lt; 40 CM2, B/5,SYLAMED</t>
  </si>
  <si>
    <t>PANS. ADH TEXTILE, COMP. INTEG, &gt; OU = 40 CM2 ET &lt; 70 CM2, B/10,MOLNLYCKE</t>
  </si>
  <si>
    <t>PANS. ADH TEXTILE, COMP. INTEG, &gt; OU = 40 CM2 ET &lt; 70 CM2, B/10,PANSCARE</t>
  </si>
  <si>
    <t>PANS. ADH TEXTILE, COMP. INTEG, &gt; OU = 40 CM2 ET &lt; 70 CM2, B/10,URGO HEALTHCARE</t>
  </si>
  <si>
    <t>PANS. ADH TEXTILE, COMP. INTEG, &gt; OU = 70 CM2 ET &lt; 135 CM2, B/10,3M FRANCE</t>
  </si>
  <si>
    <t>PANS. ADH TEXTILE, COMP. INTEG, &gt; OU = 70 CM2 ET &lt; 135 CM2, B/10,CEORA</t>
  </si>
  <si>
    <t>PANS. ADH TEXTILE, COMP. INTEG, &gt; OU = 70 CM2 ET &lt; 135 CM2, B/10,EVOLUPHARM</t>
  </si>
  <si>
    <t>PANS. ADH TEXTILE, COMP. INTEG, &gt; OU = 70 CM2 ET &lt; 135 CM2, B/10,HARTMANN</t>
  </si>
  <si>
    <t>PANS. ADH TEXTILE, COMP. INTEG, &gt; OU = 70 CM2 ET &lt; 135 CM2, B/10,LOHMANN &amp; RAU.</t>
  </si>
  <si>
    <t>PANS. ADH TEXTILE, COMP. INTEG, &gt; OU = 70 CM2 ET &lt; 135 CM2, B/10,MARQUE VERTE</t>
  </si>
  <si>
    <t>PANS. ADH TEXTILE, COMP. INTEG, &gt; OU = 70 CM2 ET &lt; 135 CM2, B/10,MOLNLYCKE</t>
  </si>
  <si>
    <t>PANS. ADH TEXTILE, COMP. INTEG, &gt; OU = 70 CM2 ET &lt; 135 CM2, B/10,PIKDARE</t>
  </si>
  <si>
    <t>PANS. ADH TEXTILE, COMP. INTEG, &gt; OU = 70 CM2 ET &lt; 135 CM2, B/10,SOINEO</t>
  </si>
  <si>
    <t>PANS. ADH TEXTILE, COMP. INTEG, &gt; OU = 70 CM2 ET &lt; 135 CM2, B/10,SYLAMED</t>
  </si>
  <si>
    <t>PANS. ADH TEXTILE, COMP. INTEG, &gt; OU = 70 CM2 ET &lt; 135 CM2, B/10,TETRA MEDICAL</t>
  </si>
  <si>
    <t>PANS. ADH TEXTILE, COMP. INTEG, &gt; OU = 70 CM2 ET &lt; 135 CM2, B/10,URGO HEALTHCARE</t>
  </si>
  <si>
    <t>PANS. ADH TEXTILE, COMP. INTEG, &gt; OU = 70 CM2 ET &lt; 135 CM2, B/5.,BEIERSDORF</t>
  </si>
  <si>
    <t>PANS. ADH TEXTILE, COMP. INTEG, &gt; OU = 70 CM2 ET &lt; 135 CM2, B/5.,BSN-RADIANTE</t>
  </si>
  <si>
    <t>PANS. ADH TEXTILE, COMP. INTEG, &gt; OU = 70 CM2 ET &lt; 135 CM2, B/5.,EUROMEDIS</t>
  </si>
  <si>
    <t>PANS. ADH TEXTILE, COMP. INTEG, &gt; OU = 70 CM2 ET &lt; 135 CM2, B/5.,HARTMANN</t>
  </si>
  <si>
    <t>PANS. ADH TEXTILE, COMP. INTEG, &gt; OU = 70 CM2 ET &lt; 135 CM2, B/5.,PIKDARE</t>
  </si>
  <si>
    <t>PANS. ADH TEXTILE, COMP. INTEG, &gt; OU = 70 CM2 ET &lt; 135 CM2, B/5.,SMITH ET NEPHEW</t>
  </si>
  <si>
    <t>PANS. ADH TEXTILE, COMP. INTEG, &gt; OU = 70 CM2 ET &lt; 135 CM2, B/5.,SYLAMED</t>
  </si>
  <si>
    <t>PANS. ADH TEXTILE, COMP. INTEG, &gt;= 135 CM2 ET &lt; 180 CM2, B/10,3M FRANCE</t>
  </si>
  <si>
    <t>PANS. ADH TEXTILE, COMP. INTEG, &gt;= 135 CM2 ET &lt; 180 CM2, B/10,ASEPT INMED</t>
  </si>
  <si>
    <t>PANS. ADH TEXTILE, COMP. INTEG, &gt;= 135 CM2 ET &lt; 180 CM2, B/10,CEORA</t>
  </si>
  <si>
    <t>PANS. ADH TEXTILE, COMP. INTEG, &gt;= 135 CM2 ET &lt; 180 CM2, B/10,EVOLUPHARM</t>
  </si>
  <si>
    <t>PANS. ADH TEXTILE, COMP. INTEG, &gt;= 135 CM2 ET &lt; 180 CM2, B/10,HARTMANN</t>
  </si>
  <si>
    <t>PANS. ADH TEXTILE, COMP. INTEG, &gt;= 135 CM2 ET &lt; 180 CM2, B/10,INNOSET</t>
  </si>
  <si>
    <t>PANS. ADH TEXTILE, COMP. INTEG, &gt;= 135 CM2 ET &lt; 180 CM2, B/10,LOHMANN &amp; RAU.</t>
  </si>
  <si>
    <t>PANS. ADH TEXTILE, COMP. INTEG, &gt;= 135 CM2 ET &lt; 180 CM2, B/10,MARQUE VERTE</t>
  </si>
  <si>
    <t>PANS. ADH TEXTILE, COMP. INTEG, &gt;= 135 CM2 ET &lt; 180 CM2, B/10,MOLNLYCKE</t>
  </si>
  <si>
    <t>PANS. ADH TEXTILE, COMP. INTEG, &gt;= 135 CM2 ET &lt; 180 CM2, B/10,MYHOMECARE</t>
  </si>
  <si>
    <t>PANS. ADH TEXTILE, COMP. INTEG, &gt;= 135 CM2 ET &lt; 180 CM2, B/10,SOINEO</t>
  </si>
  <si>
    <t>PANS. ADH TEXTILE, COMP. INTEG, &gt;= 135 CM2 ET &lt; 180 CM2, B/10,SYLAMED</t>
  </si>
  <si>
    <t>PANS. ADH TEXTILE, COMP. INTEG, &gt;= 135 CM2 ET &lt; 180 CM2, B/10,TETRA MEDICAL</t>
  </si>
  <si>
    <t>PANS. ADH TEXTILE, COMP. INTEG, &gt;= 135 CM2 ET &lt; 180 CM2, B/10,URGO HEALTHCARE</t>
  </si>
  <si>
    <t>PANS. ADH, FILM, COMP. INTEG, &gt; OU = 180 CM2 ET &lt; 250 CM2, B/5,3M FRANCE</t>
  </si>
  <si>
    <t>PANS. ADH, FILM, COMP. INTEG, &gt; OU = 180 CM2 ET &lt; 250 CM2, B/5,BSN-RADIANTE</t>
  </si>
  <si>
    <t>PANS. ADH, FILM, COMP. INTEG, &gt; OU = 180 CM2 ET &lt; 250 CM2, B/5,EUROMEDIS</t>
  </si>
  <si>
    <t>PANS. ADH, FILM, COMP. INTEG, &gt; OU = 180 CM2 ET &lt; 250 CM2, B/5,HARTMANN</t>
  </si>
  <si>
    <t>PANS. ADH, FILM, COMP. INTEG, &gt; OU = 180 CM2 ET &lt; 250 CM2, B/5,SOINEO</t>
  </si>
  <si>
    <t>PANS. ADH, FILM, COMP. INTEG, &gt; OU = 180 CM2 ET &lt; 250 CM2, B/5,TETRA MEDICAL</t>
  </si>
  <si>
    <t>PANS. ADH, FILM, COMP. INTEG, &gt; OU = 180 CM2 ET &lt; 250 CM2, B/5,URGO HEALTHCARE</t>
  </si>
  <si>
    <t>PANS. ADH, FILM, COMP. INTEG, &gt; OU = 250 CM2 ET &lt; 300 CM2, B/5,BSN-RADIANTE</t>
  </si>
  <si>
    <t>PANS. ADH, FILM, COMP. INTEG, &gt; OU = 250 CM2 ET &lt; 300 CM2, B/5,MYHOMECARE</t>
  </si>
  <si>
    <t>PANS. ADH, FILM, COMP. INTEG, &gt; OU = 250 CM2 ET &lt; 300 CM2, B/5,SMITH ET NEPHEW</t>
  </si>
  <si>
    <t>PANS. ADH, TEXTILE, COMP. INTEG, &gt;OU= 180 CM2 ET &lt; 250 CM2, B/10,3M FRANCE</t>
  </si>
  <si>
    <t>PANS. ADH, TEXTILE, COMP. INTEG, &gt;OU= 180 CM2 ET &lt; 250 CM2, B/10,ASEPT INMED</t>
  </si>
  <si>
    <t>PANS. ADH, TEXTILE, COMP. INTEG, &gt;OU= 180 CM2 ET &lt; 250 CM2, B/10,EVOLUPHARM</t>
  </si>
  <si>
    <t>PANS. ADH, TEXTILE, COMP. INTEG, &gt;OU= 180 CM2 ET &lt; 250 CM2, B/10,HARTMANN</t>
  </si>
  <si>
    <t>PANS. ADH, TEXTILE, COMP. INTEG, &gt;OU= 180 CM2 ET &lt; 250 CM2, B/10,LOHMANN &amp; RAU.</t>
  </si>
  <si>
    <t>PANS. ADH, TEXTILE, COMP. INTEG, &gt;OU= 180 CM2 ET &lt; 250 CM2, B/10,MOLNLYCKE</t>
  </si>
  <si>
    <t>PANS. ADH, TEXTILE, COMP. INTEG, &gt;OU= 180 CM2 ET &lt; 250 CM2, B/10,MYHOMECARE</t>
  </si>
  <si>
    <t>PANS. ADH, TEXTILE, COMP. INTEG, &gt;OU= 180 CM2 ET &lt; 250 CM2, B/10,PIKDARE</t>
  </si>
  <si>
    <t>PANS. ADH, TEXTILE, COMP. INTEG, &gt;OU= 180 CM2 ET &lt; 250 CM2, B/10,SOINEO</t>
  </si>
  <si>
    <t>PANS. ADH, TEXTILE, COMP. INTEG, &gt;OU= 180 CM2 ET &lt; 250 CM2, B/10,SYLAMED</t>
  </si>
  <si>
    <t>PANS. ADH, TEXTILE, COMP. INTEG, &gt;OU= 180 CM2 ET &lt; 250 CM2, B/10,TETRA MEDICAL</t>
  </si>
  <si>
    <t>PANS. ADH, TEXTILE, COMP. INTEG, &gt;OU= 180 CM2 ET &lt; 250 CM2, B/10,URGO HEALTHCARE</t>
  </si>
  <si>
    <t>PANS. ADH, TEXTILE, COMP. INTEG, &gt;OU= 180 CM2 ET &lt; 250 CM2, B/10,VYGON</t>
  </si>
  <si>
    <t>PANS. ADH, TEXTILE, COMP. INTEG, &gt;OU= 180 CM2 ET &lt; 250 CM2, B/5,BSN-RADIANTE</t>
  </si>
  <si>
    <t>PANS. ADH, TEXTILE, COMP. INTEG, &gt;OU= 180 CM2 ET &lt; 250 CM2, B/5,EUROMEDIS</t>
  </si>
  <si>
    <t>PANS. ADH, TEXTILE, COMP. INTEG, &gt;OU= 180 CM2 ET &lt; 250 CM2, B/5,SMITH ET NEPHEW</t>
  </si>
  <si>
    <t>PANS. ADH, TEXTILE, COMP. INTEG, &gt;OU= 180 CM2 ET &lt; 250 CM2, B/5,SYLAMED</t>
  </si>
  <si>
    <t>PANS. ADH, TEXTILE, COMP. INTEG, &gt;OU= 250 CM2 ET &lt; 300 CM2, B/10,HARTMANN</t>
  </si>
  <si>
    <t>PANS. ADH, TEXTILE, COMP. INTEG, &gt;OU= 250 CM2 ET &lt; 300 CM2, B/10,MARQUE VERTE</t>
  </si>
  <si>
    <t>PANS. ADH, TEXTILE, COMP. INTEG, &gt;OU= 250 CM2 ET &lt; 300 CM2, B/10,TETRA MEDICAL</t>
  </si>
  <si>
    <t>PANS. ADH, TEXTILE, COMP. INTEG, &gt;OU= 250 CM2 ET &lt; 300 CM2, B/5,BSN-RADIANTE</t>
  </si>
  <si>
    <t>PANS. ADHESIF, TEXTILE, COMPRESSE INTEG, &gt; OU = 300 CM2, B/10,HARTMANN</t>
  </si>
  <si>
    <t>PANS. ADHESIF, TEXTILE, COMPRESSE INTEG, &gt; OU = 300 CM2, B/10,SOINEO</t>
  </si>
  <si>
    <t>PANS. ADHESIF, TEXTILE, COMPRESSE INTEG, &gt; OU = 300 CM2, B/5.,BSN-RADIANTE</t>
  </si>
  <si>
    <t>PANSEMENT ADHESIF TEXTILE, COMPRESSE INTEG, &gt; OU = 135 CM2 ET &lt; 180 CM2, B/10</t>
  </si>
  <si>
    <t>PANSEMENT ADHESIF TEXTILE, COMPRESSE INTEG, &gt; OU = 30 CM2 ET &lt; 40 CM2, B/10.</t>
  </si>
  <si>
    <t>PANSEMENT ADHESIF TEXTILE, COMPRESSE INTEG, &gt; OU = 40 CM2 ET &lt; 70 CM2, B/10</t>
  </si>
  <si>
    <t>PANSEMENT ADHESIF TEXTILE, COMPRESSE INTEG, &gt; OU = 70 CM2 ET &lt; 135 CM2, B/10</t>
  </si>
  <si>
    <t>PANSEMENT ADHESIF, FILM, COMPRESSE INTEG, &gt; OU = 300 CM2, B/5.,BSN-RADIANTE</t>
  </si>
  <si>
    <t>Total pansements adhésifs stériles avec compresse intégrée</t>
  </si>
  <si>
    <t xml:space="preserve">On regarde également les ventes en OTC : </t>
  </si>
  <si>
    <t>Pour les pansements adhésifs, on regarde des valeurs moyennes, et pour les surfaces, on regarde une unité représentative :  https://www.pharmammouth.com/pansements/24836-urgo-multi-extensible-x30.html?srsltid=AfmBOoobvgNmLmJNDF9oEf2RgRndI2FMYzjJ8NtgT8_MWIO40ssEMsL4</t>
  </si>
  <si>
    <t>Total pansements adhésifs non stériles OTC</t>
  </si>
  <si>
    <t>Autres pansements (hydrocellulaires, vaseline, etc.)</t>
  </si>
  <si>
    <t>II - Evaluation energie carbone - Bandes de compression</t>
  </si>
  <si>
    <t>L'objectif est ici d'avoir des ratios par m2 de bande.</t>
  </si>
  <si>
    <t>On étudie ici le produit le plus vendu, c’est-à-dire les bandes Urgok2.</t>
  </si>
  <si>
    <t xml:space="preserve">Le produit est composé de deux bandes : </t>
  </si>
  <si>
    <t>1) Une bande à allongement court : Ktech</t>
  </si>
  <si>
    <t>Composition : une ouate (viscose, polyester)(en contact avec la peau) associée par aiguilletage à un support (polyamide, élasthanne).</t>
  </si>
  <si>
    <t>2) Une bande à allongement long : Kpress</t>
  </si>
  <si>
    <t>Composition : acrylique, polyamide, élasthanne ; matériau cohésif contenant du latex naturel</t>
  </si>
  <si>
    <t>URGOK2 bandage multitype système de compression veineuse bi-bande - Parapharmacie - VIDAL</t>
  </si>
  <si>
    <r>
      <rPr>
        <b/>
        <sz val="11"/>
        <color rgb="FF7030A0"/>
        <rFont val="Arial"/>
        <family val="2"/>
        <scheme val="minor"/>
      </rPr>
      <t>Hyp :</t>
    </r>
    <r>
      <rPr>
        <sz val="11"/>
        <color theme="1"/>
        <rFont val="Arial"/>
        <family val="2"/>
        <scheme val="minor"/>
      </rPr>
      <t xml:space="preserve"> on fait alors les hypothèses suivantes de répartition des matériaux : </t>
    </r>
  </si>
  <si>
    <t>Ktech</t>
  </si>
  <si>
    <t>Kpress</t>
  </si>
  <si>
    <t>Polyester</t>
  </si>
  <si>
    <t>Acrylique</t>
  </si>
  <si>
    <t>Polyamide</t>
  </si>
  <si>
    <t>Elasthane</t>
  </si>
  <si>
    <t>D'après les recommandations de la HAS, les bandes cohésives doivent avoir un grammage de plus de 100 g/m2.</t>
  </si>
  <si>
    <t>RAPPORT_COMPRESSION_MEDICALE_VF</t>
  </si>
  <si>
    <t>D'après un site de vente, le grammage de la bande Ktech est situé entre 140 et 210 g/m2.</t>
  </si>
  <si>
    <t>Urgo K2 - Urgo Médical (LPPR) | La Maison Médicale</t>
  </si>
  <si>
    <r>
      <rPr>
        <b/>
        <sz val="11"/>
        <color rgb="FF7030A0"/>
        <rFont val="Arial"/>
        <family val="2"/>
        <scheme val="minor"/>
      </rPr>
      <t>Hyp :</t>
    </r>
    <r>
      <rPr>
        <sz val="11"/>
        <color theme="1"/>
        <rFont val="Arial"/>
        <family val="2"/>
        <scheme val="minor"/>
      </rPr>
      <t xml:space="preserve"> On fait l'hypothèse suivante : le grammage des deux bandes est égal à 150 g/m2.</t>
    </r>
  </si>
  <si>
    <t>Grammage des bandes UrgoK2</t>
  </si>
  <si>
    <t>g/m2</t>
  </si>
  <si>
    <t xml:space="preserve">On utilise également les facteurs d'émissions d'Ecoinvent. </t>
  </si>
  <si>
    <t>Enfin, on fait l'hypothèse de 5% de pertes pendant la production.</t>
  </si>
  <si>
    <t>Emissions (kgCO2e/m2 de bande)</t>
  </si>
  <si>
    <t>Emissions induites par la matière première</t>
  </si>
  <si>
    <t>Emissions induites par la matière première (en ktCO2e)</t>
  </si>
  <si>
    <t>On regarde les données de consommation d'énergie du site de Veauche :</t>
  </si>
  <si>
    <t>Consommation d'électricité (en MWh)</t>
  </si>
  <si>
    <t>Production (en millions de bandes)</t>
  </si>
  <si>
    <t>Données de 2018</t>
  </si>
  <si>
    <t>Loire. Veauche: Urgo Advanced Textile va agrandir son site de production</t>
  </si>
  <si>
    <t>Ainsi :</t>
  </si>
  <si>
    <t>Consommation d'énergie par bande</t>
  </si>
  <si>
    <t>On utilisera ensuite les facteurs d'émissions suivants d'Ecoinvent pour l'electricité.</t>
  </si>
  <si>
    <t xml:space="preserve">On utilise également la donnée suivante (actualisée avec les données d'EcoInvent) : </t>
  </si>
  <si>
    <t>LCA benchmarking study on textiles made of cotton, polyester, nylon, acryl, or elastane (Vogtlander, J., 2013)</t>
  </si>
  <si>
    <t>Emissions pour l'extrusion en filament</t>
  </si>
  <si>
    <t>kgCO2/kg de bande</t>
  </si>
  <si>
    <t>Emissions par bande (kgCO2e)</t>
  </si>
  <si>
    <t>Emissions par unité (2 bandes, kgCO2e)</t>
  </si>
  <si>
    <t>On fait l'hypothèse que 50% des bandes consommées en France sont produites en France, et 50% du reste de l'Europe</t>
  </si>
  <si>
    <t>Emissions totales pour le tissage et l'extrusion en filament</t>
  </si>
  <si>
    <t>On ajoute également les émissions liées aux déplacements domicile travail et à l'immobilisation.</t>
  </si>
  <si>
    <t>Donnée de 2018</t>
  </si>
  <si>
    <t>Nombre d'emploi site de Veauche</t>
  </si>
  <si>
    <t>Surface (en m2)</t>
  </si>
  <si>
    <t>Veauche : Urgo investit 15 M€ supplémentaires - ESSOR Loire</t>
  </si>
  <si>
    <t xml:space="preserve">On fait utilise également les données suivantes : </t>
  </si>
  <si>
    <t>On fait ensuite l'hypothèse suivante : on prend une durée d'amortissement des sites de 25 ans</t>
  </si>
  <si>
    <t xml:space="preserve">On fait également les hypothèses suivantes : </t>
  </si>
  <si>
    <t>Distance moyenne en km, personnes actives, données de 2019</t>
  </si>
  <si>
    <t>km</t>
  </si>
  <si>
    <t>Estimation The Shift Project à partir de INSEE, Indicateurs pour le suivi national des objectifs de développement durable, https://www.insee.fr/fr/statistiques/2654964</t>
  </si>
  <si>
    <t>Part d'utilisation de la voiture</t>
  </si>
  <si>
    <t>kgCO2e/km</t>
  </si>
  <si>
    <t xml:space="preserve">Ainsi, en faisant l'hypothèse de 225 jours travaillés, on obtient les résultats suivants : </t>
  </si>
  <si>
    <t>Emissions liées aux déplacements D/T par bande pour le site de Veauche</t>
  </si>
  <si>
    <t>kgCO2e</t>
  </si>
  <si>
    <t>Emissions liées aux immobilisations par bande pour le site de Veauche</t>
  </si>
  <si>
    <t>Emissions de CO2 liées à la production (en ktCO2e)</t>
  </si>
  <si>
    <t>Extrusion en filament</t>
  </si>
  <si>
    <t>Tissage</t>
  </si>
  <si>
    <t>Déplacements domiciile/travail</t>
  </si>
  <si>
    <t>Immobilisations</t>
  </si>
  <si>
    <t xml:space="preserve">Chaque bande est protégée par un sachet plastique. </t>
  </si>
  <si>
    <t xml:space="preserve">Chaque kit de 2 bandes est conditionné dans une boîte carton. </t>
  </si>
  <si>
    <t>La bande Kpress est enroulé autour d'un élément (en plastique ?).</t>
  </si>
  <si>
    <t xml:space="preserve">On fait les hypothèses suivantes : </t>
  </si>
  <si>
    <t>Poids (en gramme)</t>
  </si>
  <si>
    <t>Sachets en plastique</t>
  </si>
  <si>
    <t>Boîte en carton</t>
  </si>
  <si>
    <t>Élément en plastique bande Kpress</t>
  </si>
  <si>
    <t xml:space="preserve">On utilise les facteurs d'émissions d'Ecoinvent, et on obtient : </t>
  </si>
  <si>
    <t>Emissions induites par la production des emballages</t>
  </si>
  <si>
    <t xml:space="preserve">A partir des calcul précédent, on a : </t>
  </si>
  <si>
    <t>Poids (en g)</t>
  </si>
  <si>
    <t>Poids des bandes</t>
  </si>
  <si>
    <t xml:space="preserve">Comme précédemment, on fait l'hypothèse suivante : </t>
  </si>
  <si>
    <t>90% des bandes de contention consommées en France sont produites en France, et 10% en Europe</t>
  </si>
  <si>
    <t>Fret routier (km)</t>
  </si>
  <si>
    <t>Pour le dernier kilomètre, on prend les données présentes dans l'Annexe - logistique.</t>
  </si>
  <si>
    <t xml:space="preserve">A l'aide des facteurs d'émissions reportés dans l'Annexe - logistique, on obtient : </t>
  </si>
  <si>
    <t>Fret routier</t>
  </si>
  <si>
    <t>Dernier kilomètre</t>
  </si>
  <si>
    <t>Emissions (ktCO2e)</t>
  </si>
  <si>
    <t>Emissions liées à la fin de vie</t>
  </si>
  <si>
    <t>III - Evaluation energie carbone - Compresses stériles</t>
  </si>
  <si>
    <t xml:space="preserve">On regarde à chaque fois les informations, pour chaque types de compresses, sur 1 ou 2 produits parmi les plus vendus : </t>
  </si>
  <si>
    <t>Grammage (g/m2)</t>
  </si>
  <si>
    <t>Composition</t>
  </si>
  <si>
    <t xml:space="preserve">compresses stériles non tissées </t>
  </si>
  <si>
    <t>Catalogue</t>
  </si>
  <si>
    <t>30 à 40 grammes</t>
  </si>
  <si>
    <t>compresses non stériles non tissées</t>
  </si>
  <si>
    <t>compresses de gaze hydrophile</t>
  </si>
  <si>
    <t>100% coton blanchies et purifiées</t>
  </si>
  <si>
    <t>Pansements/compresse non adhésif</t>
  </si>
  <si>
    <t>Zetuvit de Hartmann</t>
  </si>
  <si>
    <t>Coussin absorbant en cellulose défibrée (poids m2 : environ 260 g) Voile de cellulose, hydrophile, sans azurant optique, 17 g/m2 Voile de nontissé hydrophobe 23 g/m2</t>
  </si>
  <si>
    <t>Medicomp Compresses Non tissé stériles de Hartmann</t>
  </si>
  <si>
    <t>40 g/m2</t>
  </si>
  <si>
    <t>Elles sont composées de gaze hydrophile, à base de 70% de viscose et de 30% de polyester</t>
  </si>
  <si>
    <t xml:space="preserve">On prendra donc le grammage suivant : </t>
  </si>
  <si>
    <t>Grammage moyen des compresses</t>
  </si>
  <si>
    <t>Total ventes remboursées en ville ou en OTC</t>
  </si>
  <si>
    <t>Plastique</t>
  </si>
  <si>
    <t>Bandes de Compression</t>
  </si>
  <si>
    <t>On utilise également les facteurs d'émissions suivants calculé à l'onglet "EPI" pour les champs opératoires.</t>
  </si>
  <si>
    <t>On fera l'hypothèse que les compresses sont composées à 50% de viscose, et à 50% de polyethylène.</t>
  </si>
  <si>
    <t xml:space="preserve">On ajoutera 5% pour tenir compte des chutes de production. On obtient alors : </t>
  </si>
  <si>
    <t xml:space="preserve">Et ainsi, en pondérant à 75% pour "hors Europe", à 5% pour France et à 20% pour l'Europe, on obtient : </t>
  </si>
  <si>
    <t>Emissions liées à la matière première (en kgCO2e/kg)</t>
  </si>
  <si>
    <t>Emissions totales liées à la matière première (en ktCO2e)</t>
  </si>
  <si>
    <t>Emissions liées à la production (en kgCO2e/kg)</t>
  </si>
  <si>
    <t>Emissions totales liées à la production (en ktCO2e)</t>
  </si>
  <si>
    <t>Circular material flow in the intensive care unit—environmental effects and identification of hotspots | Intensive Care Medicine</t>
  </si>
  <si>
    <t>Pour les compresses, les emballages représentent 50% du poid des produits.</t>
  </si>
  <si>
    <t>On fait l'hypothèse suivante : les emballages sont composés à 30% de papier médical, à 40% de films plastiques et à 30% de carton.</t>
  </si>
  <si>
    <t xml:space="preserve">A l'aide des facteurs d'émissions d'Ecoinvent, on obtient : </t>
  </si>
  <si>
    <t>Emissions liées à la production des emballages (en kgCO2e/kg)</t>
  </si>
  <si>
    <t>On suppose que 100% des compresses sont stériles.</t>
  </si>
  <si>
    <t>On prend les moyennes d'utilisation de l'EtO, le gamma et le beta.</t>
  </si>
  <si>
    <t>Masse  (en comptant les emballages, en tonnes)</t>
  </si>
  <si>
    <t>gazes pharmaceutiques conditionnées</t>
  </si>
  <si>
    <r>
      <rPr>
        <b/>
        <sz val="11"/>
        <color rgb="FF7030A0"/>
        <rFont val="Arial"/>
        <family val="2"/>
        <scheme val="minor"/>
      </rPr>
      <t>Hyp :</t>
    </r>
    <r>
      <rPr>
        <sz val="11"/>
        <color theme="1"/>
        <rFont val="Arial"/>
        <family val="2"/>
        <scheme val="minor"/>
      </rPr>
      <t xml:space="preserve"> la part de la production française est de 5%.</t>
    </r>
  </si>
  <si>
    <t>On fait enfin l'hypothèse que 100% du fret depuis les pays hors européen est du fret maritime.</t>
  </si>
  <si>
    <t>Emissions liées au transport (en kgCO2e/kg)</t>
  </si>
  <si>
    <t>Emissions totales liées au transport (en ktCO2e)</t>
  </si>
  <si>
    <t>Poids (en tonnes)</t>
  </si>
  <si>
    <t>Poids des compresses</t>
  </si>
  <si>
    <t>Facteur d'émissions (en kgCO2e/tonne)</t>
  </si>
  <si>
    <t>IV - Pansements hydrocellulaires</t>
  </si>
  <si>
    <t>Etude en cours, non contacter à indus-sante@theshiftproject.org pour toute information.</t>
  </si>
  <si>
    <t>Dispositifs pour l'auto-surveillance et l'auto-traitement du diabète</t>
  </si>
  <si>
    <t>A ce jour, la qualité des études et des données disponibles ne nous ont pas permis de calculer l'empreinte carbone de ces dispositifs de manière satisfaisante.</t>
  </si>
  <si>
    <t>Ces dispositifs pourront faire l'objet de futurs travaux. Pour toute information, vous pouvez nous contacter à indus-santé@theshiftproject.org</t>
  </si>
  <si>
    <t xml:space="preserve">1) Auto-traitement : stylos injecteurs et aiguilles </t>
  </si>
  <si>
    <t>Nombre d'aiguilles</t>
  </si>
  <si>
    <t>Produit phare</t>
  </si>
  <si>
    <t>Aiguilles stériles non réutilisable pour stylos injecteurs, B/100</t>
  </si>
  <si>
    <t>https://www.vidal.fr/parapharmacie/bd-micro-fine-ultra-aig-sterile-usage-unique-pour-stylo-injecteur-117815.html</t>
  </si>
  <si>
    <t>Stylo injecteur + aig. a cartouches préremplies</t>
  </si>
  <si>
    <t>https://www.vidal.fr/parapharmacie/novopen-6-stylo-injecteur-insuline-reutilisable-235619.html</t>
  </si>
  <si>
    <t>https://www.novonordisk.com/content/dam/nncorp/global/en/our-products/pdf/instructions-for-use/novopen-4/Novopen4-FR.pdf</t>
  </si>
  <si>
    <t>2) Auto-surveillance de la glycémie</t>
  </si>
  <si>
    <t>Capteurs Freestyle de glucose en continu</t>
  </si>
  <si>
    <t>Lecteur Freestyle libre</t>
  </si>
  <si>
    <t>Capteur Freestyle libre</t>
  </si>
  <si>
    <t>Autres capteurs de glucose en continu (extrapolation monétaire) : Dexcom G6, Medtronic Guardian</t>
  </si>
  <si>
    <t>Lecteurs</t>
  </si>
  <si>
    <t>Capteurs</t>
  </si>
  <si>
    <t>Systèmes d’autosurveillance de la glycémie par piqûre capillaire</t>
  </si>
  <si>
    <t>Autopiqueurs</t>
  </si>
  <si>
    <t>Autopiqueurs à usage unique</t>
  </si>
  <si>
    <t>Lancettes pour autopiqueur, non réutilisables, stériles</t>
  </si>
  <si>
    <t>ACCU CHEK SOFTCLIX lancette - Parapharmacie - VIDAL</t>
  </si>
  <si>
    <t>Bandelettes réactives</t>
  </si>
  <si>
    <t>ACCU CHEK PERFORMA bdlette - Parapharmacie - VIDAL</t>
  </si>
  <si>
    <t>Lecteurs de bandelette</t>
  </si>
  <si>
    <t>ACCU CHEK GUIDE lecteur glycémie mg/dl - Parapharmacie - VIDAL</t>
  </si>
  <si>
    <t>II - Evaluation énergie carbone - autotraitement</t>
  </si>
  <si>
    <t>La qualité des études et des données disponibles ne nous ont pas permis de calculer l'empreinte carbone de ces dispositifs de manière satisfaisante. Voici à ces jours les études disponibles :</t>
  </si>
  <si>
    <t>Sustainability-ONdD-AprMay-2024-Issue-159-MedRes-1.pdf</t>
  </si>
  <si>
    <t>product-carbon-footprint-novopen4.pdf</t>
  </si>
  <si>
    <t>III - Evaluation énergie carbone - autosurveillance</t>
  </si>
  <si>
    <t>https://deepblue.lib.umich.edu/bitstream/handle/2027.42/153788/Final%20Thesis%20Draft_Wilkins.pdf?sequence=1&amp;isAllowed=y</t>
  </si>
  <si>
    <t>On regarde notamment plusieurs études comparant l'empreinte carbone de l'usage unique et du réutilisable.</t>
  </si>
  <si>
    <t>I - Comparaison générale de l'empreinte carbone de l'usage unique et du réutilisable</t>
  </si>
  <si>
    <t xml:space="preserve">On refait ce graphe afin de ne garder que les instruments : </t>
  </si>
  <si>
    <t>Réutilisable</t>
  </si>
  <si>
    <t>Mixte</t>
  </si>
  <si>
    <t>Usage Unique</t>
  </si>
  <si>
    <t>Laryngoscope blade (USA)</t>
  </si>
  <si>
    <t>Vaginal speculum (USA)</t>
  </si>
  <si>
    <t>Laparoscopic scissors (UK)</t>
  </si>
  <si>
    <t>Laryngoscope handle (USA)</t>
  </si>
  <si>
    <t>Electrophysiology catheter (Germany)</t>
  </si>
  <si>
    <t>Laparoscopic clip applier (UK)</t>
  </si>
  <si>
    <t>Bronchoscope (Denmark)</t>
  </si>
  <si>
    <t>Laparoscopic port (two 5mm
and two 10-11 mm; UK)</t>
  </si>
  <si>
    <t>II - Empreinte carbone de l'usage unique : données internes</t>
  </si>
  <si>
    <t>Nous avons eu accès à des données industrielles, qui nous permettent de calculer le ratio suivant, pour un instrument électrochirurgical (entre 150g et 200g) :</t>
  </si>
  <si>
    <t>kgCO2e/kg d'instrument</t>
  </si>
  <si>
    <t>Valeur haute</t>
  </si>
  <si>
    <t>III - Empreinte carbone des urétéroscopes à usage unique et réutilisables</t>
  </si>
  <si>
    <t>1) Etude 1 : Davis et al., 2018</t>
  </si>
  <si>
    <t xml:space="preserve">On reporte ici les valeurs calculés dans l'étude : </t>
  </si>
  <si>
    <t>Masse de l'urétéroscope dans l'étude</t>
  </si>
  <si>
    <t>kg</t>
  </si>
  <si>
    <t>Empreinte carbone par produit (en kgCO2e)</t>
  </si>
  <si>
    <t>Production du plastique</t>
  </si>
  <si>
    <t>Production du caoutchouc</t>
  </si>
  <si>
    <t>Production de l'acier</t>
  </si>
  <si>
    <t>Production des composants électroniques</t>
  </si>
  <si>
    <t>Production des matières premières - total</t>
  </si>
  <si>
    <t>3,83 dans la Table 2, Erreur ?</t>
  </si>
  <si>
    <t>2) Etude 2 : Thöne et al., 2024</t>
  </si>
  <si>
    <t>Life-Cycle Stage</t>
  </si>
  <si>
    <t>Emissions (kgCO2e) - Single-use fURS</t>
  </si>
  <si>
    <t>PRODUCTION</t>
  </si>
  <si>
    <t>Masse</t>
  </si>
  <si>
    <t xml:space="preserve">     metal</t>
  </si>
  <si>
    <t xml:space="preserve">     plastic</t>
  </si>
  <si>
    <t xml:space="preserve">     electronics</t>
  </si>
  <si>
    <t xml:space="preserve">     glue</t>
  </si>
  <si>
    <t xml:space="preserve">     packaging</t>
  </si>
  <si>
    <t xml:space="preserve">     electricity</t>
  </si>
  <si>
    <t xml:space="preserve">     water</t>
  </si>
  <si>
    <t>Ethylene oxide (ETO) sterilization</t>
  </si>
  <si>
    <t>Production Subtotal</t>
  </si>
  <si>
    <t>DELIVERY</t>
  </si>
  <si>
    <t xml:space="preserve">     transportation:  ship</t>
  </si>
  <si>
    <t xml:space="preserve">     transportation:  truck</t>
  </si>
  <si>
    <t>Delivery Subtotal</t>
  </si>
  <si>
    <t>USE</t>
  </si>
  <si>
    <t>Use Subtotal</t>
  </si>
  <si>
    <t>DISPOSAL</t>
  </si>
  <si>
    <t xml:space="preserve">     material waste</t>
  </si>
  <si>
    <t>Disposal Subtotal</t>
  </si>
  <si>
    <t>3) Bilan</t>
  </si>
  <si>
    <t xml:space="preserve">On obtient finalement, en rapportant les données de l'étude 1 à un instrument de 208 grammes : </t>
  </si>
  <si>
    <t>Davis et al., 2018</t>
  </si>
  <si>
    <t>Thöne et al., 2024</t>
  </si>
  <si>
    <t>The Shift Project, 2025</t>
  </si>
  <si>
    <t>Production des matières premières</t>
  </si>
  <si>
    <t>Production des emballages</t>
  </si>
  <si>
    <t>Transport et distribution</t>
  </si>
  <si>
    <t>Total bas</t>
  </si>
  <si>
    <t>Total haut</t>
  </si>
  <si>
    <t>IV - Empreinte carbone des bronchoscopes à usage unique et réutilisables</t>
  </si>
  <si>
    <t>1) Etude 1 : Sørensen, 2018</t>
  </si>
  <si>
    <t>Comparative Study on Environmental Impacts of Reusable and Single-Use Bronchoscopes, American Journal of Environmental Protection, Science Publishing Group</t>
  </si>
  <si>
    <t>Masse de du bronchoscope dans l'étude (hors emballage)</t>
  </si>
  <si>
    <t>Empreinte carbone calculée - usage unique</t>
  </si>
  <si>
    <t>Empreinte carbone calculée - réutilisable</t>
  </si>
  <si>
    <t>L'étude ne prend pas en compte plusieurs étapes (transport, distribution, stérilisation, etc.) et composants, dont la production des composants électroniques.</t>
  </si>
  <si>
    <t>2) Etude 2 : Bringier, 2023</t>
  </si>
  <si>
    <t>An integrated environmental, economic, and clinician satisfaction comparison between single-use and reusable flexible bronchoscopes for tracheal intubation - British Journal of Anaesthesia</t>
  </si>
  <si>
    <t>Résultats pour 2000 utilisation</t>
  </si>
  <si>
    <t>Usage unique</t>
  </si>
  <si>
    <t>Ne prend pas en compte l'assemblage et les pertes</t>
  </si>
  <si>
    <t>Sørensen, 2018</t>
  </si>
  <si>
    <t>Bringier, 2023</t>
  </si>
  <si>
    <t>Bringier : single-use : Ambu® aScope™ 4 regular (168g) ; reusable : Pentax® FI 16RBS (300g)</t>
  </si>
  <si>
    <t>Sørensen : single use : Ambu® aScope™ 4 (151,6g)</t>
  </si>
  <si>
    <t>V - Bronchoscopes : restérilisation en France</t>
  </si>
  <si>
    <t>http://resolver.tudelft.nl/uuid:b638ee2c-059c-4a9e-bc9d-e26d4c44cdc1</t>
  </si>
  <si>
    <t xml:space="preserve">On reporte les valeurs de l'étude ci-dessous, et on ajuste le chiffre de l'électricité pour la cas français à l'aide d'Ecoinvent : </t>
  </si>
  <si>
    <t>Emisisons (en kgCO2e)</t>
  </si>
  <si>
    <t>Par intubation</t>
  </si>
  <si>
    <t>Phase du cycle de vie</t>
  </si>
  <si>
    <t>Réutilisable - Pays-Bas</t>
  </si>
  <si>
    <t>Réutilisable -  France</t>
  </si>
  <si>
    <t>Réutilisable
Pays-Bas</t>
  </si>
  <si>
    <t>Réutilisable 
calcul ajusté au cas français</t>
  </si>
  <si>
    <t>Restérilisation - électricité</t>
  </si>
  <si>
    <t>Restérilisation - autre</t>
  </si>
  <si>
    <t>Dispositifs optiques</t>
  </si>
  <si>
    <t>1) Verres de lunettes</t>
  </si>
  <si>
    <t>Verre neutre</t>
  </si>
  <si>
    <t>Verre unifocal</t>
  </si>
  <si>
    <t>Production du semi-fini hors de France et surfaçage en France</t>
  </si>
  <si>
    <t>Consommations annuelles</t>
  </si>
  <si>
    <t>Total émissions verres optiques</t>
  </si>
  <si>
    <t>2) Montures de lunettes</t>
  </si>
  <si>
    <t xml:space="preserve">On obtient les résultats suivants : </t>
  </si>
  <si>
    <t>Emissions</t>
  </si>
  <si>
    <t>Verres de présentation</t>
  </si>
  <si>
    <t>Consommations d'énergie (production en Chine)</t>
  </si>
  <si>
    <t>Immobilisation</t>
  </si>
  <si>
    <t>3) Lentilles de contact</t>
  </si>
  <si>
    <t>Emissions totales</t>
  </si>
  <si>
    <t>Production des moules à usage unique</t>
  </si>
  <si>
    <t>Consommation d'énergie des sites de production</t>
  </si>
  <si>
    <t>$</t>
  </si>
  <si>
    <t>On regarde les données du marché : https://www.octika.com/blog/les-chiffres-de-l-optique-septembre-2024-n164#</t>
  </si>
  <si>
    <t>Type de Verre</t>
  </si>
  <si>
    <t>Quantité remboursée</t>
  </si>
  <si>
    <t>Unifocaux</t>
  </si>
  <si>
    <t>Multifocaux (dont progressifs)</t>
  </si>
  <si>
    <t>Neutres et autres</t>
  </si>
  <si>
    <t xml:space="preserve">A comparer avec les données des remboursements de la LPP : </t>
  </si>
  <si>
    <t>Neutres</t>
  </si>
  <si>
    <t>Les verres unifocaux sont en grande partie des verres 'de stock'</t>
  </si>
  <si>
    <t>On fera l'hypothèse simplificatrice que tous les verres unifocaux et les verres neutres sont des "verres de stock".</t>
  </si>
  <si>
    <t>Les verres multifocaux sont des "verres de prescription" (ou "verres de fabrication", "verres RX" ou encore "verres sur-mesure").</t>
  </si>
  <si>
    <t>Ces derniers, lorsqu'ils ne sont pas produits en France, nécessitent des livraisons en avion, car sont souvent livrés en moins de 10 jours.</t>
  </si>
  <si>
    <t>On regarde les données de ventes en 2023</t>
  </si>
  <si>
    <t>https://www.octika.com/blog/les-chiffres-de-l-optique-septembre-2024-n164#</t>
  </si>
  <si>
    <t>Nombre de ventes</t>
  </si>
  <si>
    <t>Montures optiques</t>
  </si>
  <si>
    <t>Ce nombre est probablement légèrement sous-estimé, car il ne prend en compte que les monturees bénéficiant d'un remboursement.</t>
  </si>
  <si>
    <t xml:space="preserve">Pour obtenir la répartition des matériaux des montures, on regarde les importations de montures en France : </t>
  </si>
  <si>
    <t>Type de monture</t>
  </si>
  <si>
    <t>Quantité importée</t>
  </si>
  <si>
    <t>Montures de lunettes en matières plastiques</t>
  </si>
  <si>
    <t>Montures de lunettes (autres qu'en matières plastiques)</t>
  </si>
  <si>
    <t>A noter qu'on importe environ 25 millions de montures de lunettes : ce chiffre inclue en effet les lunettes de soleil, etc.</t>
  </si>
  <si>
    <t>Pour les montures en matière autre que plastique, on retrouve notamment des montures en acétate et en métal. On négligera les montures en autre matière (bois, titane, etc.)</t>
  </si>
  <si>
    <t xml:space="preserve">A partir de ces données, on fera dans la suite l'hypothèse suivante : </t>
  </si>
  <si>
    <r>
      <rPr>
        <b/>
        <sz val="11"/>
        <color rgb="FF7030A0"/>
        <rFont val="Arial"/>
        <family val="2"/>
        <scheme val="minor"/>
      </rPr>
      <t xml:space="preserve">Hyp : </t>
    </r>
    <r>
      <rPr>
        <sz val="11"/>
        <color theme="1"/>
        <rFont val="Arial"/>
        <family val="2"/>
        <scheme val="minor"/>
      </rPr>
      <t>50% des montures de lunettes de vue sont en polycarbonate, 25% sont en acétate, 25% sont en métal (maillechort).</t>
    </r>
  </si>
  <si>
    <t xml:space="preserve">On regarde les données des remboursements de la LPP : </t>
  </si>
  <si>
    <t>Lentilles de contact</t>
  </si>
  <si>
    <t>Forfait annuel, par œil</t>
  </si>
  <si>
    <t xml:space="preserve">En faisant l'hypothèse de deux lentilles par jour, sur un an on obtient : </t>
  </si>
  <si>
    <t>Nombre de lentilles consommées annuellement</t>
  </si>
  <si>
    <t>Mais ces lentilles ne représentent que les produits consommés par les patients ayant fait l'objet d'un remboursement..</t>
  </si>
  <si>
    <t xml:space="preserve">On utilise plutôt des données partagées par un industriel : </t>
  </si>
  <si>
    <t>Nombre de lentilles consommées annuellement en France</t>
  </si>
  <si>
    <t xml:space="preserve">Plusieurs types de lentilles : </t>
  </si>
  <si>
    <t>1) Sur-mesure VS Mass market</t>
  </si>
  <si>
    <t>2) Lentilles rigides vs lentilles souples (majorité)</t>
  </si>
  <si>
    <t>3) Lentlles journalières vs mensuelles/bi-mensuelles</t>
  </si>
  <si>
    <t xml:space="preserve"> </t>
  </si>
  <si>
    <t>Livret contactologie</t>
  </si>
  <si>
    <t>Rigide : principalement élaborées à partir d’un « matériau de base, le PMMA</t>
  </si>
  <si>
    <t>Souple : maintenant principalement composées de silicone-hydrogel</t>
  </si>
  <si>
    <r>
      <t xml:space="preserve">Pour l'instant, </t>
    </r>
    <r>
      <rPr>
        <b/>
        <sz val="11"/>
        <color theme="1"/>
        <rFont val="Arial"/>
        <family val="2"/>
        <scheme val="minor"/>
      </rPr>
      <t>on fait l'hypothèse que toutes les lentilles sont en silicone hydrogène, fabriquées en "mass-market"</t>
    </r>
  </si>
  <si>
    <t xml:space="preserve">On utilisera également l'hypothèse suivante pour la répartition de la production : </t>
  </si>
  <si>
    <t>Pays de production</t>
  </si>
  <si>
    <t>Proportion estimée des lentilles consommées en France</t>
  </si>
  <si>
    <t>Fabricants concernés</t>
  </si>
  <si>
    <t>États-Unis</t>
  </si>
  <si>
    <t>Johnson &amp; Johnson, Alcon, CooperVision, Bausch &amp; Lomb</t>
  </si>
  <si>
    <t>Irlande</t>
  </si>
  <si>
    <t>Johnson &amp; Johnson, Bausch &amp; Lomb</t>
  </si>
  <si>
    <t>Alcon, Bausch &amp; Lomb</t>
  </si>
  <si>
    <t>Royaume-Uni</t>
  </si>
  <si>
    <t>CooperVision, Johnson &amp; Johnson</t>
  </si>
  <si>
    <t>CooperVision</t>
  </si>
  <si>
    <t>Singapour</t>
  </si>
  <si>
    <t>Alcon</t>
  </si>
  <si>
    <t>Ophtalmic (et autres fabricants locaux)</t>
  </si>
  <si>
    <t>II - Evaluation energie carbone - Verres de lunettes</t>
  </si>
  <si>
    <t>On considère ici la quantité de matériaux nécessaires à production d'un verre de lunettes.</t>
  </si>
  <si>
    <t>Les verres de lunettes sont produits à partir de verres semi-finis, qui sont ensuite taillés.</t>
  </si>
  <si>
    <t>Poids d'un semi-fini - méthode de calcul 1</t>
  </si>
  <si>
    <t>1) Les semi-finis ont un diamètre moyen de 75 mm, et une épaisseur de 10mm.</t>
  </si>
  <si>
    <t>2) On fait l'hypothèse que les semi-finis sont produits en CR39, un polymère thermodur.</t>
  </si>
  <si>
    <t>Volume d'un semi-fini</t>
  </si>
  <si>
    <t>m3</t>
  </si>
  <si>
    <t>Densité du CR39</t>
  </si>
  <si>
    <t>kg/l</t>
  </si>
  <si>
    <t>Poids d'un semi-fini</t>
  </si>
  <si>
    <t>Poids d'un semi-fini - méthode de calcul 2</t>
  </si>
  <si>
    <t>Selon le site de Novacel, en 2021, chaque produit génère 126 grammes de déchets, dont 32% de poudre de verre.</t>
  </si>
  <si>
    <t>En 4 ans, Novacel a réduit de 50% sa consommation d'énergie et sa production de déchets | Acuité</t>
  </si>
  <si>
    <t xml:space="preserve">Sachant que le poids d'un verre est d'environ 10 grammes, on obtient : </t>
  </si>
  <si>
    <t>1) Lors de la fabrication d'un semi-fini, on a 10% de pertes de matériaux.</t>
  </si>
  <si>
    <t>2) Lors de la fabrication de semi-finis, on a 5% de rebuts de production (produits non conformes).</t>
  </si>
  <si>
    <t>3) Lors du surfaçage, on a 2% de rebuts de production (produits non conformes).</t>
  </si>
  <si>
    <t>Poids nécessaire de CR39 pour un verre de lunette</t>
  </si>
  <si>
    <t>On prend également en compte les verres de présentation.</t>
  </si>
  <si>
    <t>1) Un verre de présentation pèse environ 4 grammes</t>
  </si>
  <si>
    <t>2) Les verres de présentation sont en polymethyl methacrylate</t>
  </si>
  <si>
    <t>De plus, d'après une étude portant sur une ACV de lunettes, on a des perte de matière d'environ 55% pour la fabrication de verres de présentaiton.</t>
  </si>
  <si>
    <t>https://assets.ctfassets.net/utaji99zkvj6/54Bbp0yCIH2i8Pb7GtBzXF/e769d8fcc03271fe8bbbf62326806470/A_T_-_LCA_Report.pdf</t>
  </si>
  <si>
    <t>Poids nécessaire de polymethyl methacrylate pour un verre de lunette</t>
  </si>
  <si>
    <t xml:space="preserve">Enfin, on compte également les intrants chimiques : </t>
  </si>
  <si>
    <t>Quantité de produits chimiques divers</t>
  </si>
  <si>
    <t>g/verre</t>
  </si>
  <si>
    <t>Données industrielles</t>
  </si>
  <si>
    <t>On néglige ici les autres intrants de matières : joints qui entourent les moules en verre, palettes, cartons, produits chimiques, etc.</t>
  </si>
  <si>
    <t>On utilise ensuite les facteurs d'émissions issus d'EcoInvent et de l'Annexe - Matériaux pour le CR-39 :</t>
  </si>
  <si>
    <t>Emissions liées aux intrants d'un verre de lunette</t>
  </si>
  <si>
    <t>Les émissions induites par les verres de présentation seront comptées parmi les émissions des montures de lunettes.</t>
  </si>
  <si>
    <t>2) Consommation d'énergie pour la production</t>
  </si>
  <si>
    <t>Pour calculer la quantité d'énergie consommées pour la fabrication de semi-finis, on regarde les consommations d'énergie du site français de Sézanne.</t>
  </si>
  <si>
    <t>On regarde les consommations d'énergie associées au code NAF 32 ("Autres industries manufacturières") de la ville de Sézanne.</t>
  </si>
  <si>
    <t>Consommation annuelle</t>
  </si>
  <si>
    <t>Consommation d'électricité</t>
  </si>
  <si>
    <t>MWh</t>
  </si>
  <si>
    <t>Consommation de gaz</t>
  </si>
  <si>
    <t>Or, le site de Sézanne frabrique environ 8 millions de semi-finis par an (https://www.frequenceoptic.fr/actualites/un-jour-chez-bbgr-le-verrier-qui-veut-voir-la-vie-en-vert.html)</t>
  </si>
  <si>
    <t xml:space="preserve">On obtient donc : </t>
  </si>
  <si>
    <t>Energie nécessaire pour la production d'un semi fini</t>
  </si>
  <si>
    <t>Dont électricité</t>
  </si>
  <si>
    <t>Dont gaz</t>
  </si>
  <si>
    <t>Pour calculer la quantité d'énergie consommées pour le surfaçage, on regarde les consommations d'énergie des sites français de Provins (BBGR) et de Château-Thierry (Novacell).</t>
  </si>
  <si>
    <t>Consommation annuelle - électricité</t>
  </si>
  <si>
    <t>Consommation annuelle - gaz</t>
  </si>
  <si>
    <t>Site de Provins</t>
  </si>
  <si>
    <t>Site de Château-Thierry</t>
  </si>
  <si>
    <t>Part de l'électricité</t>
  </si>
  <si>
    <t>Part du gaz</t>
  </si>
  <si>
    <t xml:space="preserve">De plus on utilise la consommation énergétique moyenne par verre pour le site de Chateua Thierry de Novacel (1,61 kWh/verre) : </t>
  </si>
  <si>
    <t>Consommation d'énergie pour le surfaçage et la finition - électricité</t>
  </si>
  <si>
    <t>kWh/verre</t>
  </si>
  <si>
    <t>Consommation d'énergie pour le surfaçage et la finition - gaz</t>
  </si>
  <si>
    <t xml:space="preserve">On utilise alors les facteurs d'émissions d'EcoInvent (électricité française, européenne et thaïlandaise) et de la base Empreinte (gaz), et on obtient : </t>
  </si>
  <si>
    <t>Emissions - France</t>
  </si>
  <si>
    <t>Emissions - Europe</t>
  </si>
  <si>
    <t>Emissions - Thaïlande</t>
  </si>
  <si>
    <t>Emissions - fabrication du semi-fini</t>
  </si>
  <si>
    <t>Emissions - fabrication du produit fini</t>
  </si>
  <si>
    <t>Emissions - total consommation d'énergie</t>
  </si>
  <si>
    <t>Origine des verres</t>
  </si>
  <si>
    <t>Emissions (en kgCO2e)</t>
  </si>
  <si>
    <t>Verres surfacés en France</t>
  </si>
  <si>
    <t>Semi-finis fabriqués en France</t>
  </si>
  <si>
    <t>Semi-finis fabriqués hors France</t>
  </si>
  <si>
    <t>Verres surfacés hors de France</t>
  </si>
  <si>
    <t>3) Immobilisations</t>
  </si>
  <si>
    <t>Pour calculer les émissions liées aux immobilisations (bâtiments, machines), on regarde la surface de sites de production.</t>
  </si>
  <si>
    <t xml:space="preserve">Pour la production des semi-finis, on regarde notamment l'usine chisoise de Hongchen : </t>
  </si>
  <si>
    <t>Site de Hongchen</t>
  </si>
  <si>
    <t>Millions de verres produits annuellement</t>
  </si>
  <si>
    <t>Chine Prix de gros Prix des verres de lunettes Semi-finis 1.56 Unifocal Hmc Fabrication de lentilles ophtalmiques Fabrication et usine | Hongchen (hc-optical.net)</t>
  </si>
  <si>
    <t>Surface nécessaire pour la production de 1000 semi-finis (m2)</t>
  </si>
  <si>
    <t xml:space="preserve">Pour la transformation des semi-finis, on regarde la surface de sites français : </t>
  </si>
  <si>
    <t>Surface (m2)</t>
  </si>
  <si>
    <t>Surface (m2) pour la production de 1000 verres</t>
  </si>
  <si>
    <t>BBGR augmente de 30% ses capacités en Seine-et-Marne face à la croissance des verres optiques Nikon en France</t>
  </si>
  <si>
    <t>NOVACEL - GIFO</t>
  </si>
  <si>
    <t>Emissions liées aux immobilisations pour la prouction d'un semi-fini</t>
  </si>
  <si>
    <t>Emissions liées aux immobilisations pour la transformation d'un semi-fini</t>
  </si>
  <si>
    <t>Total - émissions liées aux immobilisations pour la production d'un verre</t>
  </si>
  <si>
    <t>4) Déplacements domicile/travail</t>
  </si>
  <si>
    <t>Pour les émissions liées aux déplacements domicile-travail, on regarde le nombre d'employés des sites de production :</t>
  </si>
  <si>
    <t>On regarde notamment le site chinois de Hongchen et le site français de Sézanne :</t>
  </si>
  <si>
    <t>Site de Sézanne</t>
  </si>
  <si>
    <t>Un jour chez BBGR : le verrier qui veut voir la vie en vert - FréquenceOptic</t>
  </si>
  <si>
    <t>Nombre d'employés</t>
  </si>
  <si>
    <t>Nombre d'employés par millions semi-finis</t>
  </si>
  <si>
    <t xml:space="preserve">Pour la transformation des semi-finis, on regarde le nombre d'employés d'un site français : </t>
  </si>
  <si>
    <t>Nb d'employés pour la production d'un million de verres</t>
  </si>
  <si>
    <t>Emissions liées aux déplacements D/T pour la production d'un semi-fini</t>
  </si>
  <si>
    <t>Emissions liées aux déplacements D/T pour la transformation d'un semi-fini</t>
  </si>
  <si>
    <t>Total - émissions liées aux déplacements D/T pour la production d'un verre</t>
  </si>
  <si>
    <t>5) Emballages</t>
  </si>
  <si>
    <t>Pour les emballages des semi-finis :</t>
  </si>
  <si>
    <t>Selon le site de Novacel, en 2021, chaque produit génère 126 grammes de déchets, dont 15% de carton.</t>
  </si>
  <si>
    <t>Emballage carton des semi-finis :</t>
  </si>
  <si>
    <t>grammes de cartons</t>
  </si>
  <si>
    <t>Chaque semi-fini a également un emballage en papier consitué d'une enveloppe de 80mmx80mm.</t>
  </si>
  <si>
    <r>
      <rPr>
        <b/>
        <sz val="11"/>
        <color rgb="FF7030A0"/>
        <rFont val="Arial"/>
        <family val="2"/>
        <scheme val="minor"/>
      </rPr>
      <t>Hyp :</t>
    </r>
    <r>
      <rPr>
        <sz val="11"/>
        <color theme="1"/>
        <rFont val="Arial"/>
        <family val="2"/>
        <scheme val="minor"/>
      </rPr>
      <t xml:space="preserve"> Chaque semi-fini a un emballage de 20 grammes.</t>
    </r>
  </si>
  <si>
    <t>Poids des emballages des semi-finis</t>
  </si>
  <si>
    <t>Chine Prix de gros Prix des verres de lunettes Semi-finis 1.56 Unifocal Hmc Fabrication de lentilles ophtalmiques Fabrication et usine | Hongchen</t>
  </si>
  <si>
    <t xml:space="preserve">Pour les emballages des verres : </t>
  </si>
  <si>
    <t xml:space="preserve">Les verres sont envoyés dans des enveloppes papiers. On fait donc l'hypothèse suivante : </t>
  </si>
  <si>
    <r>
      <rPr>
        <b/>
        <sz val="11"/>
        <color rgb="FF7030A0"/>
        <rFont val="Arial"/>
        <family val="2"/>
        <scheme val="minor"/>
      </rPr>
      <t>Hyp :</t>
    </r>
    <r>
      <rPr>
        <sz val="11"/>
        <color theme="1"/>
        <rFont val="Arial"/>
        <family val="2"/>
        <scheme val="minor"/>
      </rPr>
      <t xml:space="preserve"> Chaque verre a un emballage de 5 grammes.</t>
    </r>
  </si>
  <si>
    <t>Poids des emballages des verres</t>
  </si>
  <si>
    <t xml:space="preserve">On utilise ensuite les facteurs d'émissions suivants issus d'EcoInvent, et on obtient : </t>
  </si>
  <si>
    <t>Emissions liées aux emballages des verres de lunettes</t>
  </si>
  <si>
    <t>6) Transport</t>
  </si>
  <si>
    <t xml:space="preserve">Etape 1 - Provenance des verres : </t>
  </si>
  <si>
    <t>On regarde les données douanières pour les codes suivants :</t>
  </si>
  <si>
    <t>Nombre de pièces importées - exportées</t>
  </si>
  <si>
    <t>Total général</t>
  </si>
  <si>
    <t>Verres de lunetterie en matières autres que le verre, non correcteurs</t>
  </si>
  <si>
    <t>Verres non correcteurs</t>
  </si>
  <si>
    <t>Verres de lunetterie en matières autres que le verre, complètement ouvrés sur les deux faces, correcteurs, unifocaux</t>
  </si>
  <si>
    <t>Verres unifocaux</t>
  </si>
  <si>
    <t>Verres de lunetterie en matières autres que le verre, complètement ouvrés sur les deux faces, correcteurs, à double foyer ou à foyer multiple</t>
  </si>
  <si>
    <t>Verres multifocaux</t>
  </si>
  <si>
    <t>Verres de lunetterie en matières autres que le verre, correcteurs (sauf ceux complètement ouvrés sur les deux faces)</t>
  </si>
  <si>
    <t>Semi-finis</t>
  </si>
  <si>
    <t>On fait l'hypothèse simplificatrice que tous les verres unifocaux et les verres neutres sont des "verres de stock".</t>
  </si>
  <si>
    <t>1) Les verres unifocaux et les verres neutres ne sont jamais fabriqués en France.</t>
  </si>
  <si>
    <t>2) Pour les verres neutres, la part de production française est identique à la part de la production d'Europe de l'Ouest.</t>
  </si>
  <si>
    <t>3) Pour les verres multifocaux, la part de production française est de 75% et la part d'importation est de 25%</t>
  </si>
  <si>
    <t xml:space="preserve">Part de la production française : </t>
  </si>
  <si>
    <t>Verres neutres</t>
  </si>
  <si>
    <t xml:space="preserve">Etape 2 - Provenance des semi-finis : </t>
  </si>
  <si>
    <t xml:space="preserve">Pour les verres fabriqués en France, on calcule la part de semi-finis importés en comptablisant les productions des différents sites français : </t>
  </si>
  <si>
    <t>Site</t>
  </si>
  <si>
    <t>Production annuelle de verre</t>
  </si>
  <si>
    <t>Production de semi-finis</t>
  </si>
  <si>
    <t>BBGR Sézanne</t>
  </si>
  <si>
    <t>Comment sont produits les semi-finis ? Immersion chez BBGR | Acuité</t>
  </si>
  <si>
    <t>Essilor Dijon</t>
  </si>
  <si>
    <t>économie. Le leader du verre progressif possède à Dijon l’un des trois sites français de production.. Un géant au cœur de la ville</t>
  </si>
  <si>
    <t>Production de verres</t>
  </si>
  <si>
    <t>Hoya</t>
  </si>
  <si>
    <t>Fabrication Française | HOYA Vision Care</t>
  </si>
  <si>
    <t>Novacell</t>
  </si>
  <si>
    <t>Zeiss</t>
  </si>
  <si>
    <t>Focus sur la fabrication des verres Zeiss | Acuité</t>
  </si>
  <si>
    <t>Essilor investit 4,2 millions d'euros à Dijon</t>
  </si>
  <si>
    <t>Essilor Ligny en Barrois</t>
  </si>
  <si>
    <t>La Meuse, berceau du groupe Essilor, numéro un mondial des verres ophtalmiques</t>
  </si>
  <si>
    <t>Essilor Provins</t>
  </si>
  <si>
    <t>Dans les coulisses du centre de développement et de production de BBGR | Acuité</t>
  </si>
  <si>
    <t>Essilor Antony</t>
  </si>
  <si>
    <t>SEMAINE DE L'INDUSTRIE 2018 - DUT GEII - Département GEII</t>
  </si>
  <si>
    <t>Essilor Vaulx-en-Velin</t>
  </si>
  <si>
    <t>Essilor a investi 5 millions d'euros</t>
  </si>
  <si>
    <t>Part des semi-finis importés dans les verres surfacés en France</t>
  </si>
  <si>
    <t>Pour les verres non surfacés en France, on fait l'hypthèse que les semi-finis sont produits sur place.</t>
  </si>
  <si>
    <t>Cela sous-estime probablement l'empreinte carbone : pour les verres multifocaux, la plupart des importations viennent d'Europe. Les semi-finis sont alors probablement importés en avion.</t>
  </si>
  <si>
    <t xml:space="preserve">Etape 3 - Mode de transport : </t>
  </si>
  <si>
    <t xml:space="preserve">Pour les modes de transports, on regarde les données d'importations d'Eurostat pour des provenances hors Europe : </t>
  </si>
  <si>
    <t>Mode de transport</t>
  </si>
  <si>
    <t>Bateau</t>
  </si>
  <si>
    <t>Avion</t>
  </si>
  <si>
    <t>Spectacle lenses of materials other than glass</t>
  </si>
  <si>
    <t xml:space="preserve">Dans nos calculs, on utilisera les hypothèses suivantes (confirmée par des industriels) : </t>
  </si>
  <si>
    <r>
      <rPr>
        <b/>
        <sz val="11"/>
        <color rgb="FF7030A0"/>
        <rFont val="Arial"/>
        <family val="2"/>
        <scheme val="minor"/>
      </rPr>
      <t>Hyp :</t>
    </r>
    <r>
      <rPr>
        <sz val="11"/>
        <color theme="1"/>
        <rFont val="Arial"/>
        <family val="2"/>
        <scheme val="minor"/>
      </rPr>
      <t xml:space="preserve"> les verres et les semi-finis sont importés en avions</t>
    </r>
  </si>
  <si>
    <t xml:space="preserve">Etape 4 - Calcul : </t>
  </si>
  <si>
    <t xml:space="preserve">A l'aide de l'Annexe - Logistique, on obtient alors : </t>
  </si>
  <si>
    <t>Pour les verres multifocaux :</t>
  </si>
  <si>
    <t>Répartition pour les verres multifocaux</t>
  </si>
  <si>
    <t>Produits finis</t>
  </si>
  <si>
    <t>Nombre de kilomètres avions</t>
  </si>
  <si>
    <t>Verres fabriqués en France</t>
  </si>
  <si>
    <t>Verres fabriqués hors France</t>
  </si>
  <si>
    <t xml:space="preserve">Pour les verres neutres et unifocaux : </t>
  </si>
  <si>
    <t xml:space="preserve">Hors, on a </t>
  </si>
  <si>
    <t>Poids</t>
  </si>
  <si>
    <t>Verre + emballage</t>
  </si>
  <si>
    <t>g</t>
  </si>
  <si>
    <t>Semi-fini + emballage</t>
  </si>
  <si>
    <t>Emissions pour un verre neutre (kgCO2e)</t>
  </si>
  <si>
    <t>Emissions pour un verre unifocal (kgCO2e)</t>
  </si>
  <si>
    <t>Emissions pour un verre mulifocal 100% made in France (kgCO2e)</t>
  </si>
  <si>
    <t>Emissions pour un verre mulifocal surfacés en France (kgCO2e)</t>
  </si>
  <si>
    <t>Emissions pour un verre mulifocal non surfacé en France (kgCO2e)</t>
  </si>
  <si>
    <t>Transport bateau/avion</t>
  </si>
  <si>
    <t>Total Logistique</t>
  </si>
  <si>
    <t>7) Livraison</t>
  </si>
  <si>
    <t>On utilise le facteur d'émissions reporté dans l'Annexe - logistique.</t>
  </si>
  <si>
    <t xml:space="preserve">On a </t>
  </si>
  <si>
    <t>Empreinte carbone</t>
  </si>
  <si>
    <t>Empreinte carbone de la livraison par unité</t>
  </si>
  <si>
    <t>8) Fin de vie</t>
  </si>
  <si>
    <t xml:space="preserve">On prend en compte les éléments suivants : </t>
  </si>
  <si>
    <t xml:space="preserve">Déchets produits par verres : </t>
  </si>
  <si>
    <t>Source 1</t>
  </si>
  <si>
    <t>g/lentille</t>
  </si>
  <si>
    <t>g/lentilles</t>
  </si>
  <si>
    <t>2023 BOD Lenses Sustainability Report.pdf</t>
  </si>
  <si>
    <t>part déchets dangereux</t>
  </si>
  <si>
    <t>Déchets dangereux</t>
  </si>
  <si>
    <t>kg/tonne de déchet</t>
  </si>
  <si>
    <t>Base Empreinte - DIS/Incinération - Impacts</t>
  </si>
  <si>
    <t>Déchets non dangereux</t>
  </si>
  <si>
    <t>kg/kg de déchet</t>
  </si>
  <si>
    <t>Base Empreinte - Emballages/Plastique pétrosourcé PET/Incinération - Impacts - émisisons évitées</t>
  </si>
  <si>
    <t xml:space="preserve">Et ainsi : </t>
  </si>
  <si>
    <t>Emissions liées à la fin de vie des déchets industriels</t>
  </si>
  <si>
    <t>kgCO2e/verre</t>
  </si>
  <si>
    <t>III - Evaluation energie carbone - Montures de lunettes</t>
  </si>
  <si>
    <t>1) Matières premières (dont emballages)</t>
  </si>
  <si>
    <t>On considère ici la quantité de matériaux nécessaires à production d'une monture de lunettes.</t>
  </si>
  <si>
    <t>On rappelle l'hypothèse suivante (cf partie I) :</t>
  </si>
  <si>
    <r>
      <rPr>
        <b/>
        <sz val="11"/>
        <color rgb="FF7030A0"/>
        <rFont val="Arial"/>
        <family val="2"/>
        <scheme val="minor"/>
      </rPr>
      <t xml:space="preserve">Hyp : </t>
    </r>
    <r>
      <rPr>
        <sz val="11"/>
        <color theme="1"/>
        <rFont val="Arial"/>
        <family val="2"/>
        <scheme val="minor"/>
      </rPr>
      <t>50% des montures de lunettes de vue sont en polycarbonate, 25% sont en acétate, 25% sont en métal.</t>
    </r>
  </si>
  <si>
    <t>On se base sur l'analyse de cycle de vie de la marque Ace &amp; Tate.</t>
  </si>
  <si>
    <t>A_T_-_LCA_Report.pdf</t>
  </si>
  <si>
    <t>Ainsi, on a, pour une monture en acétate :</t>
  </si>
  <si>
    <t>Ainsi, on a, pour une monture en acier inoxydable :</t>
  </si>
  <si>
    <t>Quantité de matériaux (en g)</t>
  </si>
  <si>
    <t>Quantité de pertes à la production (en g)</t>
  </si>
  <si>
    <t>Taux de perte</t>
  </si>
  <si>
    <t>Production de plaques d'acétate</t>
  </si>
  <si>
    <t>Acier inoxydable (cadre)</t>
  </si>
  <si>
    <t>Plaque d'acétate au cadre</t>
  </si>
  <si>
    <t>Acétate (pointe)</t>
  </si>
  <si>
    <t>Maillechort (vis, charnières et fil d'âme)</t>
  </si>
  <si>
    <t>Acier inoxydable (extrémité cercles)</t>
  </si>
  <si>
    <t>Acier inoxydable (cercles)</t>
  </si>
  <si>
    <t>Monel (pont)</t>
  </si>
  <si>
    <t>Embout et branche (acier inoxydable)</t>
  </si>
  <si>
    <t>Silicone (plaquettes de nez)</t>
  </si>
  <si>
    <t xml:space="preserve">On utilise la même étude pour les emballages : </t>
  </si>
  <si>
    <t>Boîte en papier blanc</t>
  </si>
  <si>
    <t>Boîte d'expédition (emballage)</t>
  </si>
  <si>
    <t>Boîtier - polyurethane</t>
  </si>
  <si>
    <t>Papier (notice de garantie, Emballage consommateur)</t>
  </si>
  <si>
    <t xml:space="preserve">On utilise ensuite les facteurs d'émissions suivants : </t>
  </si>
  <si>
    <t>Facteurs d'émissions</t>
  </si>
  <si>
    <t>Acétate</t>
  </si>
  <si>
    <t>A Comparative Life Cycle Assessment of a New Cellulose-Based Composite and Glass Fibre Reinforced Composites | Journal of Polymers and the Environment</t>
  </si>
  <si>
    <t>Maillechort</t>
  </si>
  <si>
    <t>EcoInvent</t>
  </si>
  <si>
    <t>Acier inoxydable</t>
  </si>
  <si>
    <t>Silicone</t>
  </si>
  <si>
    <t>Papier</t>
  </si>
  <si>
    <t>Polyurethane</t>
  </si>
  <si>
    <t xml:space="preserve">Et on obtient : </t>
  </si>
  <si>
    <t>Monture en acétate</t>
  </si>
  <si>
    <t>Monture en acier inoxydable</t>
  </si>
  <si>
    <t>Monture</t>
  </si>
  <si>
    <t>On considère ici la quantité d'énergie nécessaire à production d'une monture de lunettes.</t>
  </si>
  <si>
    <t>On se base encore une fois sur l'analyse de cycle de vie de la marque Ace &amp; Tate.</t>
  </si>
  <si>
    <t>Ainsi, on a :</t>
  </si>
  <si>
    <t>Quantité d'énergie (électricité)</t>
  </si>
  <si>
    <t>Boîtier et emballage</t>
  </si>
  <si>
    <t>Conditionnement final</t>
  </si>
  <si>
    <t>Opticien</t>
  </si>
  <si>
    <t>On ne prendra pas en compte les opticiens dans notre périmètre</t>
  </si>
  <si>
    <t>La grande majorité des montures sont fabriquées en Chine.</t>
  </si>
  <si>
    <t>On fait donc l'hypothèse que la production des montures est intégralement réalisée en Chine, et que le conditionnement final est à moitié en Europe, à moitié en France</t>
  </si>
  <si>
    <t xml:space="preserve">On prend alors des facteurs d'émissions issus d'EcoInvent, et on obtient : </t>
  </si>
  <si>
    <t>Emissions liées à l'énergie nécessaire à la production des montures</t>
  </si>
  <si>
    <t>On regarde notamment les usines chisoises de Linhai city, Zhejiang province et de Yingtan, Jiangxi Province :</t>
  </si>
  <si>
    <t>Site de Linhai city</t>
  </si>
  <si>
    <t>Site de Yingtan</t>
  </si>
  <si>
    <t>Eye Plastic Party Frames See Tortoise Sunglasses Square Eyewear China Famous Brands Horn Glasses Fashion Metal Acetate Kids Optical Distribution Frame - Eyeglass Frames and Optical Frames price</t>
  </si>
  <si>
    <t>New Arrival High Quality Full Rim Acetate Rectangle Optical Frame in Optional Colors - Acetate Frame and Optical Frame price</t>
  </si>
  <si>
    <t>Millions de montures produites annuellement</t>
  </si>
  <si>
    <t>Surface nécessaire pour la production de 1000 montures (m2)</t>
  </si>
  <si>
    <t>Emissions liées aux immobilisations pour la production des montures</t>
  </si>
  <si>
    <t>On regarde les données douanières pour les importations suivantes :</t>
  </si>
  <si>
    <t>Montures en plastiques</t>
  </si>
  <si>
    <t>Montures en matière autre que plastique</t>
  </si>
  <si>
    <t>On fait l'hypothèse que 5% des montures sont fabriquées en France et 95% à l'étranger.</t>
  </si>
  <si>
    <t xml:space="preserve">Pour les parts modales, on utilise les données d'importation d'Eurostat : </t>
  </si>
  <si>
    <t>Part du transport maritime</t>
  </si>
  <si>
    <t>Part du transport aérien</t>
  </si>
  <si>
    <t>Frames and mountings for spectacles, goggles or the like, of plastics</t>
  </si>
  <si>
    <t>Frames and mountings for spectacles, goggles or the like (excl. of plastics)</t>
  </si>
  <si>
    <t xml:space="preserve">Vérification : </t>
  </si>
  <si>
    <t xml:space="preserve">On utilise ensuite l'Annexe - Logistique pour calculer l'empreinte carbone : </t>
  </si>
  <si>
    <t>EssilorLuxottica_DEU_2023_Mise_en_ligne_FR.pdf</t>
  </si>
  <si>
    <t>550 millions de verres de prescription et 160 millions de verres solaires sans prescription</t>
  </si>
  <si>
    <t>Monture en métal</t>
  </si>
  <si>
    <t>Donc 710 millions de verre</t>
  </si>
  <si>
    <t>Masse (dont emballage) + 2x4g pour verres de présentation</t>
  </si>
  <si>
    <t>112 millions de montures</t>
  </si>
  <si>
    <t xml:space="preserve">Donc : </t>
  </si>
  <si>
    <t>Transport bateau</t>
  </si>
  <si>
    <t>kgCO2e/monture</t>
  </si>
  <si>
    <t>Nos chiffres sont donc probalement sous-estimés (voir largement sous-estimés !).</t>
  </si>
  <si>
    <t>5) Livraison</t>
  </si>
  <si>
    <t>Montures</t>
  </si>
  <si>
    <t>6) Fin de vie</t>
  </si>
  <si>
    <t xml:space="preserve">Déchets produits par montures : </t>
  </si>
  <si>
    <t>Déchets industriels</t>
  </si>
  <si>
    <t>g/montures</t>
  </si>
  <si>
    <t>Produit + emballages</t>
  </si>
  <si>
    <t>FE incinération plastique</t>
  </si>
  <si>
    <t>IV - Evaluation energie carbone - lentilles de contact</t>
  </si>
  <si>
    <t xml:space="preserve">Source 1 : </t>
  </si>
  <si>
    <t>An investigation into disposal and recycling options for daily disposable and monthly replacement soft contact lens modalities</t>
  </si>
  <si>
    <t>Masse par lentille (g)</t>
  </si>
  <si>
    <t>Journalières</t>
  </si>
  <si>
    <t>Mensuelles</t>
  </si>
  <si>
    <t>Carton</t>
  </si>
  <si>
    <t>Blister</t>
  </si>
  <si>
    <t xml:space="preserve">Source 2 : </t>
  </si>
  <si>
    <t>THE ENVIRONMENTAL IMPACT OF CONTACT LENS WASTE | Contact Lens Spectrum</t>
  </si>
  <si>
    <t>Masse par an (g)</t>
  </si>
  <si>
    <t>Journalières (365 lentilles)</t>
  </si>
  <si>
    <t>Mensuelles (dont solution)</t>
  </si>
  <si>
    <t xml:space="preserve">Source 3 : </t>
  </si>
  <si>
    <t>Données partagées par un industriel :</t>
  </si>
  <si>
    <t>Moule pour la production (PP)</t>
  </si>
  <si>
    <t xml:space="preserve">Bilan : </t>
  </si>
  <si>
    <t xml:space="preserve">On retient les masses suivantes : </t>
  </si>
  <si>
    <t>Moule à usage unique</t>
  </si>
  <si>
    <t>Liquide de conservation ?</t>
  </si>
  <si>
    <t>On ne tient pas en compte les lentilles elles-mêmes, en silicone-hydrogel, de poids très faible.</t>
  </si>
  <si>
    <t>Cependant, il est possible que celles-ci représentent une empreinte carbone non négligeable, étant donné la complexité du matériau utilisé.</t>
  </si>
  <si>
    <t xml:space="preserve">On utilise ensuite les facteurs d'émissions d'EcoInvent, en on obtient : </t>
  </si>
  <si>
    <t>Par unité (en gCO2e)</t>
  </si>
  <si>
    <t>Moules à usage unique</t>
  </si>
  <si>
    <t>Total packaging</t>
  </si>
  <si>
    <t>Total moules pour la production</t>
  </si>
  <si>
    <t>Erratum : les valeurs suivantes ont été utilisées pour la rapport final :</t>
  </si>
  <si>
    <t>2) Production, assemblage, stérilisation</t>
  </si>
  <si>
    <t>Case-Study-Bausch-and-Lombe.pdf</t>
  </si>
  <si>
    <r>
      <t xml:space="preserve">La centrale satisfait environ </t>
    </r>
    <r>
      <rPr>
        <b/>
        <sz val="11"/>
        <color theme="1"/>
        <rFont val="Arial"/>
        <family val="2"/>
        <scheme val="minor"/>
      </rPr>
      <t>72 % des besoins électriques</t>
    </r>
    <r>
      <rPr>
        <sz val="11"/>
        <color theme="1"/>
        <rFont val="Arial"/>
        <family val="2"/>
        <scheme val="minor"/>
      </rPr>
      <t xml:space="preserve"> et </t>
    </r>
    <r>
      <rPr>
        <b/>
        <sz val="11"/>
        <color theme="1"/>
        <rFont val="Arial"/>
        <family val="2"/>
        <scheme val="minor"/>
      </rPr>
      <t>91 % des besoins thermiques</t>
    </r>
    <r>
      <rPr>
        <sz val="11"/>
        <color theme="1"/>
        <rFont val="Arial"/>
        <family val="2"/>
        <scheme val="minor"/>
      </rPr>
      <t xml:space="preserve"> du site</t>
    </r>
  </si>
  <si>
    <t>Production de 27 millions de kWh d'électricité par an</t>
  </si>
  <si>
    <t>18,3 mégatonnes de vapeur et 12 483 MWh d'eau chaude de qualité inférieure par an, soit environ 12800 MWh de chaleur</t>
  </si>
  <si>
    <t>https://www.facebook.com/watch/?v=447370870652229</t>
  </si>
  <si>
    <t>Production annuelle : un milliards de lentilles par an</t>
  </si>
  <si>
    <t>Consommation d'énergie</t>
  </si>
  <si>
    <t>Consommation d'électricité par million de lentilles</t>
  </si>
  <si>
    <t>kWh/lentilles</t>
  </si>
  <si>
    <t>Consommation de chaleur par million de lentilles</t>
  </si>
  <si>
    <t>Pour les facteurs d'émissions de l'électricité, on utilise la répartition suivate, ainsi que les facteurs d'émissions de la Base Empreinte (gaz) et d'EcoInvent (électricité) :</t>
  </si>
  <si>
    <t>Emissions par lentille</t>
  </si>
  <si>
    <t xml:space="preserve">Et finalement : </t>
  </si>
  <si>
    <t>Emissions de GES totales</t>
  </si>
  <si>
    <t>3) Immobilisations et déplacements D/T</t>
  </si>
  <si>
    <t>Nombre d'emploi site de Waterford</t>
  </si>
  <si>
    <t>Bausch + Lomb, IDA Technology Park, Waterford, Ireland - CJFA</t>
  </si>
  <si>
    <t>Production annuelle : un milliards de lentilles par an (https://cjfa.ie/projects/bausch-lomb-ida-technology-park-waterford-ireland/)</t>
  </si>
  <si>
    <t>Emissions liées aux déplacements D/T par unité pour le site de Veauche</t>
  </si>
  <si>
    <t>Emissions liées aux immobilisations par unité pour le site de Veauche</t>
  </si>
  <si>
    <t>Emissions liées aux déplacements D/T totales</t>
  </si>
  <si>
    <t>Emissions liées aux immobilisations totales</t>
  </si>
  <si>
    <t xml:space="preserve">Pour connaître la répartition des modes de transport utilisés, on utilise les données d'Europstat : </t>
  </si>
  <si>
    <t>France (extra-Europe)</t>
  </si>
  <si>
    <t>Sea</t>
  </si>
  <si>
    <t>Air</t>
  </si>
  <si>
    <t>Contact lenses</t>
  </si>
  <si>
    <t xml:space="preserve">On prendra la donnée suivante : </t>
  </si>
  <si>
    <t>Part de l'aérien :</t>
  </si>
  <si>
    <t xml:space="preserve">Ainsi que la répartition de provenance suivante : </t>
  </si>
  <si>
    <t>Et donc, en utilisant les données de l'Annexe - logistique, on obtient :</t>
  </si>
  <si>
    <t xml:space="preserve">Transport aérien </t>
  </si>
  <si>
    <t xml:space="preserve">Transport maritime </t>
  </si>
  <si>
    <t xml:space="preserve">Transport routier vers centre de distribution </t>
  </si>
  <si>
    <t>Transport routier - livraison</t>
  </si>
  <si>
    <t>Transport - total</t>
  </si>
  <si>
    <t>Total (produit, emballage et moules)</t>
  </si>
  <si>
    <t>On obtient finalement :</t>
  </si>
  <si>
    <t>Empreinte par unité</t>
  </si>
  <si>
    <t>Empreinte totale</t>
  </si>
  <si>
    <t>Production (kgCO2e)</t>
  </si>
  <si>
    <t>Emballages (kgCO2e)</t>
  </si>
  <si>
    <t>Utilisation (kgCO2e)</t>
  </si>
  <si>
    <t>Transport (kgCO2e)</t>
  </si>
  <si>
    <t>Fin de vie (kgCO2e)</t>
  </si>
  <si>
    <t>Emballages (ktCO2e)</t>
  </si>
  <si>
    <t>Utilisation (ktCO2e)</t>
  </si>
  <si>
    <t>Transport (ktCO2e)</t>
  </si>
  <si>
    <t>Fin de vie (ktCO2e)</t>
  </si>
  <si>
    <t>Aides auditives à pile</t>
  </si>
  <si>
    <t>Aides auditives rechargeable</t>
  </si>
  <si>
    <t>Pile 10</t>
  </si>
  <si>
    <t>Pile 13</t>
  </si>
  <si>
    <t>Pile 312</t>
  </si>
  <si>
    <t>Pile 675</t>
  </si>
  <si>
    <t>Total piles</t>
  </si>
  <si>
    <t xml:space="preserve">Et au final : </t>
  </si>
  <si>
    <t>Total émissions par unité vendues :</t>
  </si>
  <si>
    <t>Consommation de piles</t>
  </si>
  <si>
    <t>Aides auditives rechargeables</t>
  </si>
  <si>
    <t>1) Aides auditives</t>
  </si>
  <si>
    <t xml:space="preserve">On regarde les données de remboursement de l'assurance maladie de 2023 : </t>
  </si>
  <si>
    <t>Rremboursements (en euros)</t>
  </si>
  <si>
    <t xml:space="preserve">Les aides auditives remboursées représentent une large partie du marché. Toutefois, certaines ne sont pas remboursées. On regarde donc les données du SNITEM : </t>
  </si>
  <si>
    <t>Quantité vendues</t>
  </si>
  <si>
    <t>Sell in : baisse record de 7 % en 2023</t>
  </si>
  <si>
    <t>Ventes d'aides auditives en 2023</t>
  </si>
  <si>
    <t>Dont écouteurs déportés</t>
  </si>
  <si>
    <t xml:space="preserve">Dont contours </t>
  </si>
  <si>
    <t>Dont intra-auriculaire</t>
  </si>
  <si>
    <t>Part des ventes de l'entreprise Sonova, on formule l'hypothèse suivante :</t>
  </si>
  <si>
    <t>Sonova_ESG_Report-23-24_0.pdf</t>
  </si>
  <si>
    <t>60% des aides auditives vendues sont avec batterie, 40% sont avec piles.</t>
  </si>
  <si>
    <t xml:space="preserve">Parc d'aides auditives : </t>
  </si>
  <si>
    <t>Le nombre de personnes appareilllées était de plus de 3 millions en 2020.</t>
  </si>
  <si>
    <t>rapport-igesr-2021-206-16063.pdf</t>
  </si>
  <si>
    <t xml:space="preserve">En extrapolant, on obtient un nombre approximatif pour 2023 : </t>
  </si>
  <si>
    <t>Nombre de personnes appareillées en 2023</t>
  </si>
  <si>
    <t>2) Piles</t>
  </si>
  <si>
    <t>On regarde les données des remboursements de la LPP de 2023 :</t>
  </si>
  <si>
    <t>Type de pile</t>
  </si>
  <si>
    <t>Piles 10</t>
  </si>
  <si>
    <t>Piles 13</t>
  </si>
  <si>
    <t>Piles 312</t>
  </si>
  <si>
    <t>Piles 675</t>
  </si>
  <si>
    <t>On ne regarde ici que les piles remboursées. Par manque de données, nous ne comptons donc pas les consommations de piles non remboursées.</t>
  </si>
  <si>
    <t>Les données sont donc probalement sous-estimées. Mais les données ci-dessous permettent d'affirmer que les données son tout de même proches du nombre réel de piles consommées :</t>
  </si>
  <si>
    <t>Durée de vie (jours)</t>
  </si>
  <si>
    <t>Ainsi, le nombre de piles remboursées correspond à :</t>
  </si>
  <si>
    <t>personnes portant des aides auditives 365 jours par an.</t>
  </si>
  <si>
    <t>ce qui correspond dont à :</t>
  </si>
  <si>
    <t>des porteurs d'appareils auditifs.</t>
  </si>
  <si>
    <t>On considère ici la quantité de matériaux nécessaires à production des aides auditives.</t>
  </si>
  <si>
    <t>On fait les hypothèses de poids suivantes :</t>
  </si>
  <si>
    <t>Poids (en grammes)</t>
  </si>
  <si>
    <t>Coque</t>
  </si>
  <si>
    <t>Embout</t>
  </si>
  <si>
    <t>Silicine/acrylique</t>
  </si>
  <si>
    <t>Spécifique sur-mesure : Moules pour embouts sur-mesure</t>
  </si>
  <si>
    <t>Microphone, amplificateur, écouteur</t>
  </si>
  <si>
    <t>Pour les aides auditives rechargeables : coque de recharge :</t>
  </si>
  <si>
    <t>Boitier de recharge - coque</t>
  </si>
  <si>
    <t>Boitier de recharge - composants électroniques</t>
  </si>
  <si>
    <t>D'après une étude, 15% des batteries doivent être changées durant la durée de vie de l'aide auditive.</t>
  </si>
  <si>
    <t>2021-12-14_Comparison-of-Battery-Solutions-for-Hearing-Aid-Devices.pdf</t>
  </si>
  <si>
    <t>On appliquera donc un facteur multicatif de 1,15 sur ces composants.</t>
  </si>
  <si>
    <t>Piles</t>
  </si>
  <si>
    <t xml:space="preserve">source : </t>
  </si>
  <si>
    <t>https://hal.univ-lorraine.fr/hal-02095251</t>
  </si>
  <si>
    <t xml:space="preserve">On utilise ensuite une étude donnant la composition détaillée des piles : </t>
  </si>
  <si>
    <t>​Matériau : Piles Zinc Air, composition détaillée ici (page 23)</t>
  </si>
  <si>
    <t>Zinc</t>
  </si>
  <si>
    <t>Nickel</t>
  </si>
  <si>
    <t>Cuivre</t>
  </si>
  <si>
    <t>Chrome</t>
  </si>
  <si>
    <t>Graphite</t>
  </si>
  <si>
    <t>Hydroxyde de potassium</t>
  </si>
  <si>
    <t>Conditionnement - piles :</t>
  </si>
  <si>
    <t>On regarde une source donnant le poids des piles emballages compris :</t>
  </si>
  <si>
    <t>Piles auditives 312 Maxell (blister de 6) | Laval Europe</t>
  </si>
  <si>
    <t>Poids brut (g) (emballage inclus) :</t>
  </si>
  <si>
    <t>Poids de 6 piles (g)</t>
  </si>
  <si>
    <t>Poids emballages (g)</t>
  </si>
  <si>
    <t>On fait l'hypothèse que ces emballages sont composés à 50% de plastique et à 50% de carton.</t>
  </si>
  <si>
    <t xml:space="preserve">Bilan des masses par unité : </t>
  </si>
  <si>
    <t>Poids par unité</t>
  </si>
  <si>
    <t>Quantités vendues</t>
  </si>
  <si>
    <t>Aide auditive à pile</t>
  </si>
  <si>
    <t>Aide auditive rechargeable</t>
  </si>
  <si>
    <t>Emballages aides auditives</t>
  </si>
  <si>
    <t>Emballages piles</t>
  </si>
  <si>
    <t xml:space="preserve">On utilise finalement le résultat avec l'étude réalisée qui compare l'impact carbone des aides auditives avec batterie et avec piles : </t>
  </si>
  <si>
    <t>signia-library.com/wp-content/uploads/sites/137/2021/12/2021-12-14_Comparison-of-Battery-Solutions-for-Hearing-Aid-Devices.pdf</t>
  </si>
  <si>
    <t>Pour cette étude, on fait l'hypothèse que le facteur d'émissions utilisée pour la consommation d'électricité est celui de la base Empreinte pour l'Europe ("in the EU-28")</t>
  </si>
  <si>
    <t xml:space="preserve">Ainsi, on peut recalculer les émissions de CO2 calculés dans cette étude : </t>
  </si>
  <si>
    <t>Rechargeable Hearing Aid</t>
  </si>
  <si>
    <t>Electricity demand</t>
  </si>
  <si>
    <t>Charger Unit</t>
  </si>
  <si>
    <t>Battery solution</t>
  </si>
  <si>
    <t>Hearing Aids (2 pcs)</t>
  </si>
  <si>
    <t>Non rechargeable Hearing Aid</t>
  </si>
  <si>
    <t>Ces émissions incluent les matières premières, la production, la fin de vie (mais pas les transports ?).</t>
  </si>
  <si>
    <t>On peut aussi calculer l'impact d'une pile Zn-Air. Zn-air batteries charge the hearing aid for 6 days based on the use profile</t>
  </si>
  <si>
    <t>Impact d'une pile 10</t>
  </si>
  <si>
    <t>kgCO2e pour une pile 10 de 0,31 grammes.</t>
  </si>
  <si>
    <t xml:space="preserve">Ainsi, d'après cette étude : </t>
  </si>
  <si>
    <t>Emissions par unité (en kgCO2e)</t>
  </si>
  <si>
    <t>On se base sur des données partagées par un industriel. On a, approximativement :</t>
  </si>
  <si>
    <t>Poids du packaging</t>
  </si>
  <si>
    <t>Aides auditives + récepteur</t>
  </si>
  <si>
    <t>Chargeur USB</t>
  </si>
  <si>
    <t>Cable USB</t>
  </si>
  <si>
    <t xml:space="preserve">Chargeur  </t>
  </si>
  <si>
    <t>Produit fini</t>
  </si>
  <si>
    <t xml:space="preserve">On regarde également les données d'un vendeur : </t>
  </si>
  <si>
    <t>Aide auditive Rechargeable pour personnes âgées, 1 paire, amplificateur personnel, aide auditive pour adultes avec Base de chargement</t>
  </si>
  <si>
    <t>On constate un poids des emballages de 106 grammes, ce qui semble confirmer le poids du produit fini trouvé.</t>
  </si>
  <si>
    <t>On fait ensuite l'hypothèse que l'emballage est consitué à 60% cartons, à 10% de papier (notice), et à 30% de plastique.</t>
  </si>
  <si>
    <t>Emballage</t>
  </si>
  <si>
    <t>dont carton</t>
  </si>
  <si>
    <t>dont papier</t>
  </si>
  <si>
    <t>dont plastique</t>
  </si>
  <si>
    <t>On utilise ensuite les facteurs d'émissions suivants issus d'EcoInvent, et on obtient :</t>
  </si>
  <si>
    <t>Carton / papier</t>
  </si>
  <si>
    <t>kgCO2e/unité</t>
  </si>
  <si>
    <t>Total emballages - émissions par unité</t>
  </si>
  <si>
    <t>3) Utilisation</t>
  </si>
  <si>
    <t>On regarde ici les consommations électriques des aides auditives avec batterie.</t>
  </si>
  <si>
    <t>On néglige ici les autres consommations électriques.</t>
  </si>
  <si>
    <t xml:space="preserve">1) Source 1 : ACV Sonova </t>
  </si>
  <si>
    <t>Consommation</t>
  </si>
  <si>
    <t>Consommation annuelle (kWh)</t>
  </si>
  <si>
    <t>Consommation en élétricité d'une aide auditive avec batterie</t>
  </si>
  <si>
    <t>Wh/jour</t>
  </si>
  <si>
    <t>2) Source 2 : données internes</t>
  </si>
  <si>
    <t>Consommation du chargeur (veille)</t>
  </si>
  <si>
    <t>kWh/an</t>
  </si>
  <si>
    <t>On privilégiera les données de la source 2, plus précises.</t>
  </si>
  <si>
    <t xml:space="preserve">On utilise le facteur d'émissions d'EcoInvent, et on obtient : </t>
  </si>
  <si>
    <t>Emissions par unité</t>
  </si>
  <si>
    <t>kgCO2e/an</t>
  </si>
  <si>
    <t>Total consommation d'énergie</t>
  </si>
  <si>
    <t>Appareils pour faciliter l'audition aux sourds (répartition en masse)</t>
  </si>
  <si>
    <t>Appareils pour faciliter l'audition aux sourds (répartition en nombre d'unités)</t>
  </si>
  <si>
    <t>Parties et accessoires d'appareils pour faciliter l'audition aux sourds</t>
  </si>
  <si>
    <t>Un seul site en France fabrique des aides auditives, 93000 par an.</t>
  </si>
  <si>
    <t>Starkey , les aides auditives made in France.</t>
  </si>
  <si>
    <t>Ainsi, la production française est nécessairement inférieure à :</t>
  </si>
  <si>
    <t>de la consommation.</t>
  </si>
  <si>
    <t xml:space="preserve">On fait donc l'hypothèses conservatrice que 6% des aides auditives sont fabriquées en France. </t>
  </si>
  <si>
    <t>La part de fabrication française des piles est égale à la part d'importation des pays d'Europe de l'Ouest.</t>
  </si>
  <si>
    <t>On utilise également les données d'Eurostat :</t>
  </si>
  <si>
    <t>Hearing aids (excl. parts and accessories)</t>
  </si>
  <si>
    <t>Transport par bâteau</t>
  </si>
  <si>
    <t>Transport par avion</t>
  </si>
  <si>
    <t>Appareils pour faciliter l'audition aux sourds</t>
  </si>
  <si>
    <t>On rappelle le poids par unité des aides auditives :</t>
  </si>
  <si>
    <t>Nombre d'unités vendues</t>
  </si>
  <si>
    <t>Aide auditive - poids moyen</t>
  </si>
  <si>
    <t>Pile - Valeur moyenne</t>
  </si>
  <si>
    <t>Total (ktCO2e)</t>
  </si>
  <si>
    <t>Aides auditives à rechargeables</t>
  </si>
  <si>
    <t>5) Livraison - dernier kilomètre</t>
  </si>
  <si>
    <t>Source 1 : Annexe - logistique</t>
  </si>
  <si>
    <t>Emissions liée à l'acheminement</t>
  </si>
  <si>
    <t>Emissions liée à l'acheminement du produit fini</t>
  </si>
  <si>
    <t>kgCO2e/2 pièces</t>
  </si>
  <si>
    <t>Source 2 : données internes</t>
  </si>
  <si>
    <t>On privilégiera les données de la source 2, les livraisons étant "rapides" donc non optimisées.</t>
  </si>
  <si>
    <t>7) Fin de vie</t>
  </si>
  <si>
    <t xml:space="preserve">On utilise des données internes : </t>
  </si>
  <si>
    <t>Aide auditive, chargeur, etc.</t>
  </si>
  <si>
    <t>Cable</t>
  </si>
  <si>
    <t>Emissions générées par le traitement des déchets électroniques</t>
  </si>
  <si>
    <t xml:space="preserve">Pour les piles, on utilise le facteur d'émissions de la Base empreinte : </t>
  </si>
  <si>
    <t>DEEE/DEEE moyen (par défaut)/Fin de vie moyenne filière - Impacts</t>
  </si>
  <si>
    <t>On utilisera plutôt les données mentionnées précédemment.</t>
  </si>
  <si>
    <t>Orthèses de série</t>
  </si>
  <si>
    <t>Pour les orthèses élastiques de contention, on obtient les résultats suivants :</t>
  </si>
  <si>
    <t>Teinture</t>
  </si>
  <si>
    <t>Transport (hors livraison)</t>
  </si>
  <si>
    <t>Livraison officine</t>
  </si>
  <si>
    <t>Orthèses élastiques de contention, émissions par produit (kgCO2e)</t>
  </si>
  <si>
    <t>Orthèses élastiques de contention, émissions totales (ktCO2e)</t>
  </si>
  <si>
    <t>Pour les autres orthèses, on obtient :</t>
  </si>
  <si>
    <t>Matières premières et production</t>
  </si>
  <si>
    <t>Ceinture lombaires</t>
  </si>
  <si>
    <t>Orthèses de contention</t>
  </si>
  <si>
    <t>Colliers cervicaux</t>
  </si>
  <si>
    <t>Attelles genoux articulée</t>
  </si>
  <si>
    <t>Attelles genoux non articulée</t>
  </si>
  <si>
    <t>Attelles (genoux, mains/poignets, etc.)</t>
  </si>
  <si>
    <t>Attelles main-poignet</t>
  </si>
  <si>
    <t>Semelles orthopédiques</t>
  </si>
  <si>
    <t>Attelles de pied</t>
  </si>
  <si>
    <t>Chaussures orthopédiques de série</t>
  </si>
  <si>
    <t>Attelles cheville</t>
  </si>
  <si>
    <t>Autres attelles et appareils de correction orthopédique</t>
  </si>
  <si>
    <t>Chaussures orthopédiques</t>
  </si>
  <si>
    <t>1) Orthèses remboursées en ville</t>
  </si>
  <si>
    <t>Généralités sur le marché de l'orthopédie :</t>
  </si>
  <si>
    <t>L’orthopédie : une valeur ajoutée à l’officine - 04/09/2024 - Actu - Le Moniteur des pharmacies.fr</t>
  </si>
  <si>
    <t>L’orthopédie se porte bien | Le Pharmacien de France - Magazine</t>
  </si>
  <si>
    <t>Pour les orthèses "codées", on regarde les données de remboursements de la LPP (Open LPP 2023) :</t>
  </si>
  <si>
    <t>Catégorie "orthèses" :</t>
  </si>
  <si>
    <t>Somme de remboursements (en euros)</t>
  </si>
  <si>
    <t>Quantité remboursées</t>
  </si>
  <si>
    <t>APPAREILS DIVERS DE CORRECTION ORTHOPEDIQUE</t>
  </si>
  <si>
    <t>CHAUSSURES THERAPEUTIQUES DE SERIE (CHTS)</t>
  </si>
  <si>
    <t>CHAUSSURES THERAPEUTIQUES A USAGE PROLONGE (CHUP)</t>
  </si>
  <si>
    <t>CHAUSSURES THERAPEUTIQUES A USAGE TEMPORAIRE (CHUT)</t>
  </si>
  <si>
    <t>COLLIERS CERVICAUX</t>
  </si>
  <si>
    <t>COQUES TALONNIERES</t>
  </si>
  <si>
    <t>ORTHESES PLANTAIRES</t>
  </si>
  <si>
    <t>VETEMENTS COMPRESSIFS SUR MESURE POUR GRANDS BRULES</t>
  </si>
  <si>
    <t>SUPPLEMENTS AUX VETEMENTS COMPRESSIFS</t>
  </si>
  <si>
    <t>VETEMENTS COMPRESSIFS</t>
  </si>
  <si>
    <t>Catégorie "podo-orthèses" :</t>
  </si>
  <si>
    <t>Podo-orthèses</t>
  </si>
  <si>
    <t>APPAREIL PODO-JAMBIER SPECIAL SUR MOULAGE</t>
  </si>
  <si>
    <t>CHAUSSURES ORTHOPEDIQUES DITES CHAUSSURES THERAPEUTIQUES SUR MESURE</t>
  </si>
  <si>
    <t>MOULAGE</t>
  </si>
  <si>
    <t>REPARATIONS, FRAIS D EXPEDITION ET FRAIS ACCESSOIRES</t>
  </si>
  <si>
    <t>Catégorie "Orthèses non codées (petit appareillage)" :</t>
  </si>
  <si>
    <t>Orthèses non codées</t>
  </si>
  <si>
    <t xml:space="preserve">Pour cette dernière catégorie, nous ne disposons pas de la répartition des ventes. Les orthèses non codées se répartissent ainsi : </t>
  </si>
  <si>
    <t>A : Bandages herniaires</t>
  </si>
  <si>
    <t>D : Orthèses élastiques de contention des membres (Manchons, bas, collants, bonnets couvre-moignons, genouillères et chevillères élastiques de contention)</t>
  </si>
  <si>
    <t xml:space="preserve">E : Ceintures médico-chirurgicales et corsets orthopédiques en tissu armé </t>
  </si>
  <si>
    <t>Hors, d'après des experts du marché, le marché des chaussettes.bas/collants de contention représente entre 13 et 14 millions de paires vendues.</t>
  </si>
  <si>
    <t xml:space="preserve">On fait alors les hypothèses suivantes : </t>
  </si>
  <si>
    <t>Catégorie d'orthèse</t>
  </si>
  <si>
    <t>Chaussettes/bas/collants de contention</t>
  </si>
  <si>
    <t>Autres orthèses élastiques de contention</t>
  </si>
  <si>
    <t>Ceintures lombaires</t>
  </si>
  <si>
    <t>Autres orthèses : bandages herniaires, corsets, etc.</t>
  </si>
  <si>
    <t>2) Orthèses non remboursées en ville</t>
  </si>
  <si>
    <t>Pour les orthèses non remboursées en ville, on regarde les données de remboursements paratagées par Neres/OpenHealth :</t>
  </si>
  <si>
    <t>Bilan non remboursé  :</t>
  </si>
  <si>
    <t>Attelle Main (ou main/pougnet ou  main/poignet / doigt)</t>
  </si>
  <si>
    <t>Attelle Poignet (ou poignet doigt)</t>
  </si>
  <si>
    <t>Attelle doigt/pouce/interphanlagienne</t>
  </si>
  <si>
    <t>Cheville</t>
  </si>
  <si>
    <t>Attelle Genou articulée</t>
  </si>
  <si>
    <t>Autres (coude, clavicule, épaule, hanche)</t>
  </si>
  <si>
    <t>Genouillère de contention</t>
  </si>
  <si>
    <t>Semelles</t>
  </si>
  <si>
    <t>Coussins plantaires et supports</t>
  </si>
  <si>
    <t>Talonettes</t>
  </si>
  <si>
    <t>Chaussures</t>
  </si>
  <si>
    <t>Non remboursé</t>
  </si>
  <si>
    <t>1) Orthèses élastiques de contention</t>
  </si>
  <si>
    <t>On regarde les décompositions de matières de plusieurs références :</t>
  </si>
  <si>
    <t>Élasthanne</t>
  </si>
  <si>
    <t>Coton Bio</t>
  </si>
  <si>
    <t>Polypropylene</t>
  </si>
  <si>
    <t>Chaussettes de contention 1</t>
  </si>
  <si>
    <t>Sigvaris Transparent - Chaussettes de contention Chaussettes - SIGVARIS GROUP France | Sigvaris.com</t>
  </si>
  <si>
    <t>Chaussettes de contention 2</t>
  </si>
  <si>
    <t>Sigvaris Opaque - Chaussettes de contention Chaussettes - SIGVARIS GROUP France | Sigvaris.com</t>
  </si>
  <si>
    <t>Chaussettes de contention 3</t>
  </si>
  <si>
    <t>Sigvaris Coton Bio 55% - Chaussettes de contention femme - SIGVARIS GROUP France | Sigvaris.com</t>
  </si>
  <si>
    <t>Bas de contention 1</t>
  </si>
  <si>
    <t>Sigvaris Transparent - Bas de contention Bas - SIGVARIS GROUP France | Sigvaris.com</t>
  </si>
  <si>
    <t>Base de contention 2</t>
  </si>
  <si>
    <t>Sigvaris Semi-transparent Bas de contention Bas - SIGVARIS GROUP France | Sigvaris.com</t>
  </si>
  <si>
    <t>Bas de contention 3</t>
  </si>
  <si>
    <t>Sigvaris Opaque - Bas de contention Bas - SIGVARIS GROUP France | Sigvaris.com</t>
  </si>
  <si>
    <t>Collant de contention 1</t>
  </si>
  <si>
    <t>Sigvaris Opaque - Collant de contention Collant - SIGVARIS GROUP France | Sigvaris.com</t>
  </si>
  <si>
    <t>Collant de contention 2</t>
  </si>
  <si>
    <t>Poids (grammes)</t>
  </si>
  <si>
    <t xml:space="preserve">Bas de contention </t>
  </si>
  <si>
    <t>Chaussettes de contention</t>
  </si>
  <si>
    <t>Collants de contention</t>
  </si>
  <si>
    <t>Moyenne bande élastique de contention</t>
  </si>
  <si>
    <t>Ainsi, on obtient en moyenne les composants suivants :</t>
  </si>
  <si>
    <t>=Nylon</t>
  </si>
  <si>
    <t>=PET</t>
  </si>
  <si>
    <t xml:space="preserve">Notre méthode s'inspire ensuite de l'étude LCA benchmarking study on textiles made of cotton, polyester, nylon, acryl, or elastane (Vogtlander, J., 2013), que l'on met à jour avec des facteurs d'émissions actualisés d'Ecovinvent : </t>
  </si>
  <si>
    <t>Coton - France</t>
  </si>
  <si>
    <t>Coton - Europe</t>
  </si>
  <si>
    <t>Coton - Chine</t>
  </si>
  <si>
    <t>Acrylique - France</t>
  </si>
  <si>
    <t>Acrylique - Europe</t>
  </si>
  <si>
    <t>Acrylique - Chine</t>
  </si>
  <si>
    <t>Nylon - France</t>
  </si>
  <si>
    <t>Nylon - Europe</t>
  </si>
  <si>
    <t>Nylon - Chine</t>
  </si>
  <si>
    <t>Polyester - France</t>
  </si>
  <si>
    <t>Polypropylène - France</t>
  </si>
  <si>
    <t>Elasthanne - France</t>
  </si>
  <si>
    <t>Elasthanne - Europe</t>
  </si>
  <si>
    <t>Elasthanne - Chine</t>
  </si>
  <si>
    <t>Granulés de polymère / fibre de coton</t>
  </si>
  <si>
    <t>Filature</t>
  </si>
  <si>
    <t xml:space="preserve">Texturation </t>
  </si>
  <si>
    <t>Tissage (300 dtex)</t>
  </si>
  <si>
    <t>Thermofixage et lavage des tissus synthétiques</t>
  </si>
  <si>
    <t>Prétraitement du coton</t>
  </si>
  <si>
    <t>Teinture (hors pigments)</t>
  </si>
  <si>
    <t>Et :</t>
  </si>
  <si>
    <t>Emissions (kgCO2e/kg)</t>
  </si>
  <si>
    <t>Coton</t>
  </si>
  <si>
    <t>Nylon</t>
  </si>
  <si>
    <t>Polypropylène</t>
  </si>
  <si>
    <t>Elasthanne</t>
  </si>
  <si>
    <t>Matière première</t>
  </si>
  <si>
    <t>Production - France</t>
  </si>
  <si>
    <t>Production - Europe</t>
  </si>
  <si>
    <t>Production - Chine</t>
  </si>
  <si>
    <r>
      <rPr>
        <b/>
        <sz val="11"/>
        <color rgb="FF7030A0"/>
        <rFont val="Arial"/>
        <family val="2"/>
        <scheme val="minor"/>
      </rPr>
      <t xml:space="preserve">Hyp : </t>
    </r>
    <r>
      <rPr>
        <sz val="11"/>
        <color theme="1"/>
        <rFont val="Arial"/>
        <family val="2"/>
        <scheme val="minor"/>
      </rPr>
      <t>60% des bandes élastiques de contention sont tissées en France, 30% en Europe et 10% en Asie</t>
    </r>
  </si>
  <si>
    <t>Empreinte carbone de la production de matière première, par unité</t>
  </si>
  <si>
    <t>Empreinte carbone de la production du produit, par unité</t>
  </si>
  <si>
    <t>Empreinte carbone de la teinture du produit, par unité</t>
  </si>
  <si>
    <t>2) Ceintures lombaires</t>
  </si>
  <si>
    <t>On regarde plusieurs références de ceintures lombaires</t>
  </si>
  <si>
    <t>Lien</t>
  </si>
  <si>
    <t>Composants non textiles</t>
  </si>
  <si>
    <t>Composants textiles</t>
  </si>
  <si>
    <t>Poids en g</t>
  </si>
  <si>
    <t>Ceinture de soutien lombaire Thuasne sport - lombalgie, entorse, mal d</t>
  </si>
  <si>
    <t>Polyamide (crochet autoagrippant), acier trempé brossé (baleines dorsales), polyoxyméthylène (baleines ventrales).</t>
  </si>
  <si>
    <t>Polyamide, Polyuréthane, polyester, eslathanne</t>
  </si>
  <si>
    <t>Ceinture lombaire de maintien adulte - Ceinture Lombaire R500 Noire TARMAK | Decathlon</t>
  </si>
  <si>
    <t>15% polyamide, 62% polyester, 23% élastodiène</t>
  </si>
  <si>
    <t>Source 3</t>
  </si>
  <si>
    <t>Ceinture Lombaire - Hauteur 21 cm - DORSAMIX - VELPEAU L&amp;R - Ceinture Lombaire - Univers Santé</t>
  </si>
  <si>
    <t>acier recouvert de polyuréthane ou d'époxy-polyester</t>
  </si>
  <si>
    <t>polyester, élasthanne, élastodiène, polyamide, polyuréthane</t>
  </si>
  <si>
    <t>Source 4</t>
  </si>
  <si>
    <t>Ceinture lombaire</t>
  </si>
  <si>
    <t>Aluminium, plastique</t>
  </si>
  <si>
    <t>Polyester, nylon, elasthanne, mousse PU</t>
  </si>
  <si>
    <t>Source 5</t>
  </si>
  <si>
    <t>Ceinture lombaire avec doublure titane</t>
  </si>
  <si>
    <t>70% néoprène, 20% polyamide, 10%titane</t>
  </si>
  <si>
    <t>Source 6</t>
  </si>
  <si>
    <t>MOBILIS LumboSupport Orthèses - SIGVARIS GROUP France | Sigvaris.com</t>
  </si>
  <si>
    <t>20% Polyprolylène</t>
  </si>
  <si>
    <t>54% polyamide, 21% élasthanne, 5% polyester</t>
  </si>
  <si>
    <t xml:space="preserve">On fait alors les hypothèses suivantes : dans une ceinture lombaire, on retrouve en moyenne : </t>
  </si>
  <si>
    <t>Composants moyens d'une ceinture lombaire</t>
  </si>
  <si>
    <t>Polyuréthane</t>
  </si>
  <si>
    <t>Autres plastiques</t>
  </si>
  <si>
    <t>On fait également l'hypothèse que 70% des ceintures lombaires sont tissés en Europe, et 30% hors Europe.</t>
  </si>
  <si>
    <t xml:space="preserve">On utilise les facteurs d'émissions issus d'EcoInvent, et on obtient : </t>
  </si>
  <si>
    <t>Empreinte carbone des matières premières et de la production</t>
  </si>
  <si>
    <t>3) Collier cervicaux</t>
  </si>
  <si>
    <t xml:space="preserve">On regarde les données relatives à plusieurs références : </t>
  </si>
  <si>
    <t>Minerve Cou C2 Gibaud - Collier Cervical Semi-Rigide Jour &amp; Nuit</t>
  </si>
  <si>
    <t>Collier cervical C1 ColluActive Mobilis by Sigvaris</t>
  </si>
  <si>
    <t>THUASNE Ortel C3 - Collier Cervical Rigide + Mentonnière, Réglable en</t>
  </si>
  <si>
    <t>Collier Cervical Ortel C1 Anatomic Bleu - Hauteur 6 cm - Taille 2 - ColisPharma</t>
  </si>
  <si>
    <t>Poids = 200 grammes environ</t>
  </si>
  <si>
    <t>Collier cervical</t>
  </si>
  <si>
    <t>MOBILIS ColluActive Orthèses - SIGVARIS GROUP France | Sigvaris.com</t>
  </si>
  <si>
    <t xml:space="preserve">On fait alors les hypothèses suivantes : dans un collier cervical, on retrouve en moyenne : </t>
  </si>
  <si>
    <t>Composants moyens d'un collier cervical</t>
  </si>
  <si>
    <t>4) Attelles et orthèses articulées</t>
  </si>
  <si>
    <t xml:space="preserve">On regarde des données de composition de différentes sources : </t>
  </si>
  <si>
    <t>Type d'orthèse</t>
  </si>
  <si>
    <t>Caoutchouc thermoplastique</t>
  </si>
  <si>
    <t>Elastodiène</t>
  </si>
  <si>
    <t>Polychlorure de vinyle</t>
  </si>
  <si>
    <t>Gel</t>
  </si>
  <si>
    <t>Néoprène</t>
  </si>
  <si>
    <t>Elastomère thermoplastique</t>
  </si>
  <si>
    <t>Polyetylen</t>
  </si>
  <si>
    <t>Genouillère</t>
  </si>
  <si>
    <t>Genou, non articulée</t>
  </si>
  <si>
    <t>MOBILIS GenuActive Pad Orthèses - SIGVARIS GROUP France | Sigvaris.com</t>
  </si>
  <si>
    <t>Attelle de genou</t>
  </si>
  <si>
    <t>MOBILIS GenuIntense 0° Orthèses - SIGVARIS GROUP France | Sigvaris.com</t>
  </si>
  <si>
    <t>Chevillère (bande)</t>
  </si>
  <si>
    <t>Orthèse stabilisatrice de cheville</t>
  </si>
  <si>
    <t>MOBILIS MalleoActive Pad Orthèses - SIGVARIS GROUP France | Sigvaris.com</t>
  </si>
  <si>
    <t>Chevillère (support)</t>
  </si>
  <si>
    <t>MOBILIS MalleoSupport Orthèses - SIGVARIS GROUP France | Sigvaris.com</t>
  </si>
  <si>
    <t>Attelle de cheville</t>
  </si>
  <si>
    <t>MOBILIS MalleoIntense Orthèses - SIGVARIS GROUP France | Sigvaris.com</t>
  </si>
  <si>
    <t>Attelle de poignet 1</t>
  </si>
  <si>
    <t>Poignet main</t>
  </si>
  <si>
    <t>MOBILIS ManuActive Orthèses - SIGVARIS GROUP France | Sigvaris.com</t>
  </si>
  <si>
    <t>Attelle de poignet 2</t>
  </si>
  <si>
    <t>MOBILIS ManuSupport Orthèses - SIGVARIS GROUP France | Sigvaris.com</t>
  </si>
  <si>
    <t>Attelle de poignet/pouce</t>
  </si>
  <si>
    <t>Poignet pouce</t>
  </si>
  <si>
    <t>MOBILIS RhizoSupport Orthèses - SIGVARIS GROUP France | Sigvaris.com</t>
  </si>
  <si>
    <t xml:space="preserve">A l'aide de la source suivante, on obtient les poids suivants : </t>
  </si>
  <si>
    <t>Source : catalogue Donjoy</t>
  </si>
  <si>
    <t>Donjoy.pdf</t>
  </si>
  <si>
    <t>Attelle poignet 1</t>
  </si>
  <si>
    <t>Attelle genou</t>
  </si>
  <si>
    <t>Attelle poignet 2</t>
  </si>
  <si>
    <t>Genou, attelle non articulée</t>
  </si>
  <si>
    <t>Attelle pouce-poignet 1</t>
  </si>
  <si>
    <t>Autres atelles</t>
  </si>
  <si>
    <t>Attelle pouce-poignet 2</t>
  </si>
  <si>
    <t>Attelle main</t>
  </si>
  <si>
    <t>Pour les atelles de genoux articulée, on prend la même répartition des matériaux que pour les attelles de main</t>
  </si>
  <si>
    <t>Attelle pouce 1</t>
  </si>
  <si>
    <t>Attelle pouce 2</t>
  </si>
  <si>
    <t>Attelle doigt</t>
  </si>
  <si>
    <t>Attelle 3 doigts</t>
  </si>
  <si>
    <t>Attelle poignet/pouce/doigts</t>
  </si>
  <si>
    <t>Attelle cheville 1</t>
  </si>
  <si>
    <t>Attelle cheville 2</t>
  </si>
  <si>
    <t>Attelle cheville 3</t>
  </si>
  <si>
    <t>Attelle cheville 4</t>
  </si>
  <si>
    <t>Attelle cheville 5</t>
  </si>
  <si>
    <t>Chaussures post-opératoires</t>
  </si>
  <si>
    <t>Poids moyen</t>
  </si>
  <si>
    <t xml:space="preserve">On prend le même facteur d'émissions que pour les ceintures lombaires (en kgCO2e/kg) : </t>
  </si>
  <si>
    <t xml:space="preserve">Emissions liées aux matières premières et à la production </t>
  </si>
  <si>
    <t xml:space="preserve">Ainsi, on a  : </t>
  </si>
  <si>
    <t>Emission par unité (en kgCO2e)</t>
  </si>
  <si>
    <t>5) Semelles et chaussures</t>
  </si>
  <si>
    <t xml:space="preserve">Pour les semelles orthopédiques, on utilise une ACV de semelles de sport : </t>
  </si>
  <si>
    <t>Whitepaper_Footprint Forensics When Is Additive Manufacturing Sustainable_EN.pdf</t>
  </si>
  <si>
    <t>MJF, FFF et DLP : techniques de 3d printing</t>
  </si>
  <si>
    <t>FU = one million pairs</t>
  </si>
  <si>
    <t>Semelle</t>
  </si>
  <si>
    <t>Venoped CLASSIC Semelle - SIGVARIS GROUP France | Sigvaris.com</t>
  </si>
  <si>
    <t xml:space="preserve">On a approximativement : </t>
  </si>
  <si>
    <t>Empreinte par unité (kgCO2e)</t>
  </si>
  <si>
    <t>Empreinte totale (ktCO2e)</t>
  </si>
  <si>
    <t>Empreinte carbone des semelles orthopédiques, production et matières premières</t>
  </si>
  <si>
    <t xml:space="preserve">Pour les chaussures orthopédiques de série, à partir de données internes, on fait les hypothèses suivantes : </t>
  </si>
  <si>
    <t>Facteur d'émissions matières premières par paire</t>
  </si>
  <si>
    <t>Facteur d'émissions mise en forme et assemblage par paire</t>
  </si>
  <si>
    <t>Chaussure en cuir ou en tissu</t>
  </si>
  <si>
    <t xml:space="preserve">A partir des facteurs d'émissions cités précédemment, on obtient : </t>
  </si>
  <si>
    <t>Empreinte carbone des CHUT, production et matières premières</t>
  </si>
  <si>
    <r>
      <rPr>
        <b/>
        <sz val="11"/>
        <color rgb="FF7030A0"/>
        <rFont val="Arial"/>
        <family val="2"/>
        <scheme val="minor"/>
      </rPr>
      <t>Hyp :</t>
    </r>
    <r>
      <rPr>
        <sz val="11"/>
        <color theme="1"/>
        <rFont val="Arial"/>
        <family val="2"/>
        <scheme val="minor"/>
      </rPr>
      <t xml:space="preserve"> En moyenne, les orthèses élastiques de contention on un emballage de 25 grammes de papier/carton, et de 3 grammes en polypropylène.</t>
    </r>
  </si>
  <si>
    <t>Poids du produit (grammes)</t>
  </si>
  <si>
    <t>Poids emballage carton (grammes)</t>
  </si>
  <si>
    <t>Poids emballage Plastique (grammes)</t>
  </si>
  <si>
    <t>Emisisons induite par les emballages (kgCO2e/produit)</t>
  </si>
  <si>
    <t>3) Transport</t>
  </si>
  <si>
    <t xml:space="preserve">On a fait plus haut l'hypothèse suivante : </t>
  </si>
  <si>
    <t>Fret maritime (km)</t>
  </si>
  <si>
    <t>Part du marché</t>
  </si>
  <si>
    <t>Fret maritime</t>
  </si>
  <si>
    <t>Livraison (dernier km)</t>
  </si>
  <si>
    <t>Emissions par produit (kgCO2e)</t>
  </si>
  <si>
    <t>2) Autres orthèses</t>
  </si>
  <si>
    <t>On regarde les données des douanes françaises :</t>
  </si>
  <si>
    <t>Articles et appareils d'orthopédie</t>
  </si>
  <si>
    <t>On fait l'hypothèse que la part de production française est égale à la part de production d'Europe de l'Ouest.</t>
  </si>
  <si>
    <t xml:space="preserve">On regarde également les données des douanes françaises pour les modes de transport : </t>
  </si>
  <si>
    <t>Fret aérien</t>
  </si>
  <si>
    <t>Hors orthèses de contention</t>
  </si>
  <si>
    <t>Logistique - livraison</t>
  </si>
  <si>
    <t>Total transport hors livraison</t>
  </si>
  <si>
    <t>Total livraison</t>
  </si>
  <si>
    <t>Total transport</t>
  </si>
  <si>
    <t>4) Fin de vie</t>
  </si>
  <si>
    <t>Produits de contention</t>
  </si>
  <si>
    <t>Emissions en ktCO2e</t>
  </si>
  <si>
    <t>Consommation d'énergie - production</t>
  </si>
  <si>
    <t>Maintenance</t>
  </si>
  <si>
    <t>Lits médicalisés</t>
  </si>
  <si>
    <t>Matelas anti-escarre</t>
  </si>
  <si>
    <t>Fauteuils roulants à propulsion manuelle</t>
  </si>
  <si>
    <t>Fauteuils roulants à propulsion électrique</t>
  </si>
  <si>
    <t>Poussettes et fauteuils roulants à pousser</t>
  </si>
  <si>
    <t>Cannes, béquilles, déambulateurs</t>
  </si>
  <si>
    <t>Lève personne / verticalisateurs</t>
  </si>
  <si>
    <t>1) Lits médicalisés</t>
  </si>
  <si>
    <t>Etat du parc - établissements hospitaliers</t>
  </si>
  <si>
    <t xml:space="preserve">D'après le recensement de la DREES de 2022, on dénombre le parc suivant : </t>
  </si>
  <si>
    <t>ER1289.pdf</t>
  </si>
  <si>
    <t>Nombre de lits</t>
  </si>
  <si>
    <t>Hospitalisation complète</t>
  </si>
  <si>
    <t>Hospitalisation partielle</t>
  </si>
  <si>
    <t>Etat du parc - établissement médico-sociaux</t>
  </si>
  <si>
    <t xml:space="preserve">D'après le recensement de la DREES de 2019, on dénombre le parc suivant : </t>
  </si>
  <si>
    <t>Places installées en décembre 2021</t>
  </si>
  <si>
    <t>Ehpad</t>
  </si>
  <si>
    <t>Panorama Statistique - Cohésion Sociale - Travail - Emploi - 2022; Téléchargement</t>
  </si>
  <si>
    <t>Maison d'accueil spécialisée (M.A.S.)</t>
  </si>
  <si>
    <t>Foyer d'accueil médicalisé (F.A.M.) et Etablissement d'accueil médicalisé en tout ou partie pour personnes handicapées (E.A.M.)</t>
  </si>
  <si>
    <t>Etat du parc - loués pour des particuliers ou achetés par des particuliers</t>
  </si>
  <si>
    <t xml:space="preserve">D'après les données de remboursement de la LPP, on a : </t>
  </si>
  <si>
    <t>Nombre de forfaits hebdomadaires</t>
  </si>
  <si>
    <t>Equivalent - Nombre de lits installés</t>
  </si>
  <si>
    <t>Données de remboursement de la LPP - locations de lits</t>
  </si>
  <si>
    <t>Nombre de lits achetés</t>
  </si>
  <si>
    <t>Données de remboursement de la LPP - Achats de lits</t>
  </si>
  <si>
    <t>Bilan</t>
  </si>
  <si>
    <t xml:space="preserve">On prend l'hypothèse suivante : </t>
  </si>
  <si>
    <t>Les lits médicalisés sont renouvelés tous les 10 ans.</t>
  </si>
  <si>
    <t>Taille du parc</t>
  </si>
  <si>
    <t>Nombre d'achats annuels</t>
  </si>
  <si>
    <t>Taille du parc - nombre de lits</t>
  </si>
  <si>
    <t>Etablissements hospitaliers</t>
  </si>
  <si>
    <t>Etablissements pour personne en situation de handicap</t>
  </si>
  <si>
    <t>Particuliers</t>
  </si>
  <si>
    <t>Locations de lits par des particuliers</t>
  </si>
  <si>
    <t>Achats de lits par des particuliers</t>
  </si>
  <si>
    <t>2) Fauteuils et véhicules</t>
  </si>
  <si>
    <t>On regarde les données des remboursements de la LPP, ainsi qu'une étude de l'ADEME.</t>
  </si>
  <si>
    <t>Etude de préfiguration de la filière REP des aides techniques</t>
  </si>
  <si>
    <t>Pour les fauteuils roulants en location hedbomadaire, on prend une durée de vie moyenne de 5 ans.</t>
  </si>
  <si>
    <t>Type de fauteuil</t>
  </si>
  <si>
    <t>Quantité remboursée - LPP</t>
  </si>
  <si>
    <t>Qte mise sur le marché chaque année - ADEME</t>
  </si>
  <si>
    <t>Fauteuils roulants verticalisateurs</t>
  </si>
  <si>
    <t>Fauteuils roulants - forfaits hebdomadaires</t>
  </si>
  <si>
    <t>Scooter électrique modulaire</t>
  </si>
  <si>
    <t>Tricycles à propulsion manuelle ou podale</t>
  </si>
  <si>
    <t xml:space="preserve">On privilégiera les données de l'ADEME, plus complète, qui a complétée les données remboursement de la LPP, notamment via des données des fédérations de metteurs sur le marché et d'estimations macroscopiques </t>
  </si>
  <si>
    <t>3) Autres aides techniques</t>
  </si>
  <si>
    <t>On regarde encore une fois les estimations de quantité mise sur le marché de l'ADEME :</t>
  </si>
  <si>
    <t>Type d'aide technique</t>
  </si>
  <si>
    <t>Qte mise sur le marché chaque année</t>
  </si>
  <si>
    <t>Accessoire pour fauteuil roulant, adaptation du véhicule</t>
  </si>
  <si>
    <t>Petits accessoires de transfert, solution de relevage post-chute, drap de glisse, accessoires pour se redresser ou pivoter</t>
  </si>
  <si>
    <t>Cadre de marche, déambulateur, béquille d’aisselle, canne anglaise, canne blanche</t>
  </si>
  <si>
    <t>Chaises percées, chaises de douche, etc.</t>
  </si>
  <si>
    <t>On compare ces données avec les donnes de remboursement de la LPP (pour les location, on prend des durées de vie de 5 ans afin de convertir des données de location en achats annuels, sauf pour les compresseurs où l'on prend une durée de vie de 10 ans).</t>
  </si>
  <si>
    <t>Montants remboursés</t>
  </si>
  <si>
    <t>Appareil modulaire de verticalisation</t>
  </si>
  <si>
    <t>Appareils destinés au soulèvement du malade - achats de sangles</t>
  </si>
  <si>
    <t>Appareils destinés au soulèvement du malade - location</t>
  </si>
  <si>
    <t>Appareil de soutien partiel de la tête</t>
  </si>
  <si>
    <t>Chaises percées</t>
  </si>
  <si>
    <t>Cannes et béquilles</t>
  </si>
  <si>
    <t>Coussins de série de positionnement des hanches et des genoux</t>
  </si>
  <si>
    <t>Déambulateurs</t>
  </si>
  <si>
    <t>Prothèses capillaires</t>
  </si>
  <si>
    <t>Sièges pouvant être adaptés sur un châssis à roulettes</t>
  </si>
  <si>
    <t>Coussins d’aide à la prévention des escarres</t>
  </si>
  <si>
    <t>Matelas ou surmatelas d’aide à la prévention des escarres</t>
  </si>
  <si>
    <t>Compresseurs pour surmatelas à air statique et à pression alternée - location</t>
  </si>
  <si>
    <t>Dans la suite, on privilégiera les données de l'ADEME, et à défault on prendra les données de remboursement de la LPP.</t>
  </si>
  <si>
    <t>4) Bilan</t>
  </si>
  <si>
    <t xml:space="preserve">On se concentrera ici sur les aides techniques suivantes : </t>
  </si>
  <si>
    <t>On considère ici la quantité de matériaux nécessaires à production des aides techniques.</t>
  </si>
  <si>
    <t xml:space="preserve">On regarde ici le poids des différentes aides techniques représentatives, d'après un document partagé par un expert du secteur : </t>
  </si>
  <si>
    <t>Sous-activité/Produit</t>
  </si>
  <si>
    <t>Localisation</t>
  </si>
  <si>
    <t>Typologie</t>
  </si>
  <si>
    <t>Quantité</t>
  </si>
  <si>
    <t>Lits médicalisés - acier</t>
  </si>
  <si>
    <t>Structure du lit</t>
  </si>
  <si>
    <t>Habillage lit (tete et pied de lit)</t>
  </si>
  <si>
    <t>Polyvinylchloride</t>
  </si>
  <si>
    <t>Composant plastiques pour module electrique</t>
  </si>
  <si>
    <t>Fauteuil roulant mécanique - aluminium</t>
  </si>
  <si>
    <t>Roue arrière avec main courante</t>
  </si>
  <si>
    <t>Cadre</t>
  </si>
  <si>
    <t>Repose-jambes</t>
  </si>
  <si>
    <t>Roue avant</t>
  </si>
  <si>
    <t>Frein</t>
  </si>
  <si>
    <t>Siège</t>
  </si>
  <si>
    <t>Mousse</t>
  </si>
  <si>
    <t>Dossier</t>
  </si>
  <si>
    <t>Textile</t>
  </si>
  <si>
    <t>Repose-pieds</t>
  </si>
  <si>
    <t>Accoudoir</t>
  </si>
  <si>
    <t>Poignée de poussée</t>
  </si>
  <si>
    <t>Synthetic caoutchouc</t>
  </si>
  <si>
    <t>Fauteuil roulant mécanique - acier</t>
  </si>
  <si>
    <t>Déambulateur - aluminium</t>
  </si>
  <si>
    <t>Structure</t>
  </si>
  <si>
    <t>Habillage déambulateur</t>
  </si>
  <si>
    <t>Verticalisateur - Acier</t>
  </si>
  <si>
    <t>Roues</t>
  </si>
  <si>
    <t>Boitier composant</t>
  </si>
  <si>
    <t xml:space="preserve">On compare ces données avec les poids à vide de certaines références : </t>
  </si>
  <si>
    <t>Poids à vide</t>
  </si>
  <si>
    <t>https://www.voelker.de/fileadmin/dokumente/en/Downloads/Brochures/FR_Brochure_Lits_medicalises.pdf</t>
  </si>
  <si>
    <t>notice_HAYDN.pdf</t>
  </si>
  <si>
    <t>Fauteuil manuel en aluminium</t>
  </si>
  <si>
    <t>Alu Lite Handicat, handicaps et aides techniques</t>
  </si>
  <si>
    <t>Küschall Champion Handicat, handicaps et aides techniques</t>
  </si>
  <si>
    <t>Küschall compact attract Handicat, handicaps et aides techniques</t>
  </si>
  <si>
    <t>Action 3 NG Handicat, handicaps et aides techniques</t>
  </si>
  <si>
    <t>Action 2 Ng Transit Handicat, handicaps et aides techniques</t>
  </si>
  <si>
    <t>Action 1 R Handicat, handicaps et aides techniques</t>
  </si>
  <si>
    <t>Action 5 Handicat, handicaps et aides techniques</t>
  </si>
  <si>
    <t>Action 4 NG XLT Handicat, handicaps et aides techniques</t>
  </si>
  <si>
    <t>Fauteuil manuel en acier</t>
  </si>
  <si>
    <t>Fauteuil roulant manuel - Silver Sport 1 - Drive DeVilbiss USA - d'exterieur / d'intérieur / avec repose-jambes</t>
  </si>
  <si>
    <t>Fauteuil roulant manuel - 02180 - Chinesport - d'exterieur / d'intérieur / pliable</t>
  </si>
  <si>
    <t>Fauteuil roulant passif - T-920 - Karman Healthcare - d'exterieur / avec repose-jambes / en acier</t>
  </si>
  <si>
    <t>Fauteuil roulant électrique (moyenne de 20 références)</t>
  </si>
  <si>
    <t>28771docb.pdf</t>
  </si>
  <si>
    <t>Dont batterie</t>
  </si>
  <si>
    <t>Ah</t>
  </si>
  <si>
    <t>Poussette ou fauteuil à pousser</t>
  </si>
  <si>
    <t>Fauteuil manuel Liberty II - Fauteuil à pousser InnovSA</t>
  </si>
  <si>
    <t>Fauteuil releveur à pousser Starlev II - Tous Ergo</t>
  </si>
  <si>
    <t>dont aluminium (hypothèse)</t>
  </si>
  <si>
    <t>%</t>
  </si>
  <si>
    <t>dont PVC (hypothèse)</t>
  </si>
  <si>
    <t>dont polyuréthane (hypothèse)</t>
  </si>
  <si>
    <t>dont textile (hypothèse)</t>
  </si>
  <si>
    <t>Scooter électrique</t>
  </si>
  <si>
    <t>Scooter Senior Invacare Leo - Invacare France</t>
  </si>
  <si>
    <t>Les scooters électriques ont des caractéristiques similaires aux fauteuils électriques (poids, batterie)</t>
  </si>
  <si>
    <t>20060doc.pdf</t>
  </si>
  <si>
    <t>dont mousse viscoélastique (polyuréthane)</t>
  </si>
  <si>
    <t>dont mousse polyéther</t>
  </si>
  <si>
    <t>17.176.. Surmatelas NovaForm et support</t>
  </si>
  <si>
    <t>Français</t>
  </si>
  <si>
    <t>dont mousse polyuréthane</t>
  </si>
  <si>
    <t>Cannes</t>
  </si>
  <si>
    <t>Canne Anglaise avec appui brachial réglable Progress HERDEGEN</t>
  </si>
  <si>
    <t>Canne Métal - Poignée Derby - Cashmere Pastel - HERDEGEN - Cannes Métal - Univers Santé</t>
  </si>
  <si>
    <t>Canne anglaise Style bi-matière - Bleu - HMS-VILGO</t>
  </si>
  <si>
    <t>Dont aluminium (hypothèse)</t>
  </si>
  <si>
    <t>Dont polypropène (hypothèse)</t>
  </si>
  <si>
    <t>Hypothèse</t>
  </si>
  <si>
    <t>Total (kg)</t>
  </si>
  <si>
    <t>Aluminium (kg)</t>
  </si>
  <si>
    <t>Acier (kg)</t>
  </si>
  <si>
    <t>Polyvinylchloride (kg)</t>
  </si>
  <si>
    <t>Synthetic caoutchouc (kg)</t>
  </si>
  <si>
    <t>Polyuréthane (kg)</t>
  </si>
  <si>
    <t>Textile (kg)</t>
  </si>
  <si>
    <t>Batterie (kg)</t>
  </si>
  <si>
    <t>Polypropène (kg)</t>
  </si>
  <si>
    <t>On fait l'hypothèse que les matelas sont composés à 100% de polyuréthane.</t>
  </si>
  <si>
    <t>On fait l'hypothèse que 50% des fauteuils sont en acier, et 50% en aluminium. On utilise la répartition de matières d'Envie, que l'on ajuste avec les poids de l'acier (plus lourd) et l'aluminium (plus léger). On fait l'hypothèse que les mousses sont en polyuréthane.</t>
  </si>
  <si>
    <t>On fait l'hypothèse que la réparition des matériaux est la même que pour les fauteuils roulants manuels.</t>
  </si>
  <si>
    <t>On néglide les scooters électriques, et on prend les données des fauteuils à pousser.</t>
  </si>
  <si>
    <t>On prend 85% de cannes, 15% de déambulateurs (cf données LPP)</t>
  </si>
  <si>
    <t>On néglige les composants électroniques pour certaines aides techniques, ce qui partipe à sous-estimer ls résultats.</t>
  </si>
  <si>
    <t>Nb d'unités consommées</t>
  </si>
  <si>
    <t>Batterie</t>
  </si>
  <si>
    <t>Polypropène</t>
  </si>
  <si>
    <t xml:space="preserve">On utilise ensuite les facteurs d'émissions issus d'EcoInvent, et on obtient : </t>
  </si>
  <si>
    <t>Total aides techniques (en tonnes)</t>
  </si>
  <si>
    <t>On considère ici la quantité d'énergie nécessaire à production des aides techniques.</t>
  </si>
  <si>
    <t>On utilise le facteur d'émissions d'Ecoinvent lié au Metal Working (à part pour les matelas), qui prend en compte l'assemblage, les pertes de matières, etc.</t>
  </si>
  <si>
    <t>Poids d'une unité</t>
  </si>
  <si>
    <t>Part des unités produites en Europe</t>
  </si>
  <si>
    <t>Emissions par unité - Europe (kgCO2e)</t>
  </si>
  <si>
    <t>Emissions par unité - Hors Europe (kgCO2e)</t>
  </si>
  <si>
    <t>On regarde ici les consommations électriques des lits médicalisés et des fauteuils roulants électriques.</t>
  </si>
  <si>
    <t>Fauteuils roulants électriques</t>
  </si>
  <si>
    <t>content</t>
  </si>
  <si>
    <t>Lit médicalisé releveur Formidable ECHO devis sous 24h</t>
  </si>
  <si>
    <t xml:space="preserve">On utilise le facteur d'émissions issu d'EcoInvent, et on obtient : </t>
  </si>
  <si>
    <t>4) Emballages</t>
  </si>
  <si>
    <t>Pour les emballages, aucune donnée n'est facilement disponible.</t>
  </si>
  <si>
    <t xml:space="preserve">On fait pour l'instant l'hypothèse suivante : </t>
  </si>
  <si>
    <r>
      <rPr>
        <b/>
        <sz val="11"/>
        <color rgb="FF7030A0"/>
        <rFont val="Arial"/>
        <family val="2"/>
        <scheme val="minor"/>
      </rPr>
      <t>Hyp :</t>
    </r>
    <r>
      <rPr>
        <sz val="11"/>
        <color theme="1"/>
        <rFont val="Arial"/>
        <family val="2"/>
        <scheme val="minor"/>
      </rPr>
      <t xml:space="preserve"> les emballages représentent 5% du poids des aides techniques, et sont composés à 70% de carton et à 30% de plastique.</t>
    </r>
  </si>
  <si>
    <t>On convertit enfin ces masses en GES avec les facteurs d'émissions issus d'EcoInvent, et on obtient :</t>
  </si>
  <si>
    <t>Quantité de carton (g)</t>
  </si>
  <si>
    <t>Quantité de plastique (g)</t>
  </si>
  <si>
    <t>5) Transport</t>
  </si>
  <si>
    <t>Tables d'opération, tables d'examen et autre mobilier pour la médecine, la chirurgie, l'art dentaire ou vétérinaire (sauf fauteuils de dentistes et autres sièges, tables d'examen radiographique, civières et brancards, y.c. chariots-brancards)</t>
  </si>
  <si>
    <t>Lits médicalisés, lèves personnes</t>
  </si>
  <si>
    <t>Fauteuils roulants et autres véhicules pour invalides (sans mécanisme de propulsion)</t>
  </si>
  <si>
    <t>Fauteuils roulants manuels, poussettes/fauteuils à pousser</t>
  </si>
  <si>
    <t>Fauteuils roulants et autres véhicules pour invalides, avec mécanisme de propulsion</t>
  </si>
  <si>
    <t>Matelas en matières plastiques alvéolaires, recouverts ou non</t>
  </si>
  <si>
    <t>Matelas pour escarre</t>
  </si>
  <si>
    <t>Cannes, cannes-sièges, fouets, cravaches et articles simil. (sauf cannes-mesures, béquilles, cannes ayant le caractère d'armes et cannes de sport)</t>
  </si>
  <si>
    <t xml:space="preserve">On fait donc l'hypothèses suivante : </t>
  </si>
  <si>
    <r>
      <rPr>
        <b/>
        <sz val="11"/>
        <color rgb="FF7030A0"/>
        <rFont val="Arial"/>
        <family val="2"/>
        <scheme val="minor"/>
      </rPr>
      <t xml:space="preserve">Hyp : </t>
    </r>
    <r>
      <rPr>
        <sz val="11"/>
        <color theme="1"/>
        <rFont val="Arial"/>
        <family val="2"/>
        <scheme val="minor"/>
      </rPr>
      <t>Dans les consommations françaises d'aides techniques, la part de la production française est égale à la part d'importations fabriqées en Europe de l'Ouest.</t>
    </r>
  </si>
  <si>
    <t>Nombre de tonnes consommées annuellement</t>
  </si>
  <si>
    <t>Part production française</t>
  </si>
  <si>
    <t>6) Livraison</t>
  </si>
  <si>
    <t xml:space="preserve">On utilise ls données de l'Annexe - logistique, et on obtient : </t>
  </si>
  <si>
    <t>Emissions liées à la livraison et au site logistique</t>
  </si>
  <si>
    <t>7) Maintenance</t>
  </si>
  <si>
    <t>On regarde ici les émissions liées aux déplacements des techniciens de maintenance.</t>
  </si>
  <si>
    <t>On regarde en particulier les lits médicalisées aux domiciles des personnes, car on considère que les maintenances pour les Ehpad/hôpitaux sont optimisées..</t>
  </si>
  <si>
    <t>Une maintenance annuelle préventive est réalisée, pour les lits médicalisés (selon les recommandations de l'AFSSAPS).</t>
  </si>
  <si>
    <t>LPP : Fiche</t>
  </si>
  <si>
    <t xml:space="preserve">Ainsi, fait les hypothèses suivantes : </t>
  </si>
  <si>
    <t>Distance parcourue par opération de maintenance</t>
  </si>
  <si>
    <t>gCO2e/km</t>
  </si>
  <si>
    <t>Et on obtient :</t>
  </si>
  <si>
    <t>Taille du parc - lits médicalisés aux domicile des personnes</t>
  </si>
  <si>
    <t>On prend le facteur d'émissions relatif aux déchets d'éléments d'ameublement</t>
  </si>
  <si>
    <t>DEA Literie/Fin de vie moyenne filière - Impacts</t>
  </si>
  <si>
    <t>kg éq. CO2/tonne de déchets</t>
  </si>
  <si>
    <t>Ainsi, on obtient :</t>
  </si>
  <si>
    <t>Masse par unité (kg)</t>
  </si>
  <si>
    <t>Récupitulatif des résultats :</t>
  </si>
  <si>
    <t>Fret</t>
  </si>
  <si>
    <t>Scanners</t>
  </si>
  <si>
    <t>IRM</t>
  </si>
  <si>
    <t>Caméras à scintillation</t>
  </si>
  <si>
    <t>Tomographes à émission/ caméras à positons</t>
  </si>
  <si>
    <t>Salles de radiologie</t>
  </si>
  <si>
    <t>Appareils de mammographie</t>
  </si>
  <si>
    <t>Appareils de radiographie dentaire standard</t>
  </si>
  <si>
    <t>Appareils de radiographie dentaire panoramique</t>
  </si>
  <si>
    <t>Echographes portables</t>
  </si>
  <si>
    <t>Echographes fixes</t>
  </si>
  <si>
    <t>Arceaux mobiles de radioscopie</t>
  </si>
  <si>
    <t>Statifs vasculaires avec arceau</t>
  </si>
  <si>
    <t>total</t>
  </si>
  <si>
    <t>Appareils de scintigraphie et de tomographie nucléaire</t>
  </si>
  <si>
    <t>Appareils de radiologie ou de mammographie</t>
  </si>
  <si>
    <t>Appareils de radiographie dentaire</t>
  </si>
  <si>
    <t>Appareils d'imagerie interventionnelle</t>
  </si>
  <si>
    <t xml:space="preserve">Par appareil : </t>
  </si>
  <si>
    <t>Appareils de scintigraphie
ou de tomographie</t>
  </si>
  <si>
    <t>Les calculs sont effectués en deux temps :</t>
  </si>
  <si>
    <t>2) On réalise ensuite une évaluation de l'empreinte carbone de ces consommations.</t>
  </si>
  <si>
    <t>I - Consommations en France d'équipements</t>
  </si>
  <si>
    <t>1) Equipements lourds d'imagerie</t>
  </si>
  <si>
    <t>Etape de calcul : recensement des équipements en France</t>
  </si>
  <si>
    <t>Pour les équipements d'imagerie, on utilise le recensement issu des données de data.gouv :</t>
  </si>
  <si>
    <t>Equipements et matériels lourds mis en oeuvre au sein des structures Finess (t_eml_finess) (DataSanté) - data.gouv.fr</t>
  </si>
  <si>
    <t>Comparaison avec les données de la DREES de 2020 (pour les établissements de santé uniquement) :</t>
  </si>
  <si>
    <t>Nombre d’appareils présents sur le site</t>
  </si>
  <si>
    <t>source : https://drees.solidarites-sante.gouv.fr/sites/default/files/2022-07/ES2022.pdf</t>
  </si>
  <si>
    <t>Nombre d'appareils en janvier 2024</t>
  </si>
  <si>
    <t>Etablissements publics et privés à but non lucratif</t>
  </si>
  <si>
    <t>Etablissements privés à but lucratif</t>
  </si>
  <si>
    <t>2) Autres équipements d'imagerie</t>
  </si>
  <si>
    <t>1) Tables de radiographie, mammographie</t>
  </si>
  <si>
    <t>Pour les établissements de santé, on utilise le recensement de la DREES de 2020 (https://drees.solidarites-sante.gouv.fr/sites/default/files/2022-07/ES2022.pdf) :</t>
  </si>
  <si>
    <t>Nombre d’appareils présents sur le site (ou de salles pour la radiologie conventionnelle)</t>
  </si>
  <si>
    <t>Salles de radiologie conventionnelle numérisée ou non (hors mammographie)</t>
  </si>
  <si>
    <t>Salles de radiologie vasculaire, y compris coronographie</t>
  </si>
  <si>
    <t xml:space="preserve">On ajoute les salles de radiographie des professionnels libéraux : </t>
  </si>
  <si>
    <t>Nombre d'actes</t>
  </si>
  <si>
    <t>https://fnmr.fr/wp-content/uploads/2023/06/FNMR-Imagerie-medicale-Un-atout-pour-la-sante-un-atout-pour-economie-2023.pdf</t>
  </si>
  <si>
    <t>Nombre d'actes par équipement par an</t>
  </si>
  <si>
    <t>https://fnmr.fr/wp-content/uploads/2022/01/FNMR-Livre-Blanc-de-limagerie-medicale-en-France-1.pdf</t>
  </si>
  <si>
    <t>Nombre d'équipements</t>
  </si>
  <si>
    <t>On obtient également le nombre d'appareils de mammographie  :</t>
  </si>
  <si>
    <t>Nombre d’appareils</t>
  </si>
  <si>
    <t>Fiche 20 - L’équipement en imagerie des établissements de santé publics et privés à but non lucratif.pdf (solidarites-sante.gouv.fr)</t>
  </si>
  <si>
    <t>2) Imagerie dentaire</t>
  </si>
  <si>
    <t>On fait l'hypothèse que 100% des fauteuils de chirurgiens dentistes sont équipés d'un appareil de radiographie intra-orale.</t>
  </si>
  <si>
    <t>On fait également l'hypothèse d'un appareil de radiographie par cabinet, ou cabinet de groupe. Or, environ 2/3 des chirurgiens dentistes exercent en cabinet de groupe.</t>
  </si>
  <si>
    <t>ondps_nov_2021_rapport_la_demographie_des_chirurgiens-dentistes_etat_des_lieux_et_perspectives_web.pdf</t>
  </si>
  <si>
    <t>On fait donc l'hypothèse que 60% des chirurgiens dentistes sont équipés d'un appareil de radiographie panoramique.</t>
  </si>
  <si>
    <t>ASIP-Santé RPPS, traitements Drees - données au 1er janvier 2023, https://drees.shinyapps.io/demographie-ps/</t>
  </si>
  <si>
    <t>Nombre d'appareils de radiographie dentaire standard</t>
  </si>
  <si>
    <t>Nombre d'appareils de radiographie panoramique</t>
  </si>
  <si>
    <t>3) Echographie</t>
  </si>
  <si>
    <t xml:space="preserve">Utilisation par les médecins généralistes libéraux </t>
  </si>
  <si>
    <t>Part des MG libéraux possédant un appareil d'échographie</t>
  </si>
  <si>
    <t>Elsa Many. Utilisation de l’échographie par les médecins généralistes en France: enquête descriptive. Médecine humaine et pathologie. 2016. _xFFFF_dumas-01290870_xFFFF_</t>
  </si>
  <si>
    <t>Nombre d'appareils d'échographie</t>
  </si>
  <si>
    <t>Utilisation à l'hôpital</t>
  </si>
  <si>
    <t>On fait ici une estimation à partir de données de centres hospitaliers :</t>
  </si>
  <si>
    <t>Groupe Hospitalier Le Havre</t>
  </si>
  <si>
    <t>CHU Amien</t>
  </si>
  <si>
    <t>CHU Besancon</t>
  </si>
  <si>
    <t>CHU Dijon</t>
  </si>
  <si>
    <t>France entière</t>
  </si>
  <si>
    <t>INNOVATION ET TECHNOLOGIE DE POINTE - Groupe Hospitalier du Havre (ch-havre.fr)</t>
  </si>
  <si>
    <t>Chiffres-clés 2023.pdf (chu-dijon.fr)</t>
  </si>
  <si>
    <t>202210_aah2021_mco.pdf (sante.fr)</t>
  </si>
  <si>
    <t>Nombre de séjours en MCO</t>
  </si>
  <si>
    <t>Nombre d'appareils par 1000 séjour</t>
  </si>
  <si>
    <t>On suppose que les échographes utilisés par les médecins généralistes sont des échographes portables, ceux utilisés à l'hôpitaux sont des échographes fixes de type station.</t>
  </si>
  <si>
    <t>4) Système d’imagerie interventionnelle</t>
  </si>
  <si>
    <t>Pour estimer le nombre d'appareils d'imagerie interventionnelle, on utilise des données d'achats hospitalier, que l'on extrapole à partir du nombre de salles d'opérations</t>
  </si>
  <si>
    <t>Arceaux mobiles de radoscopie</t>
  </si>
  <si>
    <t>3) Bilan : Achats d'équipements d'imagerie</t>
  </si>
  <si>
    <t>Etape de calcul : durée d'amortissement des équipements</t>
  </si>
  <si>
    <t>Selon l'IRSN, l’âge des scanners au moment de leur renouvellement est en moyenne de 6,1 ans.</t>
  </si>
  <si>
    <t>Parc de scanners et recommandations relatives à la radioprotection en imagerie médicale</t>
  </si>
  <si>
    <t xml:space="preserve">Pour les IRM, les scanners et les ETP, après 7 ans, les "forfaits techniques" sont réduits. </t>
  </si>
  <si>
    <t>On fait l'hypothèse que tous les équipemens lourds sont renouvelés en moyenne tous les 6,1 ans.</t>
  </si>
  <si>
    <t>Pour les appareils de radiolologie, on prend une durée de vie de 10 ans, d'après des dires d'experts.</t>
  </si>
  <si>
    <t>Pour les échographes, la durée de vie maximale recommandée par les constructeurs est de 7 ans. On prend donc une durée de vie moyenne de 7 ans.</t>
  </si>
  <si>
    <t>L'échoscopie en médecine générale: synthèse des pratiques actuelles et recommandations pour une utilisation optimale en cabinet</t>
  </si>
  <si>
    <t>Durée de vie moyenne</t>
  </si>
  <si>
    <t>Scanners, IRM, caméras à scintillation, TEP</t>
  </si>
  <si>
    <t>Salles de radiologie, appareils de mammographie</t>
  </si>
  <si>
    <t>Echographes</t>
  </si>
  <si>
    <t>Autres appareils</t>
  </si>
  <si>
    <t>On prend une durée de vie de 10 ans pour les autres appareils.</t>
  </si>
  <si>
    <t>Etape de calcul : calcul du nombre d'achats annuel</t>
  </si>
  <si>
    <t xml:space="preserve">Ainsi, on peut en déduire le nombre moyen d'achats annuels : </t>
  </si>
  <si>
    <t>Parc d'équipement</t>
  </si>
  <si>
    <t>Nombre moyen d'achats par an</t>
  </si>
  <si>
    <t>Pour les échographes fixes, on utilise finalement les données issues du recensement des équipements biomédicaux auprès des ingénieurs biomédicaux.</t>
  </si>
  <si>
    <t>Une fois la taille du parc estimé, on peux alors faire une estimation des émissions induites par ces équipements</t>
  </si>
  <si>
    <t>1) Matières premières et production des équipements</t>
  </si>
  <si>
    <t>On utilise les données des Environmental Product Declaration de la marque Siemens Healthineers :</t>
  </si>
  <si>
    <t>Type</t>
  </si>
  <si>
    <t>Ferrous alloys, steel</t>
  </si>
  <si>
    <t xml:space="preserve"> Nonferrous metals and alloys</t>
  </si>
  <si>
    <t xml:space="preserve"> Precious metals</t>
  </si>
  <si>
    <t>Other metals and semi-metals</t>
  </si>
  <si>
    <t xml:space="preserve"> Inorganic materials, ceramics </t>
  </si>
  <si>
    <t xml:space="preserve"> Other materials</t>
  </si>
  <si>
    <t>Organic substances</t>
  </si>
  <si>
    <t>Critical substances/
 Selective treatment parts</t>
  </si>
  <si>
    <t>SOMATOM X.ceed</t>
  </si>
  <si>
    <t>Scanner CT</t>
  </si>
  <si>
    <t>CC21-486_11061_CT_SOMATOM_Xceed_EPD_Brochure (scrvt.com)</t>
  </si>
  <si>
    <t>SOMATOM go.Top</t>
  </si>
  <si>
    <t>CC19-624_7854_SOMATOM_goTop_EPD_K3 (scrvt.com)</t>
  </si>
  <si>
    <t>SOMATOM Pro.Pulse</t>
  </si>
  <si>
    <t>CC24-512_15522_DI_CT_SOMATOM_ProPulse_EPD_Brochure (siemens-healthineers.com)</t>
  </si>
  <si>
    <t>SOMATOM Force</t>
  </si>
  <si>
    <t>CC20-424_8892_CT_SOMATOM_Force_EPD_Broschuere (siemens-healthineers.com)</t>
  </si>
  <si>
    <t>SOMATOM Drive</t>
  </si>
  <si>
    <t>CC20-545_8893_CT_SOMATOM_Drive_EPD_Brosch_K4 (siemens-healthineers.com)</t>
  </si>
  <si>
    <t>NAEOTOM Alpha</t>
  </si>
  <si>
    <t>https://www.hospitalstore.com/index.php?dispatch=attachments.getfile&amp;attachment_id=6801&amp;srsltid=AfmBOorEdmWv-OM_yude0NurtbSH4pSWf85Wm-Lf_WfrYhbAjaIPFnWL</t>
  </si>
  <si>
    <t>Biograph mMR</t>
  </si>
  <si>
    <t>IRM-TEP</t>
  </si>
  <si>
    <t>697_MR_Biograph_mMR_Environmental (siemens-healthineers.com)</t>
  </si>
  <si>
    <t>Magnetom Prisma</t>
  </si>
  <si>
    <t>9884_MR81_MAGNETOM_Prisma_EPD_Broschuere (scrvt.com)</t>
  </si>
  <si>
    <t>Magnetom Essanza</t>
  </si>
  <si>
    <t>marketing.webassets.siemens-healthineers.com/1800000000079271/8dbd28b3210d/MRI-MAGNETOM-ESSENZA-Environmental_product_declaration_1800000000079271.pdf</t>
  </si>
  <si>
    <t>Magnetom Vida</t>
  </si>
  <si>
    <t>CC20-151_8995_MR_EPD_Brschuere_MAGNETOM_VidaFit_K2 (scrvt.com)</t>
  </si>
  <si>
    <t>Acuson nx2</t>
  </si>
  <si>
    <t>Echographe</t>
  </si>
  <si>
    <t>9080 (diagnostikaproionta.gr)</t>
  </si>
  <si>
    <t>Acuson nx3</t>
  </si>
  <si>
    <t>9081 (diagnostikaproionta.gr)</t>
  </si>
  <si>
    <t>Acuson Juniper</t>
  </si>
  <si>
    <t>Siemens Healthineers · brochure S4 portrait · Template (siemens-healthineers.com)</t>
  </si>
  <si>
    <t>Artis Q eco</t>
  </si>
  <si>
    <t>Système d'angiographie</t>
  </si>
  <si>
    <t>marketing.webassets.siemens-healthineers.com/1800000000934423/cafafdd844ed/AX_Siemens_Artis_Q_EPD_125600505_2_1800000000934423.pdf</t>
  </si>
  <si>
    <t>MOBILETT Elara Max</t>
  </si>
  <si>
    <t>système de radiographie mobile</t>
  </si>
  <si>
    <t>https://storage.mtender.gov.md/get/28ce0eca-6f6a-4634-a81e-6abad1c7dcad-1585724394764</t>
  </si>
  <si>
    <t>Symbia Intevo</t>
  </si>
  <si>
    <t>tomographie d'émission monophotonique de pointe (TEMP)</t>
  </si>
  <si>
    <t>13_MI-3178_EPD IntevoSymbia Brochure.indd (siemens-healthineers.com)</t>
  </si>
  <si>
    <t xml:space="preserve">Pour certains appareils, on dispose de la répartition de la masse des composants via des publications : </t>
  </si>
  <si>
    <t>Métaux ferreux (acier) (en kg)</t>
  </si>
  <si>
    <t>Métaux non ferreux (en kg)</t>
  </si>
  <si>
    <t>Autre (Plastique)</t>
  </si>
  <si>
    <t>Masse totale (hors hélium)</t>
  </si>
  <si>
    <t>Hélium (litre)</t>
  </si>
  <si>
    <t>Plomb</t>
  </si>
  <si>
    <t>Marwick, T. H.; Buonocore, J. . (2011). Environmental impact of cardiac imaging tests for the diagnosis of coronary artery disease. Heart, 97(14), 1128–1131. doi:10.1136/hrt.2011.227884</t>
  </si>
  <si>
    <t>IRM - cage de Faraday</t>
  </si>
  <si>
    <t>Environ 10 tonnes. Des fois en aluminium, des fois en fer doux, etc. à partir de https://www.chu-poitiers.fr/wp-content/uploads/2019/11/IRM7T-14.11.19.pdf et de https://www.letelegramme.fr/cotes-d-armor/lannion-22300/spanirmspan-14-tonnes-de-plus-dans-lhopital-3225737.php</t>
  </si>
  <si>
    <t>Marwick, T. H.; Buonocore, J. . (2011). Environmental impact of cardiac imaging tests for the diagnosis of coronary artery disease. Heart, 97(14), 1128–1131. doi:10.1136/hrt.2011.227885</t>
  </si>
  <si>
    <t>Tomographe à émission</t>
  </si>
  <si>
    <t>Marwick, T. H.; Buonocore, J. . (2011). Environmental impact of cardiac imaging tests for the diagnosis of coronary artery disease. Heart, 97(14), 1128–1131. doi:10.1136/hrt.2011.227886</t>
  </si>
  <si>
    <t>Appareil de radiographie dentaire (type https://belmont.ca/product/phot-x-iis/)</t>
  </si>
  <si>
    <r>
      <t>Cimprich, Alexander; Karim, Karim S.; Young, Steven B. . (2017). </t>
    </r>
    <r>
      <rPr>
        <i/>
        <sz val="6"/>
        <color rgb="FF000000"/>
        <rFont val="Courier New"/>
        <family val="3"/>
      </rPr>
      <t>Extending the geopolitical supply risk method: material “substitutability” indicators applied to electric vehicles and dental X-ray equipment. The International Journal of Life Cycle Assessment, (), –. </t>
    </r>
    <r>
      <rPr>
        <sz val="6"/>
        <color rgb="FF000000"/>
        <rFont val="Courier New"/>
        <family val="3"/>
      </rPr>
      <t>doi:10.1007/s11367-017-1418-4 </t>
    </r>
  </si>
  <si>
    <t xml:space="preserve">Pour d'autres, on ne dispose que de la masse totale : </t>
  </si>
  <si>
    <t>Masse totale (kg)</t>
  </si>
  <si>
    <t>Table de radiographie</t>
  </si>
  <si>
    <t>https://www.humatem.org/telecharger_fiche_info/14</t>
  </si>
  <si>
    <t>Appareil de radiographie dentaire panoramique</t>
  </si>
  <si>
    <t>Veraview IC5 HD : Équipement de radiographie panoramique - MORITA (dentaltix.com)</t>
  </si>
  <si>
    <t>TOVAMED-Catalogue-2018.pdf</t>
  </si>
  <si>
    <t>Echographe portable</t>
  </si>
  <si>
    <t> Echographe portable : entre 5 et 10 kg. Echographe fixe : jusqu'à 150 kg</t>
  </si>
  <si>
    <t>IRM (dont cage de Faraday, hélium)</t>
  </si>
  <si>
    <t>On utilise les résultats des Environmental Profit &amp;  Loss Account , including Material Flow de Philips.</t>
  </si>
  <si>
    <t>Moyenne de market for polycarbonate, RoW, de market for polypropylene, granulate, GLO et de market for polyethylene, high density, granulate</t>
  </si>
  <si>
    <t>Part des émissions liée à la production de plastique</t>
  </si>
  <si>
    <t>https://www.philips.com/c-dam/corporate/about-philips/sustainability/downloads/ecovision-methodologies/epl-methodology.pdf</t>
  </si>
  <si>
    <t>Part des émissions liée à la production de métaux et de composants électroniques</t>
  </si>
  <si>
    <t>Enfin, pour les cages des Faraday et l'hélium des IRM, on utilise les facteurs d'émissions suivants du cuivre et de l'hélium d'EcoInvent.</t>
  </si>
  <si>
    <t>Métaux et composants électroniques</t>
  </si>
  <si>
    <t>Hélium et cage de Faraday</t>
  </si>
  <si>
    <t>Production et assemblage</t>
  </si>
  <si>
    <t>2) Utilisation : consommation d'énergie</t>
  </si>
  <si>
    <t>Consommation d'énergie en MWh/an</t>
  </si>
  <si>
    <t>kWh/jour</t>
  </si>
  <si>
    <t>Cimprich, Alexander; Karim, Karim S.; Young, Steven B. . (2017). Extending the geopolitical supply risk method: material “substitutability” indicators applied to electric vehicles and dental X-ray equipment. The International Journal of Life Cycle Assessment, (), –. doi:10.1007/s11367-017-1418-4 </t>
  </si>
  <si>
    <t>Scanner</t>
  </si>
  <si>
    <t>kWh/week</t>
  </si>
  <si>
    <t>The carbon footprint of hospital diagnostic imaging in Australia (thelancet.com)</t>
  </si>
  <si>
    <t>Echographie</t>
  </si>
  <si>
    <t>IRM 1</t>
  </si>
  <si>
    <t>kWh/mois</t>
  </si>
  <si>
    <t>Esmaeili, A.; McGuire, C.; Overcash, M.; Ali, K.; Soltani, S.; Twomey, J. Environmental impact reduction as a new dimension for quality measurement of healthcare services. Int. J. Health Care Qual. Assur. 2018, 31, 910–922</t>
  </si>
  <si>
    <t>IRM 2</t>
  </si>
  <si>
    <t>Appareils d’angiographie ou de fluoroscopie</t>
  </si>
  <si>
    <t>Interventional Imaging Systems in Radiology, Cardiology, and Urology: Energy Consumption, Carbon Emissions, and Electricity Costs | AJR (ajronline.org)</t>
  </si>
  <si>
    <t>Appareil de radiographie en salle d'opération</t>
  </si>
  <si>
    <t>Appareil de radiologie</t>
  </si>
  <si>
    <t>Medical Imaging Equipment Energy Efficiency</t>
  </si>
  <si>
    <t>Pour les IRM, on privilégie la dernière source, plus précise, et dont les valeurs se rapprochent plus des valeurs trouvées dans la littérature</t>
  </si>
  <si>
    <t>Consommation électrique annuelle (MWh)</t>
  </si>
  <si>
    <t>Gamma-caméra / tomographes à émission / caméras à positons</t>
  </si>
  <si>
    <t>On utilise les consommation des caméras à scintillation</t>
  </si>
  <si>
    <t>Radiologie</t>
  </si>
  <si>
    <t>Imagerie dentaire</t>
  </si>
  <si>
    <t>On utilise les consommation des appareils de radiologie</t>
  </si>
  <si>
    <t>Chirurgie interventionnelle</t>
  </si>
  <si>
    <t xml:space="preserve">Ainsi, à partir des facteurs d'émissons d'EcoInvent : </t>
  </si>
  <si>
    <t>Quantité d'emballage (closed packaging)</t>
  </si>
  <si>
    <t>Open Packaging</t>
  </si>
  <si>
    <t>Répartition - bois</t>
  </si>
  <si>
    <t>Répartition  - carton/papier</t>
  </si>
  <si>
    <t>Répartition  - plastiques</t>
  </si>
  <si>
    <t>Répartition  - Acier / métaux ferreux</t>
  </si>
  <si>
    <t>Quantité - bois</t>
  </si>
  <si>
    <t>Quantité - cartons/papier</t>
  </si>
  <si>
    <t>Quantité - plastiques</t>
  </si>
  <si>
    <t>Quantités - acier</t>
  </si>
  <si>
    <t>Non renseigné</t>
  </si>
  <si>
    <t>Pour les échographes portables, on fait les hypothèses suivantes (à l'aide du site https://fr.made-in-china.com/co_hocheymed/product_Hochey-Medical-CE-Approved-Laptop-Ultrasound-Scanner-Machine_uogguogneg.html)</t>
  </si>
  <si>
    <t>Quantité d'emballage (en kilos)</t>
  </si>
  <si>
    <t>Bois</t>
  </si>
  <si>
    <t>Carton/papier</t>
  </si>
  <si>
    <t>Métaux (mallette)</t>
  </si>
  <si>
    <t>Pour l' "open Packaging", on fait l'hypothèse suivante : 90% plastique, 10% plastique (https://marketing.webassets.siemens-healthineers.com/af4273f6bf7a4704/7999446ca7a7/SOMATOM-Force-Environmental-Product-Declaration.PDF)</t>
  </si>
  <si>
    <t>On fait également l'hypothèse que pour les produits en provenance d'Europe, les systèmes sont envoyés en "open packaging", et en "closed packagin sinon".</t>
  </si>
  <si>
    <t xml:space="preserve">En moyennant les données précédentes, on obtient : </t>
  </si>
  <si>
    <t>Closed packaging</t>
  </si>
  <si>
    <t>Open packaging</t>
  </si>
  <si>
    <t>Part production Europe</t>
  </si>
  <si>
    <t>Quantités moyennes de matériaux</t>
  </si>
  <si>
    <t>Métaux (acier)</t>
  </si>
  <si>
    <t>Remarque</t>
  </si>
  <si>
    <t>Faute de données, on prend les données des scanners</t>
  </si>
  <si>
    <t>Faute de données, on prend les données des échographes portables</t>
  </si>
  <si>
    <t>Faute de données, on prend les données des échographes fixes</t>
  </si>
  <si>
    <t>Total Bois (kg)</t>
  </si>
  <si>
    <t>Total carton/papier (kg)</t>
  </si>
  <si>
    <t>Total plastiques (kg)</t>
  </si>
  <si>
    <t>Total Métaux (kg)</t>
  </si>
  <si>
    <t xml:space="preserve">On convertit enfin ces masses en GES avec les facteurs d'émissions dEcoInvent, et on obtient : </t>
  </si>
  <si>
    <t xml:space="preserve">4) Logistique </t>
  </si>
  <si>
    <t>Dans cette, partie, on regarde la logistique du lieu de production jusqu'au dernier lieu de stockage de l'industriel</t>
  </si>
  <si>
    <t>Appareils de diagnostic par balayage ultrasonique [scanners]</t>
  </si>
  <si>
    <t>Appareils IRM médicaux</t>
  </si>
  <si>
    <t>Appareils de scintigraphie</t>
  </si>
  <si>
    <t>Appareils à rayons ultraviolets ou infrarouges, pour la médecine</t>
  </si>
  <si>
    <t>Appareils de tomographie pilotés par une machine automatique de traitement de l'information</t>
  </si>
  <si>
    <t>Appareils à rayons X pour l'art dentaire</t>
  </si>
  <si>
    <t>Appareils à rayons X pour usages médicaux, chirurgicaux ou vétérinaires (à l'excl. des appareils pour l'art dentaire et des appareils de tomographie pilotés par une machine automatique de traitement de l'information)</t>
  </si>
  <si>
    <t>Appareils utilisant les radiations alpha, bêta, gamma ou d’autres radiations ionisantes, à usage médical, chirurgical, dentaire ou vétérinaire</t>
  </si>
  <si>
    <t>Parties et accessoires d’appareils à rayons X</t>
  </si>
  <si>
    <t>Dispositifs générateurs de rayons X, autres que tubes à rayons X, générateurs de tension, pupitres de commande, écrans, tables, fauteuils et supports similaires d’examen ou de traitement, ainsi que les parties et accessoires des appareils de la position 9022, n.d.a.</t>
  </si>
  <si>
    <t>Instruments chirurgicaux</t>
  </si>
  <si>
    <t>Dans le cas d'une provenance hors Europe, les équipements d'imagerie sont acheminés en avion. Sinon, ils sont acheminés par camion.</t>
  </si>
  <si>
    <t xml:space="preserve">Confirmé par les données d'Eurostat, à part pour ls appareils de radio dentaires : </t>
  </si>
  <si>
    <t>Nombre de kilomètre camion - Livraison</t>
  </si>
  <si>
    <t>Masse équipement + emballage</t>
  </si>
  <si>
    <t>Nombre de ktkm camion - pays de production</t>
  </si>
  <si>
    <t>Nombre de ktkm  avion</t>
  </si>
  <si>
    <t>Nombre de ktkm camion - France</t>
  </si>
  <si>
    <t>Transport livraison</t>
  </si>
  <si>
    <t xml:space="preserve">5) Maintenance </t>
  </si>
  <si>
    <t>On étudie ici les émissions induites par les déplacements pour des interventions de maintenance préventive, curatives et les contrôles qualité.</t>
  </si>
  <si>
    <t>Nombre d'appareils</t>
  </si>
  <si>
    <t>Nombre de maintenances préventives</t>
  </si>
  <si>
    <t>Nombre de contrôle qualité externe</t>
  </si>
  <si>
    <t>Total nombre de déplacements maintenance et contrôle qualité</t>
  </si>
  <si>
    <t>à partir de https://www.utc.fr/master-qualite/public/publications/qualite_et_biomedical/UTC/master_mts/2006-2007/stages/maurel/maurel.html</t>
  </si>
  <si>
    <t>Les controles qualité sur IRM (utc.fr)</t>
  </si>
  <si>
    <t>à défault de données, on prend comme les scanners</t>
  </si>
  <si>
    <t>à défault de données, on prend comme les échographes</t>
  </si>
  <si>
    <t>CHM MAINTENANCE ECHO - 19 (ch-martigues.fr)</t>
  </si>
  <si>
    <t>On fait l'hypothèse que chaque intervention induit un déplacement d'environ 100 kilomètres par un VUL</t>
  </si>
  <si>
    <t>Distance parcourue par intervention</t>
  </si>
  <si>
    <t>Pour ce poste, on néglige la fin de vie des emballages. On compte ici les émissions induites, mais certaines émissions sont également "évitées".</t>
  </si>
  <si>
    <t xml:space="preserve">On utilise le facteur d'émissions de la Base empreinte : </t>
  </si>
  <si>
    <t>Base Empreinte : DEEE/DEEE moyen (par défaut)/Fin de vie moyenne filière - Impacts</t>
  </si>
  <si>
    <t xml:space="preserve">On peut ainsi calculer les émissions : </t>
  </si>
  <si>
    <t>Masse unitaire (kg)</t>
  </si>
  <si>
    <t>Emissions induites (ktCO2e)</t>
  </si>
  <si>
    <t>*hors hélium et cage de Faraday</t>
  </si>
  <si>
    <t>Equipements pour pathologies respiratoires</t>
  </si>
  <si>
    <t>Autres composants et assemblage</t>
  </si>
  <si>
    <t>Livraison et maintenance</t>
  </si>
  <si>
    <t>Appareils à pression positive continue</t>
  </si>
  <si>
    <t>Concentrateurs d'oxygène mobiles</t>
  </si>
  <si>
    <t>Concentrateurs d'oxygène fixes</t>
  </si>
  <si>
    <t>Réservoirs mobiles d'oxygène</t>
  </si>
  <si>
    <t>Réservoirs fixes d'oxygène</t>
  </si>
  <si>
    <t>Ventilateurs</t>
  </si>
  <si>
    <t>Appareils d'aide à la toux</t>
  </si>
  <si>
    <t>1) PCC, apnée du sommeil</t>
  </si>
  <si>
    <t>On regarde les données de remboursements de la LPP (Open LPP 2023) :</t>
  </si>
  <si>
    <t>Quantité de patients</t>
  </si>
  <si>
    <t>PPC, apnée sommeil, Patients non télésuivis</t>
  </si>
  <si>
    <t>PPC, apnée sommeil, Patients télésuivis</t>
  </si>
  <si>
    <t>PPC, apnée sommeil, autres (patients pédiatriques, phases initiales)</t>
  </si>
  <si>
    <t>PCC, apnée sommeil combinée à d'autres prestations associées à l'insuffisance respiratoire</t>
  </si>
  <si>
    <t>Total PCC apnée du sommeil</t>
  </si>
  <si>
    <t xml:space="preserve">Ainsi, si l'on considère que le parc d'appareils en France est environ égal au nombre de patients appareillés (pas d'appareils en réserve), et une durée de vie d'en moyenne 6 ans, on obtient : </t>
  </si>
  <si>
    <t>Nombre d'achats annuels d'appareils à pression positive continue</t>
  </si>
  <si>
    <t>2) Oxygénothérapie</t>
  </si>
  <si>
    <t>Prestation seule</t>
  </si>
  <si>
    <t>Prestation en association</t>
  </si>
  <si>
    <t>Concentrateur fixe</t>
  </si>
  <si>
    <t>Concentrateur mobile</t>
  </si>
  <si>
    <t>Réservoir fixe d'oxygène liquide</t>
  </si>
  <si>
    <t>Réservoir portable d'oxygène liquide</t>
  </si>
  <si>
    <t>Oxygénothérapie de longue durée en poste fixe (≤ 5 L/min) sans déambulation</t>
  </si>
  <si>
    <t>Oui</t>
  </si>
  <si>
    <t>Oxygénothérapie de longue durée oxygène liquide sans déambulation</t>
  </si>
  <si>
    <t>Oxygénothérapie de longue durée avec déambulation (concentrateur fixe + concentrateur mobile)</t>
  </si>
  <si>
    <t>Oxygénothérapie dans la dyspnée en soins palliatifs</t>
  </si>
  <si>
    <t>Oxygénothérapie dans le traitement de l’algie vasculaire de la face.</t>
  </si>
  <si>
    <t>Oxygénothérapie de courte durée</t>
  </si>
  <si>
    <t>Oxygénothérapie de longue durée, location d'un concentrateur fixe</t>
  </si>
  <si>
    <t>Total oxygénothérapie</t>
  </si>
  <si>
    <t xml:space="preserve">Ainsi, si l'on considère que le parc d'appareils en France est environ égal au nombre de patients appareillés (pas d'appareils en réserve), et si on prend une durée de vie d'environ 5 ans, on obtient : </t>
  </si>
  <si>
    <t>Nombre d'achats annuels de concentrateurs mobiles</t>
  </si>
  <si>
    <t>Nombre d'achats annuels de concentrateurs fixes</t>
  </si>
  <si>
    <t>Nombre d'achats annuels de réservoirs mobiles d'oxygène</t>
  </si>
  <si>
    <t>Nombre d'achats annuels de réservoirs fixes d'oxygène</t>
  </si>
  <si>
    <t>3) Ventilation assistée</t>
  </si>
  <si>
    <t>Pour les consommations en ville, on regarde les données de remboursements de la LPP (Open LPP 2023) :</t>
  </si>
  <si>
    <t>Forfait d'hyperinsufflations ou d'in-exsufflations (aide à la toux)</t>
  </si>
  <si>
    <t>Ventilation assistée pour trachéotomisés</t>
  </si>
  <si>
    <t>Ventilation assistée, &lt; à 12 heures</t>
  </si>
  <si>
    <t>Ventilation assistée, &gt; ou = à 12 heures</t>
  </si>
  <si>
    <t>Total ventilation assistée</t>
  </si>
  <si>
    <t xml:space="preserve">Ainsi, si l'on considère que le parc d'appareils en France est environ égal au nombre de patients appareillés (pas d'appareils en réserve), et si l'on prend une durée de vie d'en moyenne 6 ans, on obtient : </t>
  </si>
  <si>
    <t>Nombre d'achats annuels de ventilateurs</t>
  </si>
  <si>
    <t>Nombre d'achats annuels d'appareils d'aide à la toux</t>
  </si>
  <si>
    <t xml:space="preserve">On cherche dans un premier temps à estimer les poids des différents équipements biomédicaux : </t>
  </si>
  <si>
    <t>Poids moyen (kg)</t>
  </si>
  <si>
    <t>Poids source 1 (kg)</t>
  </si>
  <si>
    <t>source 1</t>
  </si>
  <si>
    <t>Poids source 2 (kg)</t>
  </si>
  <si>
    <t>source 2</t>
  </si>
  <si>
    <t>Poids source 3 (kg)</t>
  </si>
  <si>
    <t>source 3</t>
  </si>
  <si>
    <t>Poids source 4 (kg)</t>
  </si>
  <si>
    <t>source 4</t>
  </si>
  <si>
    <t>Poids source 5 (kg)</t>
  </si>
  <si>
    <t>source 5</t>
  </si>
  <si>
    <t>AirSense 11 avec Humidificateur - PPC ResMed | CPAP STORE</t>
  </si>
  <si>
    <t>AirSense 10 Elite - Appareil de ventilation PPC à pression fixe | ResMed</t>
  </si>
  <si>
    <t>Les concentrateurs d'oxygène portables</t>
  </si>
  <si>
    <t>Concentrateur d'oxygène portable - Le nouvel Inogen Rove 6 - Meilleur prix garanti</t>
  </si>
  <si>
    <t>RAPPORT_OXYGENOTHERAPIE</t>
  </si>
  <si>
    <t>carie-hi-flow-stroller-brochure.pdf</t>
  </si>
  <si>
    <t>caire-sprint-stroller-brochure.pdf</t>
  </si>
  <si>
    <t>caire-liberator-brochure.pdf</t>
  </si>
  <si>
    <t>lumis-st_user-guide_fre_fre.pdf</t>
  </si>
  <si>
    <t>stellar-100-150_user-guide_fre_fre.pdf</t>
  </si>
  <si>
    <t>lumis-hft_user-guide_eur1_mul.pdf</t>
  </si>
  <si>
    <t>DREAMSTATION BIPAP AUTOSV</t>
  </si>
  <si>
    <t>Aide à la toux, in-exsufflateur avec mode percussion COMFORTCOUGH II - Mediflux</t>
  </si>
  <si>
    <t>Kalos assistant de toux</t>
  </si>
  <si>
    <t>brochure-eovetm-70.pdf</t>
  </si>
  <si>
    <t>On regarde ensuite les facteurs d'émissions des équipements biomédicaux, calculés dans la section "équipements biomédicaux" :</t>
  </si>
  <si>
    <t>Autres composants</t>
  </si>
  <si>
    <t>Assemblage</t>
  </si>
  <si>
    <t>Total - matières premières et production</t>
  </si>
  <si>
    <t>On compare ensuite avec des données partagées par des industriels pour des équipements respiratoires :</t>
  </si>
  <si>
    <t>Facteur d'émissions pour la production (kgCO2e/kg)</t>
  </si>
  <si>
    <t>Donnée 1</t>
  </si>
  <si>
    <t>Donnée 2</t>
  </si>
  <si>
    <t xml:space="preserve">Ces données semblent confirmer l'ordre de grandeur calculé à la partie 'équipements biomédicaux". Ainsi, on obtient : </t>
  </si>
  <si>
    <t>Masse totale par unité (kg)</t>
  </si>
  <si>
    <t>Empreinte carbone par unité (en kgCO2e)</t>
  </si>
  <si>
    <t>Autres composants, assemblage</t>
  </si>
  <si>
    <t xml:space="preserve">On cherche dans un premier temps à estimer les consommations d'énergie des différents équipements biomédicaux : </t>
  </si>
  <si>
    <t>Consommation annuelle moyenne (kWh)</t>
  </si>
  <si>
    <t>On prend une consomamtion typique et une durée de nuit moyenne de 8 heures par jour.</t>
  </si>
  <si>
    <t>airsense10-autoset-elite_user-guide_eur4_mul.pdf</t>
  </si>
  <si>
    <t>On prend une consommation de 300W, 20h/jour</t>
  </si>
  <si>
    <t>Données interne</t>
  </si>
  <si>
    <t>On utilise ensuite les facteurs d'émissions d'EcoInvent, et on obtient :</t>
  </si>
  <si>
    <t>Consommations électricité</t>
  </si>
  <si>
    <t>A partir de données internes, on fait l'hypothèse que les emballages sont composés à 50% de plastique, et à 50% de carton.</t>
  </si>
  <si>
    <t>On utilise également les facteurs d'émissions issus d'EcoInvent.</t>
  </si>
  <si>
    <t xml:space="preserve">On a également : </t>
  </si>
  <si>
    <t>Emissions induites par les packaging (kgCO2e)</t>
  </si>
  <si>
    <t>Poids des packaging (kg)</t>
  </si>
  <si>
    <t>Poids des produits (kg)</t>
  </si>
  <si>
    <t>Ratio</t>
  </si>
  <si>
    <t>Produit 1</t>
  </si>
  <si>
    <t>Produit 2</t>
  </si>
  <si>
    <t>Le poids du packaging est environ 1,7 fois le poids des produits pour équipements mobiles, et le poids est négligeable pour les équipements fixes.</t>
  </si>
  <si>
    <t>Masse packaging par unité (kg)</t>
  </si>
  <si>
    <t>Emissions induites par unité (kgCO2e)</t>
  </si>
  <si>
    <t>Ventilateurs non invasifs</t>
  </si>
  <si>
    <t>PPC, ventilateurs</t>
  </si>
  <si>
    <t>Appareils d'oxygénothérapie</t>
  </si>
  <si>
    <t>Concentrateurs, réservoris</t>
  </si>
  <si>
    <t>Part probablement sur-estimée, d'après des discussions avec des industriels.</t>
  </si>
  <si>
    <t xml:space="preserve">On utilise également les données d'Eurostat pour les parts modales : </t>
  </si>
  <si>
    <t>HS code 901920</t>
  </si>
  <si>
    <t>Part pour les importations de pays hors Europe en UE</t>
  </si>
  <si>
    <t>On rappelle le poids des produits (dont emballages) :</t>
  </si>
  <si>
    <t>Emissions par unité - production hors Europe (kgCO2e)</t>
  </si>
  <si>
    <t>Emissions par unité - production Europe hors France (kgCO2e)</t>
  </si>
  <si>
    <t>Emissions par unité - production France (kgCO2e)</t>
  </si>
  <si>
    <t>Emissions moyennes par produit (kgCO2e)</t>
  </si>
  <si>
    <t>5) Livraison et maintenance</t>
  </si>
  <si>
    <t>Maintenance préventive 1x par an</t>
  </si>
  <si>
    <t>Ventilation assistée :</t>
  </si>
  <si>
    <t>Visites régulières à domicile tous les deux à quatre mois</t>
  </si>
  <si>
    <t>Surveillance de l'état du matériel tous les trois à six mois</t>
  </si>
  <si>
    <t>On fait l'hypothèse de 4 visites par an + la livraison.</t>
  </si>
  <si>
    <t>Oxygénothérapie - concentrateurs</t>
  </si>
  <si>
    <t xml:space="preserve">Visites à domicile, selon la fréquence suivante :  - la première visite de suivi a lieu entre un et trois mois après la visite d’installation, puis les visites ont lieu tous les trois à six mois ou lors d’une modification du traitement par 
oxygénothérapie ;  </t>
  </si>
  <si>
    <t>On fait l'hypothèse de 3 visites par an + la livraison.</t>
  </si>
  <si>
    <t>Oxygène liquide :</t>
  </si>
  <si>
    <t>pour les patients disposant d’oxygène liquide, la fréquence des visites dépend de la fréquence des réapprovisionnements en oxygène liquide</t>
  </si>
  <si>
    <t>fréquence moyenne = une à deux semaines ?</t>
  </si>
  <si>
    <t>On fait l'hypothèse de 30 visites par an.</t>
  </si>
  <si>
    <t xml:space="preserve">PPC : </t>
  </si>
  <si>
    <t>Le traitement par Pression Positive Continue (PPC) | Prestataires de santé à domicile</t>
  </si>
  <si>
    <t>1 livraison + 3 visites dans les 4 premiers mois</t>
  </si>
  <si>
    <t>Puis une visite annuelle</t>
  </si>
  <si>
    <t>On a donc 1 visite par an + 3 supplémentaires la première année.</t>
  </si>
  <si>
    <t>Attention : les hypothèses formulées ci-haut ne prennent pas en considération : les dépannages, les changements de paramètres, changements de matériel, les urgences et retraits de fin de traitement (difficilement estimables)</t>
  </si>
  <si>
    <t>Nombre de visites annuelles</t>
  </si>
  <si>
    <t>On fait l'hypothèse que chaque intervention induit un déplacement d'environ 20 kilomètres par un VUL</t>
  </si>
  <si>
    <t>Emissions annuelles (ktCO2e)</t>
  </si>
  <si>
    <t>DAE</t>
  </si>
  <si>
    <t>Générateurs d'hémodialyse</t>
  </si>
  <si>
    <t>Equipements de radiothérapie</t>
  </si>
  <si>
    <t>Ventilateurs d'anesthésie et de réanimation</t>
  </si>
  <si>
    <t>Robots chirurgicaux</t>
  </si>
  <si>
    <t>Pompes à perfusion</t>
  </si>
  <si>
    <t>Pousse-seringues</t>
  </si>
  <si>
    <t>Pompes à nutrition (entérale ou parentérale)</t>
  </si>
  <si>
    <t>Autoclaves</t>
  </si>
  <si>
    <t>Laveurs désinfecteurs</t>
  </si>
  <si>
    <t>Colonnes d’endoscopie et de coelioscopie</t>
  </si>
  <si>
    <t>Moniteurs multi-paramétriques (ECG/PNI/SPO2, etc.)</t>
  </si>
  <si>
    <t>Aspirateurs de mucosités</t>
  </si>
  <si>
    <t>Total avec Chiffre AFIB</t>
  </si>
  <si>
    <t>1) Générateurs d'hémodialyse</t>
  </si>
  <si>
    <t>On regarde les données de la Statistique annuelle des établissements de santé (SAE) de 2023 :</t>
  </si>
  <si>
    <t>Nombre de générateurs d'hémodialyse</t>
  </si>
  <si>
    <t>Les générateurs d'hémodialyse ont une durée de vie réglementée de 10 ans maximum, on considère donc que 10% des générateurs sont renouvelés chaque année :</t>
  </si>
  <si>
    <t>Nombre d'achats annuels de générateurs d'hémodialyse</t>
  </si>
  <si>
    <t>2) Appareils de radiothérapie</t>
  </si>
  <si>
    <t xml:space="preserve">Les appareils de radiothérapie sont des appareils de traitement qui utilisent des rayons X ou des radionucléides. </t>
  </si>
  <si>
    <t>Ils comprennent les accélérateurs linéaires, les appareils au cobalt 60, les appareils au césium 137, les tubes à rayons X (radiothérapie superficielle à profonde), les appareils de curiethérapie à bas débit de dose ou à haut débit de dose et les appareils de curiethérapie conventionnelle.</t>
  </si>
  <si>
    <t>On regarde les données de l'observatoire national de la radiothérapie de 2021 :</t>
  </si>
  <si>
    <t>Nombre d’appareils de radiothérapie (hors curiethérapie)</t>
  </si>
  <si>
    <t>L'amortissement des appareils est de 7 à 12 ans (https://www.ccomptes.fr/sites/default/files/2023-10/20221004-Ralfss-2022-5-radiotherapie.pdf)</t>
  </si>
  <si>
    <t xml:space="preserve">On prend une durée de vie moyenne de 10 ans. Ainsi, on obtient : </t>
  </si>
  <si>
    <t>Nombre d’achats annuels d'appareils de radiothérapie</t>
  </si>
  <si>
    <t>Modele d'accelerateur linéaire classique : VersaHD/EVO : 6500 kg  + 1655 kg pour la table</t>
  </si>
  <si>
    <t>On prendra donc un poids moyen de 8155 kg</t>
  </si>
  <si>
    <t>3) DAE</t>
  </si>
  <si>
    <t xml:space="preserve">On utilise le chiffre circulant dans de nombreuses sources : </t>
  </si>
  <si>
    <t>Défaillances des défibrillateurs cardiaques dans les lieux publics</t>
  </si>
  <si>
    <t>Nombre de DAE</t>
  </si>
  <si>
    <t>Les DAE ont ils une durée de vie ? |Défibrillateur ERP</t>
  </si>
  <si>
    <t>Nombre d’achats annuels de DAE</t>
  </si>
  <si>
    <t>DefiSign LIFE DAE semi-automatique | Defibrillateurhop.fr</t>
  </si>
  <si>
    <t>On prendra également un poids moyen de 3,5 kg</t>
  </si>
  <si>
    <t>4) Autoclaves et laveurs-désinfecteurs - dentistes</t>
  </si>
  <si>
    <t xml:space="preserve">Non traité à ce jour. </t>
  </si>
  <si>
    <t>5) Autres équipements électro-médicaux : bras et robots chirurgicaux, colonnes d'imagerie, autoclaves/laveurs désinfecteurs, moniteurs, pousse-seringue, etc.</t>
  </si>
  <si>
    <t xml:space="preserve">On utilise des données de recensements auprès de 10 centres hospitaliers : </t>
  </si>
  <si>
    <t>ER1315EMB.pdf</t>
  </si>
  <si>
    <t>drees.solidarites-sante.gouv.fr/sites/default/files/2024-09/ES24MAJ260924.pdf</t>
  </si>
  <si>
    <t>Ratio moyen pour 100 lits sur 10 centres hospitaliers</t>
  </si>
  <si>
    <t>Extrapolation total France</t>
  </si>
  <si>
    <t>Extrapolation total public</t>
  </si>
  <si>
    <t>Clé d'extrapolation</t>
  </si>
  <si>
    <t>Facteur multiplicatif public/privé</t>
  </si>
  <si>
    <t>Extrapolation total France v2</t>
  </si>
  <si>
    <t>Masse unitaire</t>
  </si>
  <si>
    <t>Masse total en tonnes</t>
  </si>
  <si>
    <t>Nombre de lits et places</t>
  </si>
  <si>
    <t>Type d'établissement</t>
  </si>
  <si>
    <t>Nombres lits/places chirurgie</t>
  </si>
  <si>
    <t>Nombres de lits/places MCO</t>
  </si>
  <si>
    <t>Nombres lits/places totaux</t>
  </si>
  <si>
    <t>Echographes (ne concernent pas les ultra-portables)</t>
  </si>
  <si>
    <t xml:space="preserve">On utilise également les durées de vie suivantes (basée sur des entretiens avec des experts) : </t>
  </si>
  <si>
    <t>Durée de vie</t>
  </si>
  <si>
    <t>6) Bilan</t>
  </si>
  <si>
    <t>Masse par appareil (en kg)</t>
  </si>
  <si>
    <t>Masse totale (en tonnes)</t>
  </si>
  <si>
    <t>Autre chiffre :</t>
  </si>
  <si>
    <t>Afib</t>
  </si>
  <si>
    <t xml:space="preserve">près de 360 000 dispositifs médicaux électriques (hors mobilier médical) sont réformés tous les ans par vos soins, soit environ 8 600 tonnes en 2020.  </t>
  </si>
  <si>
    <t>Les gros dispositifs de plus de 50 kg représentent 5% de ces équipements réformés en nombre mais 25% en poids. Quant à leur devenir, il en résulte que :</t>
  </si>
  <si>
    <t xml:space="preserve">Les dispositifs médicaux électriques sont en 2020 majoritairement mis au rebut pour recyclage (63 % en unités et 51 % en poids). </t>
  </si>
  <si>
    <t>60% d’entre eux seraient remis directement à ecosystem, majoritairement les plus petits en caisse grillagée ; les gros équipements sont remis à part égale à ecosystem ou à des prestataires de déchets, en général en contrat avec ecoystem.</t>
  </si>
  <si>
    <t>10 % des équipements réformés sont stockés ou conservés pour pièces.</t>
  </si>
  <si>
    <t xml:space="preserve">La reprise par le loueur ou le fournisseur de l’ancien ou du nouvel équipement et la revente représentent plus de 40 % des équipements médicaux réformés (48% en poids), probablement majoritairement destinées au marché du réemploi et du reconditionnement.  </t>
  </si>
  <si>
    <t>Autres équipements</t>
  </si>
  <si>
    <t>Total étab</t>
  </si>
  <si>
    <t>Total etab</t>
  </si>
  <si>
    <t>Total AFIB</t>
  </si>
  <si>
    <t>Autres equipements en établissement</t>
  </si>
  <si>
    <t>Source 1 : Ecoinvent , divers équipements électroniques</t>
  </si>
  <si>
    <t xml:space="preserve">On regarde des facteurs d'émissions d'équipements électroniques sur EcoInvent : </t>
  </si>
  <si>
    <t>Emissions par kg</t>
  </si>
  <si>
    <t>Equipement 1</t>
  </si>
  <si>
    <t>Equipement 2</t>
  </si>
  <si>
    <t>Equipement 3</t>
  </si>
  <si>
    <t>Equipement 4</t>
  </si>
  <si>
    <t>Equipement 5</t>
  </si>
  <si>
    <t>Equipement 6</t>
  </si>
  <si>
    <t>Equipement 7</t>
  </si>
  <si>
    <t>Equipement 8</t>
  </si>
  <si>
    <t>Equipement 9</t>
  </si>
  <si>
    <t>Equipement 10</t>
  </si>
  <si>
    <t xml:space="preserve">Médiane : </t>
  </si>
  <si>
    <t>Source 2 : ACV partagées par des industriels</t>
  </si>
  <si>
    <t xml:space="preserve">On regarde ensuite des données transmises par des industriels : </t>
  </si>
  <si>
    <t>FE (en kgCO2e/kg)</t>
  </si>
  <si>
    <t>ACV partagée par industriel - 1</t>
  </si>
  <si>
    <t>ACV partagée par industriel - 2</t>
  </si>
  <si>
    <t>ACV partagée par industriel - 3</t>
  </si>
  <si>
    <t>ACV partagée par industriel - 4</t>
  </si>
  <si>
    <t xml:space="preserve">On retient finalement la décomposition suivante issue d'EcoInvent : </t>
  </si>
  <si>
    <t>Répartition poids</t>
  </si>
  <si>
    <t>Carte de circuit imprimé</t>
  </si>
  <si>
    <t>Composants métalliques</t>
  </si>
  <si>
    <t>Cables divers</t>
  </si>
  <si>
    <t>EcoInvent - Equipement 5</t>
  </si>
  <si>
    <t>Répartition empreinte carbone</t>
  </si>
  <si>
    <t>EcoInvent - Equipement 6</t>
  </si>
  <si>
    <t>EcoInvent - Equipement 7</t>
  </si>
  <si>
    <t>Câbles</t>
  </si>
  <si>
    <t>EcoInvent - Equipement 8</t>
  </si>
  <si>
    <t>Cf EcoInvent</t>
  </si>
  <si>
    <t xml:space="preserve">Empreinte totale : </t>
  </si>
  <si>
    <t xml:space="preserve">On regarde des données transmises par des industriels : </t>
  </si>
  <si>
    <t>FE (kgCO2e/kg de produit)</t>
  </si>
  <si>
    <t>Poids des emballages (en kg/kg de produit)</t>
  </si>
  <si>
    <t>ACV 1</t>
  </si>
  <si>
    <t>Equipements standards</t>
  </si>
  <si>
    <t>ACV 2</t>
  </si>
  <si>
    <t>Robots et radiothérapie</t>
  </si>
  <si>
    <t>ACV 3</t>
  </si>
  <si>
    <t xml:space="preserve">Pour les équipements de radiothérapie et les bras chirurgicaux, on prend les données calculés pour les équipements d'imagerie (emballages essentiellement en caissons en bois) : </t>
  </si>
  <si>
    <t>Moyenne imagerie (en kgCO2e/kg)</t>
  </si>
  <si>
    <t xml:space="preserve">Enfin, pour les DAE, on rajoute un boîtier en plastique de 1kg/kg de DAE (données obtenue à partir d'EcoInvent) : </t>
  </si>
  <si>
    <t>Boïtier DAE (en kgCO2e/kg)</t>
  </si>
  <si>
    <t xml:space="preserve">On regarde les données des douanes françaises : </t>
  </si>
  <si>
    <t>Catégorie d'appareil</t>
  </si>
  <si>
    <t>Stérilisateurs médico-chirurgicaux</t>
  </si>
  <si>
    <t>Électrocardiographes</t>
  </si>
  <si>
    <t>Appareils de surveillance médicale</t>
  </si>
  <si>
    <t>Ventilateurs invasifs</t>
  </si>
  <si>
    <t>Appareils de radiothérapie</t>
  </si>
  <si>
    <t>Appareils d'électrodiagnostic, dont appareils d'exploration fonctionnelle</t>
  </si>
  <si>
    <t xml:space="preserve">Pour les importations extra-européennes, on regarde la répartition issue des données des douanes européennes : </t>
  </si>
  <si>
    <t>UE</t>
  </si>
  <si>
    <t>FR</t>
  </si>
  <si>
    <t>Part du fret aérien dans les importations</t>
  </si>
  <si>
    <t>Medical, surgical or laboratory sterilizers</t>
  </si>
  <si>
    <t>Electro-cardiographs</t>
  </si>
  <si>
    <t>Electro-diagnostic apparatus, incl. apparatus for functional exploratory examination or for checking physiological parameters (excl. electro-cardiographs, ultrasonic scanning apparatus, magnetic resonance imaging apparatus and scintigraphic apparatus)</t>
  </si>
  <si>
    <t>Instruments and appliances used in medical, surgical or veterinary sciences, n.e.s.</t>
  </si>
  <si>
    <t>Ozone therapy, oxygen therapy, aerosol therapy, artificial respiration or other therapeutic respiration apparatus, incl. parts and accessories</t>
  </si>
  <si>
    <t>On fait également l'hypothèse que la part de la production française est égale à 1/3 de la part de l'Europe de l'Ouest.</t>
  </si>
  <si>
    <t>Nombre de kilomètre bâteau</t>
  </si>
  <si>
    <t>Emissions en kgCO2e/kg</t>
  </si>
  <si>
    <t>Emissions camion pays de production</t>
  </si>
  <si>
    <t>Emissions avion</t>
  </si>
  <si>
    <t>Emissions bâteau</t>
  </si>
  <si>
    <t>Emissions camion - France</t>
  </si>
  <si>
    <t>Emissions - distribution</t>
  </si>
  <si>
    <t>4) Utilisation</t>
  </si>
  <si>
    <t>1) Radiothérapie</t>
  </si>
  <si>
    <t>Source : Ali et al. 2024, Methodological guide for assessing the carbon footprint of external beam radiotherapy: A single-center study with quantified mitigation strategies</t>
  </si>
  <si>
    <t>According to Chuter et al., [12] the average CO2eq emission due to one LINAC is 3,300 kg CO2eq/LINAC/year.</t>
  </si>
  <si>
    <t>For three LINAC, he accelerators’ electricity consumption accounted for 14 % to 28 % of the total electricity consumption (392 943 kWh).</t>
  </si>
  <si>
    <t>Emissions par an et par appareil</t>
  </si>
  <si>
    <t>kgCO2e/an/appareil</t>
  </si>
  <si>
    <t>Fuites de SF6</t>
  </si>
  <si>
    <t>Consommations d'électricité</t>
  </si>
  <si>
    <t>Calculé à partir des données d'EcoInvent</t>
  </si>
  <si>
    <t>2) Générateurs d'hémodialyse</t>
  </si>
  <si>
    <t>Hémodialyse &amp; Ecologie : Quel impact sur notre environnement ? – NEPHROHUG</t>
  </si>
  <si>
    <t>3,6 kWh/séance, 402 séances/an/générateur</t>
  </si>
  <si>
    <t>3) Ventilateurs d'anesthésie et de réanimation</t>
  </si>
  <si>
    <t>savina-300-niv-pi-9110735-fr-fr.pdf</t>
  </si>
  <si>
    <t>Puissance moyenne d’environ 300 W</t>
  </si>
  <si>
    <t>Environ 1000 kWh/an</t>
  </si>
  <si>
    <t>kgCO2e par an appareil</t>
  </si>
  <si>
    <t xml:space="preserve">Consommation d'électricité </t>
  </si>
  <si>
    <t>4) Autoclaves et laveurs-désinfecteurs - hôpital</t>
  </si>
  <si>
    <t>Évaluer les énergies et les consommations mises en jeu – Energie Plus Le Site</t>
  </si>
  <si>
    <t>En supposant 5 cycles par jour sur 250 jours ouvrables</t>
  </si>
  <si>
    <t>kWh/an/appareil</t>
  </si>
  <si>
    <t>Consommation d'électricité - préchauffage</t>
  </si>
  <si>
    <t>Consommation d'électricité - cycles</t>
  </si>
  <si>
    <t>Consommation d'électricité - entre les cycles</t>
  </si>
  <si>
    <t>Laveur-désinfecteur Miele PG 8536, 21.775,90€</t>
  </si>
  <si>
    <t>Consommation électrique (kWh)</t>
  </si>
  <si>
    <t>Consommation électrique annuelle (3 cycles de 80 minutes par jour, 250 jours/an)</t>
  </si>
  <si>
    <t>Consommation d'électricité - laveur désinfecteur</t>
  </si>
  <si>
    <t>5) Autres appareils</t>
  </si>
  <si>
    <t>Pour les autres appareils, on fait l'hypothèse d'une consommation par kg d'appareil de 0,9 kgCO2e/kg d'appareil.</t>
  </si>
  <si>
    <t>kgCO2e par an par kg d'appareil</t>
  </si>
  <si>
    <t>Emissions de GES</t>
  </si>
  <si>
    <t>On obtient finalement</t>
  </si>
  <si>
    <t>kgCO2e / an / appareil</t>
  </si>
  <si>
    <t>kgCO2e/an/kg d'apparreil</t>
  </si>
  <si>
    <t>5) Maintenance</t>
  </si>
  <si>
    <t>1) Défibrillateurs automatisés externes (DAE)</t>
  </si>
  <si>
    <t>Microsoft Word - La maintenance des deÌ†fibrillateurs pour CIRCODEF-V4 (002).docx</t>
  </si>
  <si>
    <t>Compte tenu de l’état actuel du parc, une vérification sur site est nécessaire chaque année ou au moins tous les deux ans.</t>
  </si>
  <si>
    <t>Nombre de visites annuelle par appareil</t>
  </si>
  <si>
    <t>Emissions annuelles (kgCO2e)</t>
  </si>
  <si>
    <t>2) Autres appareils</t>
  </si>
  <si>
    <t xml:space="preserve">Pour chaque autre appareil, on fait également l'hypothèse suivante : </t>
  </si>
  <si>
    <t>1 à 2</t>
  </si>
  <si>
    <t xml:space="preserve">Cf pompes de nutrition : </t>
  </si>
  <si>
    <t>https://www.fresenius-kabi.com/content/dam/fresenius-kabi/ch/documents/Gebrauchsanweisungen/Applix%20Smart%20Gebrauchsanweisung/Applix_Smart_Notice_utilisation.pdf</t>
  </si>
  <si>
    <t xml:space="preserve">Cf pousse-seringues : </t>
  </si>
  <si>
    <t>pousse-seringue-electrique-procedure-de-maintenance-preventive.pdf</t>
  </si>
  <si>
    <t>Cf aspirateurs de mucosité</t>
  </si>
  <si>
    <t>aspirateur-a-mucosites-procedure-de-maintenance-preventive.pdf</t>
  </si>
  <si>
    <t>On fait également l'hypothèse que pour les "petits" appareils, les visites sont mutualisées.</t>
  </si>
  <si>
    <t>Pour les gros appareils, on fait l'hypothèse de 3 visites par an (cf onglet "imagerie")</t>
  </si>
  <si>
    <t xml:space="preserve">On fait au final les hypothèses suivantes : </t>
  </si>
  <si>
    <t>Nombre de visites par an (divisé par le nombre d'appareils controlés pour chaque visite)</t>
  </si>
  <si>
    <t>Production du titane</t>
  </si>
  <si>
    <t>Production de chrome-cobalt</t>
  </si>
  <si>
    <t>Production des autres matériaux</t>
  </si>
  <si>
    <t>Traitement de surface, stérilisation, salles blanches</t>
  </si>
  <si>
    <t>Production des emballages et notices</t>
  </si>
  <si>
    <t>Implants articulaires de genoux</t>
  </si>
  <si>
    <t>Implants articulaires de hanche</t>
  </si>
  <si>
    <t>On compare nos résultats avec une autre étude de la littérature :</t>
  </si>
  <si>
    <t>The carbon footprint of products used in five common surgical operations: identifying contributing products and processes</t>
  </si>
  <si>
    <t>Empreinte carbone en kg</t>
  </si>
  <si>
    <t>Rizan, 2023</t>
  </si>
  <si>
    <t>Pour un implant de 251,99 grammes</t>
  </si>
  <si>
    <t>Pour un implant de 412,32 grammes</t>
  </si>
  <si>
    <t>Il est probable que les données de la littérature soien fortement sous-estimées.</t>
  </si>
  <si>
    <t>1) Généralités</t>
  </si>
  <si>
    <t>Les opérations de pose de prothèse de hanche ou de genou figurent parmi les opérations les plus fréquentes en France, avec près de 170 000 pose de prothèses de hanche et 120 000 prothèses de genou par an en France.</t>
  </si>
  <si>
    <t>Nombre d'opération pour 100 000 habitants, France</t>
  </si>
  <si>
    <t>Nombre d'opération pour 100 000 habitants, Moyenne OCDE</t>
  </si>
  <si>
    <t>Nombre total d'opération par an, France</t>
  </si>
  <si>
    <t>Pose de prothèse de hanche</t>
  </si>
  <si>
    <t>Pose de prothèse de genou</t>
  </si>
  <si>
    <t>Source : Health at Glance 2018, OECD indicators</t>
  </si>
  <si>
    <t xml:space="preserve">On observe d'ailleurs une augmentation tendancielle importante : </t>
  </si>
  <si>
    <t xml:space="preserve">Enfin, ces implant représentent un coût conséquent : environ 1,4 milliards d'euros de remboursement par l'Assurance Maladie en 2023, en grande partie pour des prothèses articuliares : </t>
  </si>
  <si>
    <t>Type d'implant de genou</t>
  </si>
  <si>
    <t>Somme des remboursements (en €)</t>
  </si>
  <si>
    <t>Implants articulaires de genou</t>
  </si>
  <si>
    <t>Implants du rachis</t>
  </si>
  <si>
    <t>Implants articulaires d'épaule</t>
  </si>
  <si>
    <t>Autres implants articulaires (doigts, poignet, etc.)</t>
  </si>
  <si>
    <t>Implants d'ostéosynthèse</t>
  </si>
  <si>
    <t>Implants ou substituts osseux</t>
  </si>
  <si>
    <t>Implants tendineux</t>
  </si>
  <si>
    <t>Ligaments artificiels</t>
  </si>
  <si>
    <t>Autres implants orthopédiques</t>
  </si>
  <si>
    <t>2) Implants articulaires de genoux</t>
  </si>
  <si>
    <t>On s'intéresse dans un premier temps aux prothèses de genoux.</t>
  </si>
  <si>
    <t xml:space="preserve">Si l'on regarde plus en détail les remboursements en prothèse de genoux de la LPP et de la liste en sus, on obtient cette décomposition : </t>
  </si>
  <si>
    <t>Nombre d'implants posés</t>
  </si>
  <si>
    <t>Implant fémoral (tige fémorale standard incluse)</t>
  </si>
  <si>
    <t>Implant fémoral de reprise, standard ou postéro stabilisé</t>
  </si>
  <si>
    <t>Implant trochléen</t>
  </si>
  <si>
    <t>Implant patellaire</t>
  </si>
  <si>
    <t>Implant complémentaire</t>
  </si>
  <si>
    <t>Implant méniscal</t>
  </si>
  <si>
    <t>Implant tibial</t>
  </si>
  <si>
    <t>Dont implant bicompartimental</t>
  </si>
  <si>
    <t>dont implant unicompartimental, embase de reprise</t>
  </si>
  <si>
    <t>Au vue de la répartition, on s'intéressera aux implants fémoral, tibial et patellaires.</t>
  </si>
  <si>
    <t>On fait également l'hypothèse d'un insert par implant fémoral ou tibial.</t>
  </si>
  <si>
    <t xml:space="preserve">On obtient donc le tableau suivant : </t>
  </si>
  <si>
    <t>Type d'implant</t>
  </si>
  <si>
    <t>Nombre posé</t>
  </si>
  <si>
    <t>Implant fémoral</t>
  </si>
  <si>
    <t>Implant tibial bbicompartimental</t>
  </si>
  <si>
    <t>Insert tibial implant bicompartimental</t>
  </si>
  <si>
    <t>Implant tibial unicompartimental</t>
  </si>
  <si>
    <t>Insert tibial implant unicompartimental</t>
  </si>
  <si>
    <t>3) Implants articulaires de hanche</t>
  </si>
  <si>
    <t>On s'intéresse dans un second temps aux prothèses de hanche.</t>
  </si>
  <si>
    <t xml:space="preserve">Si l'on regarde plus en détail les remboursements de la LPP et de la liste en sus, on obtient cette décomposition : </t>
  </si>
  <si>
    <t>Type d'implant de hanche</t>
  </si>
  <si>
    <t>Accessoires pour pose implants articulaires</t>
  </si>
  <si>
    <t>Autres implants</t>
  </si>
  <si>
    <t>Col modulaire</t>
  </si>
  <si>
    <t>Cotyles à insert à double mobilité</t>
  </si>
  <si>
    <t>Cotyles et cupules</t>
  </si>
  <si>
    <t>Implants spéciaux sur mesure</t>
  </si>
  <si>
    <t>Inserts seuls</t>
  </si>
  <si>
    <t>Système de reconstruction acétabulaire</t>
  </si>
  <si>
    <t>Tête et tête à jupe</t>
  </si>
  <si>
    <t>Tige anatomique (col inclus)</t>
  </si>
  <si>
    <t>Tige de reconstruction (col inclus)</t>
  </si>
  <si>
    <t>Tige de reprise (col inclus)</t>
  </si>
  <si>
    <t>Tige standard (col inclus)</t>
  </si>
  <si>
    <t>Au vue de la répartition, on s'intéressera aux tiges et cols, têtes, inserts et cotyles.</t>
  </si>
  <si>
    <t>On regarde également dans les données de l'assruance maladie la répartition entre tiges et cols cimentées et non cimentées.</t>
  </si>
  <si>
    <t>Tiges et cols cimentées</t>
  </si>
  <si>
    <t>Tiges et cols non cimentées</t>
  </si>
  <si>
    <t>Têtes et têtes à jupe</t>
  </si>
  <si>
    <t>Inserts</t>
  </si>
  <si>
    <t>Cotyle</t>
  </si>
  <si>
    <t>4) Prothèses de rachis</t>
  </si>
  <si>
    <t>On s'intéresse ensuite aux prothèses de rachis.</t>
  </si>
  <si>
    <t>Type d'implant de rachis</t>
  </si>
  <si>
    <t>Implants d'ancrage</t>
  </si>
  <si>
    <t>Cages intersomatiques et implants de reconstruction corporelle</t>
  </si>
  <si>
    <t>Implants d'union longitudinale</t>
  </si>
  <si>
    <t>Prothèses totales du disque lombaire</t>
  </si>
  <si>
    <t>Système de distraction pour réduction de fractures vertébrales</t>
  </si>
  <si>
    <t>Prothèses discales cervicales</t>
  </si>
  <si>
    <t>Implants d'appui sacré</t>
  </si>
  <si>
    <t>On regarde également la répartition des remboursements pour la catégorie "Cages intersomatiques et implants de reconstruction corporelle" :</t>
  </si>
  <si>
    <t xml:space="preserve">Cages intersomatiques </t>
  </si>
  <si>
    <t>Implants de reconstruction corporeale</t>
  </si>
  <si>
    <t>Au vue de la répartition, on s'intéressera aux implants d'ancrage, aux cages intersomatiques, aux implants d'union longitudinale et aux prothèses totales du disque lombaire.</t>
  </si>
  <si>
    <t xml:space="preserve">Ainsi ,on étudiera : </t>
  </si>
  <si>
    <t>On considère ici la quantité de matériaux nécessaires à production des différents implants articulaires.</t>
  </si>
  <si>
    <t>On utilise ici les travaux de la thèse de Camille Delaie, qui évalue l'ACV d'une prothèse totale de genou :</t>
  </si>
  <si>
    <t>Impact écologique de la réalisation d'une prothèse totale de genou: analyse du cycle de vie de la matière première jusqu'aux implants définitifs</t>
  </si>
  <si>
    <t>Chrome-Cobalt (alliage de CoCrMo)</t>
  </si>
  <si>
    <t>Implant tibial bicompartimental</t>
  </si>
  <si>
    <t>Alliage de titane (Ti-6AI-4V)</t>
  </si>
  <si>
    <t>Implant tibial et la tige d’extension</t>
  </si>
  <si>
    <t>Polyéthylène de poids moléculaire ultra élevé </t>
  </si>
  <si>
    <t>Pour les implants tibial unicompartimental, on divise la masse par 2.</t>
  </si>
  <si>
    <t xml:space="preserve">D'après </t>
  </si>
  <si>
    <t>On utilise ici deux études, l'une récapitulant les différents implants articulaires de hanche et l'une étudiant les poids des implants de hanche :</t>
  </si>
  <si>
    <t>Doctor, what does my ceramic-on-ceramic hip arthroplasty weigh? - ScienceDirect</t>
  </si>
  <si>
    <t>QUENARDEL.pdf</t>
  </si>
  <si>
    <t>Métal (titane)</t>
  </si>
  <si>
    <t>Chrome-cobalt</t>
  </si>
  <si>
    <t>Titane</t>
  </si>
  <si>
    <t>Pour les cotyles à insert à double mobilité, on compte un cotyle et un insert.</t>
  </si>
  <si>
    <t>Prothèse du rachis</t>
  </si>
  <si>
    <t>Non pris en compte pour l'instant</t>
  </si>
  <si>
    <t>Ainsi, on obtient les masses totales (en kg):</t>
  </si>
  <si>
    <t>Masses totales (en kg)</t>
  </si>
  <si>
    <t>Alliage Chrome Cobalt</t>
  </si>
  <si>
    <t>Alliage Titane</t>
  </si>
  <si>
    <t>Polyethylène ultra haute densité</t>
  </si>
  <si>
    <t xml:space="preserve">On utilise ensuite les facteurs d'émissions, calculés dans l'Annexe - Matériaux : </t>
  </si>
  <si>
    <t>Emissions liées à la production de la matière première</t>
  </si>
  <si>
    <t>Emissions liées à la fabrication de la pièce et au post-traitement</t>
  </si>
  <si>
    <t>Production de la matière première</t>
  </si>
  <si>
    <t>Fabrication de la pièce et au post-traitement</t>
  </si>
  <si>
    <t>2) Emballages et notice</t>
  </si>
  <si>
    <t>Les implants sont le plus souvent conditionnés dans un double emballage stérile.</t>
  </si>
  <si>
    <t>On utilise encore une fois les travaux de la thèse de Camille Delaie, qui évalue l'ACV d'une prothèse totale de genou :</t>
  </si>
  <si>
    <t>Carton (en g)</t>
  </si>
  <si>
    <t>Papier (notice, en g)</t>
  </si>
  <si>
    <t>PEHD (en g)</t>
  </si>
  <si>
    <t>Polypropylène (en g)</t>
  </si>
  <si>
    <t>Polystyrène (en g)</t>
  </si>
  <si>
    <t>Total (en g)</t>
  </si>
  <si>
    <t>hypothèse</t>
  </si>
  <si>
    <t>On prend les mêmes données que les implants fémoral</t>
  </si>
  <si>
    <t>On prend les mêmes données que les implants patellaires</t>
  </si>
  <si>
    <t>On prend les mêmes données que les inserts tibials</t>
  </si>
  <si>
    <t>à compléter</t>
  </si>
  <si>
    <t>Ainsi, on obtient les masses totales (en tonnes):</t>
  </si>
  <si>
    <t>Masses totales (en tonnes)</t>
  </si>
  <si>
    <t>Papier (notice)</t>
  </si>
  <si>
    <t>PEHD</t>
  </si>
  <si>
    <t>Polystyrène</t>
  </si>
  <si>
    <t xml:space="preserve">On utilise ensuite les facteurs d'émissions d'Ecoinvent, et on obtient : </t>
  </si>
  <si>
    <t>Emissions (en tCO2e)</t>
  </si>
  <si>
    <t>3) Stérilisation et production en salle blanche</t>
  </si>
  <si>
    <t>Pour la stérilisation, on utilise le ratio calculé dans l'Annexe - Stérilisation</t>
  </si>
  <si>
    <t>Valeur moyenne - stérilisation d'un DM consommé en France</t>
  </si>
  <si>
    <t>kgCO2e/kg de produit stérilisé</t>
  </si>
  <si>
    <t>Pour la fabrication en salle propre, on utilise le ratio calculé dans l'Annexe - Salles blanches</t>
  </si>
  <si>
    <t>Valeur moyenne - fabrication en salles propres</t>
  </si>
  <si>
    <t>Masses totales, dont emballage (en kg)</t>
  </si>
  <si>
    <t>Empreinte carbone liées à la production en salles propres</t>
  </si>
  <si>
    <t>Empreinte carbone liées à la stérilisation</t>
  </si>
  <si>
    <t>Prothèses articulaires orthopédiques (répartition en masse)</t>
  </si>
  <si>
    <t>Hypothèses pour les stimulateurs cardiaques</t>
  </si>
  <si>
    <t>Répartition (en masse)</t>
  </si>
  <si>
    <t>Part de fabrication européenne</t>
  </si>
  <si>
    <t>Part de fabrication US et Asie</t>
  </si>
  <si>
    <t xml:space="preserve">Ainsi, on fait les hypothèses suivantes : </t>
  </si>
  <si>
    <t>Prothèses articulaires orthopédiques</t>
  </si>
  <si>
    <t xml:space="preserve">On obtient le tableau modifié suivant : </t>
  </si>
  <si>
    <t>MOYENNE</t>
  </si>
  <si>
    <t>Importations extra-européenne</t>
  </si>
  <si>
    <t xml:space="preserve">Part du fret aérien </t>
  </si>
  <si>
    <t xml:space="preserve">Part de du fret maritime </t>
  </si>
  <si>
    <t>Dents artificielles</t>
  </si>
  <si>
    <t>Prothèses articulaires d'orthopédie</t>
  </si>
  <si>
    <t>Articles et appareils de prothèse (sauf de prothèse dentaire, prothèses articulaires et prothèses oculaires)</t>
  </si>
  <si>
    <t>Stimulateurs cardiaques</t>
  </si>
  <si>
    <t xml:space="preserve">Pour les implants orthopédiques, on utilise donc les données suivantes : </t>
  </si>
  <si>
    <t>Part pour les importations de pays hors Europe - France</t>
  </si>
  <si>
    <t>Part pour les importations de pays hors Europe - Europe</t>
  </si>
  <si>
    <t xml:space="preserve">Hyp : les trajets des implants ne sont pas optimisés. Il arrive qu'ils prennent l'avion pour la stérilisation, etc. </t>
  </si>
  <si>
    <t>On applique donc un facteur 1,5 aux résultats sur les transports.</t>
  </si>
  <si>
    <t>On rappelle les poids mis en oeuvre :</t>
  </si>
  <si>
    <t>Poids (en kg)</t>
  </si>
  <si>
    <t>Poids des implants</t>
  </si>
  <si>
    <t>Emissions totales (kgCO2e)</t>
  </si>
  <si>
    <t>Total (kgCO2e)</t>
  </si>
  <si>
    <t>Transport camion - livraison établissements</t>
  </si>
  <si>
    <t>5) Pertes liées à la péremption</t>
  </si>
  <si>
    <t>Taux de pertes dans les stocks hospitaliers</t>
  </si>
  <si>
    <t>Taux de pertes dans les chaînes industriels</t>
  </si>
  <si>
    <t>Facteur multiplicatifs - pertes totales</t>
  </si>
  <si>
    <t>Dans cet onglet, on regarde l'empreinte carbone des dispotifs de diagnostic in-vitro : réactifs de diagnostic, instruments et consommables.</t>
  </si>
  <si>
    <t>Nous utilisons, pour obtenir un ordre de grandeur, des données monétaires.</t>
  </si>
  <si>
    <t>Dans nos résultats finaux, on utilisera les valeurs calculées dans les travaux du CSF/FEFIS/Randea.</t>
  </si>
  <si>
    <t>Emissions CSF</t>
  </si>
  <si>
    <t xml:space="preserve">On décompose les émissions selon le lieu de consommation, à l'aide de données transmises par le SIDIV : </t>
  </si>
  <si>
    <t>Répartition CA (en €, données SIDIV 2013)</t>
  </si>
  <si>
    <t>Répartition CA (données SIDIV 2022)</t>
  </si>
  <si>
    <t>Laboratoires de biologie médicale</t>
  </si>
  <si>
    <t>Etablissement français du sang (EFS)</t>
  </si>
  <si>
    <t>Emissions laboratoires d'ACP privés</t>
  </si>
  <si>
    <t>Ventes aux grossistes répartiteurs</t>
  </si>
  <si>
    <t>A noter que cette répartition des émissions ne représente qu'un ordre de grandeur.</t>
  </si>
  <si>
    <t>En effet, les émissions par euros consommé peuvent fortement varier en fonction du type de produit consommés et donc en fonction du lieu de consommation.</t>
  </si>
  <si>
    <t>I - Données CSF/FEFIS/Randea</t>
  </si>
  <si>
    <t>On utilise ici les données calculées dans le cadre de la feuille de route de décarbonation des industries de santé du CSF/FEFIS, calculées par Randea (à paraître).</t>
  </si>
  <si>
    <t xml:space="preserve">Ainsi, d'après cette source, on a : </t>
  </si>
  <si>
    <t>Emissions des DM-DIV</t>
  </si>
  <si>
    <t>kgCO2e/k€</t>
  </si>
  <si>
    <t xml:space="preserve">Marché du DIV en France </t>
  </si>
  <si>
    <t>Entre 1,9 Milliards</t>
  </si>
  <si>
    <t>Le marché du diagnostic in vitro</t>
  </si>
  <si>
    <t>Et 2,5 Milliards</t>
  </si>
  <si>
    <t>Le marché du diagnostic in vitro - France | Businesscoot</t>
  </si>
  <si>
    <t>2,6 Milliards</t>
  </si>
  <si>
    <t>Biologiste365 - L'industrie du diagnostic in vitro en France</t>
  </si>
  <si>
    <t xml:space="preserve">On prend le dernier chiffre, ce qui donne : </t>
  </si>
  <si>
    <t>Emissions liées au marché français des DIV</t>
  </si>
  <si>
    <t>II - Emissions liées aux consommations par les laboratoires d'ACP</t>
  </si>
  <si>
    <t>On regarde les données calculées par Béchu et al. (2024).</t>
  </si>
  <si>
    <t>Constance Béchu et al., The carbon footprint of a surgical pathology laboratory in France, Am J Clin Pathol July 2024;162:103-109. HTTPS://DOI.ORG/10.1093/AJCP/AQAE022</t>
  </si>
  <si>
    <t>On ajuste le facteur d'émissions des anticoprs monoclonaux à partir de calculs réalisés pour nos travaux sur les industries pharmaceutiques.</t>
  </si>
  <si>
    <t>Emissions en tCO2e pour un laboratoires</t>
  </si>
  <si>
    <t>Répartition avant</t>
  </si>
  <si>
    <t>Répartition après</t>
  </si>
  <si>
    <t>Emissions avant</t>
  </si>
  <si>
    <t>Emissions après</t>
  </si>
  <si>
    <t xml:space="preserve">Facteuir mulplicatif mAb : </t>
  </si>
  <si>
    <t>Réactifs</t>
  </si>
  <si>
    <t>Autres produits chimiques</t>
  </si>
  <si>
    <t>Produits en plastique</t>
  </si>
  <si>
    <t>Produits en verre</t>
  </si>
  <si>
    <t>Autres intrants</t>
  </si>
  <si>
    <t>Traitement des déchets</t>
  </si>
  <si>
    <t>On extrapole ensuite ce résultat aux 400 laboratoires d'ACP en France</t>
  </si>
  <si>
    <t>Anatomie et cytologie pathologiques</t>
  </si>
  <si>
    <t>Emissions totales des DM DIV consommés par les  laboratoires d'ACP</t>
  </si>
  <si>
    <t>III - Consommations de DM-DIV par les laboratoires d'analyse</t>
  </si>
  <si>
    <t xml:space="preserve">En extrapolant des données d'achats partagées par un groupe de laboratoires, on obtient : </t>
  </si>
  <si>
    <t>€ dépensés pour les laboratoires d'analyse</t>
  </si>
  <si>
    <t>Réactifs :</t>
  </si>
  <si>
    <t xml:space="preserve">Consommables : </t>
  </si>
  <si>
    <t>Ces données sont cohérentes avec les données de 2022 partagées par le SIDIV (voir la partie "résultats").</t>
  </si>
  <si>
    <t>IV - Consommations de DM-DIV à l'hôpital</t>
  </si>
  <si>
    <t>2023-M-106-03 Rapport RDD-Dispositifs médicaux.pdf</t>
  </si>
  <si>
    <t xml:space="preserve">On regarde les achats de DM-DIV par les établissements hospitaliers : </t>
  </si>
  <si>
    <t>€ dépensés par les hôpitaux</t>
  </si>
  <si>
    <t>Achat de Fournitures de laboratoire et 
outils de diagnostic in vitro</t>
  </si>
  <si>
    <t>V - Provenance des DIV</t>
  </si>
  <si>
    <t>Provenance :</t>
  </si>
  <si>
    <t xml:space="preserve">Pour les anticorps monoclonaux, on utilise des données calculées dans le cadre du rapport sur les médicaments : </t>
  </si>
  <si>
    <t>Provenance des
anticorps monoclonaux</t>
  </si>
  <si>
    <t>Mode de transport :</t>
  </si>
  <si>
    <t xml:space="preserve">On utilise les données d'Eurostat : </t>
  </si>
  <si>
    <t>Part de l'aérien</t>
  </si>
  <si>
    <t>Part du Maritime</t>
  </si>
  <si>
    <t>Anticorps monoclonaux</t>
  </si>
  <si>
    <t>Dans cet onglet, on regarde l'empreinte carbone des activités corporatives : activités commerciales et de siège, etc.</t>
  </si>
  <si>
    <t>I - Résultats - activités corporatives</t>
  </si>
  <si>
    <t>La méthodologie employée est détaillée dans le rapport technique dédié aux médicaments, disponible sur le site du Shift Project.</t>
  </si>
  <si>
    <t>Pour toute question au sujet de la méthodologie, vous pouvez nous contacter à indus-sante@theshiftproject.org</t>
  </si>
  <si>
    <t xml:space="preserve">Les émissions des activités corportaives (hors R&amp;D) sont reportées ci-dessous : </t>
  </si>
  <si>
    <t>Poste d'émissions</t>
  </si>
  <si>
    <t>Répartition des émissions (en %)</t>
  </si>
  <si>
    <t>Scope 1</t>
  </si>
  <si>
    <t>Scope 2</t>
  </si>
  <si>
    <t>Déplacements professionnels</t>
  </si>
  <si>
    <t>Déplacements domicile-travail</t>
  </si>
  <si>
    <t>Achats de biens</t>
  </si>
  <si>
    <t>Achats de services</t>
  </si>
  <si>
    <t>Autres : construction des bâtiments, fluides frigorigènes</t>
  </si>
  <si>
    <t>II - Résultats - R&amp;D</t>
  </si>
  <si>
    <t xml:space="preserve">Nous obtenons le résultat suivant : </t>
  </si>
  <si>
    <t>Emissions induites par la R&amp;D des industries des dispositifs médicaux françaises</t>
  </si>
  <si>
    <t>Produits pour l'alimentation orale</t>
  </si>
  <si>
    <t>Ces produits ne sont pas des dispositifs médicaux, mais figurent dans la LPP : ainsi, ces résultats ne figurent pas dans nos résultats généraux pour les dispositifs médicaux.</t>
  </si>
  <si>
    <t>Catégorie d'émissions</t>
  </si>
  <si>
    <t>Production de lait</t>
  </si>
  <si>
    <t>Agriculture - autre</t>
  </si>
  <si>
    <t>Transformation</t>
  </si>
  <si>
    <t>On regarde les données remboursements de complémentations nutritionnels orales destinées aux adultes, qui représentent la majorité des produits d'alimentation orale.</t>
  </si>
  <si>
    <t>Contenu d'une bouteille (mL)</t>
  </si>
  <si>
    <t>Nombre de bouteilles</t>
  </si>
  <si>
    <t>Total contenu une unité (mL)</t>
  </si>
  <si>
    <t>Somme des unités vendues</t>
  </si>
  <si>
    <t>Total contenu (en mL)</t>
  </si>
  <si>
    <t>Total complémentation nutritionnelle orale destinée aux adultes</t>
  </si>
  <si>
    <t>NUT. ORALE, AD., MELANGE HP &gt; 10 G HE &gt; 200 ET &lt; 250, B/4.,LACTALIS NUT</t>
  </si>
  <si>
    <t>NUT. ORALE, AD., MELANGE HP &gt; 10 G HE &gt; 200 ET &lt; 250, B/4.,NESTLE</t>
  </si>
  <si>
    <t>NUT. ORALE, AD., MELANGE HP &gt; 10 G HE &gt; 200 ET &lt; 250, B/4.,FRESENIUS KABI</t>
  </si>
  <si>
    <t>NUT ORALE, AD., MELANGE HP &gt;= 14 G HE CONC, &gt;= 200 A  &lt;= 250, B/4.,NUTRICIA</t>
  </si>
  <si>
    <t>NUT. ORALE, AD., MELANGE POLY HP &gt;= 10 G HE &gt;= 300 ET &lt;= 350, B/4.,NESTLE</t>
  </si>
  <si>
    <t>NUT ORALE, ADULTE, MEL POLY GLUCIDOPROT., &gt; 200 ET &lt; 250, B/4.,NESTLE</t>
  </si>
  <si>
    <t>NUT ORALE, ADULTE, MEL POLY GLUCIDOPROT., &gt; 200 ET &lt; 250, B/4.,LACTALIS NUT</t>
  </si>
  <si>
    <t>NUT ORALE, ADULTE, MEL POLY HP &gt;= 7 G HE &gt;= 200 ET &lt;= 250, B/4.,FRESENIUS KABI</t>
  </si>
  <si>
    <t>NUT ORALE, ADULTE, MEL POLY HP &gt;= 7 G HE &gt;= 200 ET &lt;= 250, B/4.,NESTLE</t>
  </si>
  <si>
    <t>NUT ORALE, AD., MELANGE HP &gt;= 14 G HE CONC, &gt;=  200 A  &lt;= 250, B/4.,LACTALIS NUT</t>
  </si>
  <si>
    <t>NUT ORALE, ADULTE, MEL POLY HP &gt;= 7 G HE &gt;= 200 ET &lt;= 250, B/4.,NUTRICIA</t>
  </si>
  <si>
    <t>NUT. ORALE, AD., MELANGE HP &gt; 10 G HE &gt; 200 ET &lt; 250, B/4.,NUTRICIA</t>
  </si>
  <si>
    <t>NUT ORALE, ADULTE, MEL POLY GLUCIDOPROT., &gt; 200 ET &lt; 250, B/4.,FRESENIUS KABI</t>
  </si>
  <si>
    <t>NUT ORALE, AD., MELANGE HP &gt;= 14 G HE CONC, &gt;= 200 A  &lt;= 250, B/4.,NESTLE</t>
  </si>
  <si>
    <t>NUT ORALE, ADULTE, MEL POLY HP &gt;= 7 G HE &gt;= 200 ET &lt;= 250, B/4.,LACTALIS NUT</t>
  </si>
  <si>
    <t>NUT ORALE, ADULTE, MEL POLY GLUCIDOPROT., &gt; 200 ET &lt; 250, B/4.,NUTRICIA</t>
  </si>
  <si>
    <t>NUT ORALE, AD., MELANGE HP &gt;= 14 G HE CONC, &gt;= 200 A &lt;= 250, B/4.,FRESENIUS KABI</t>
  </si>
  <si>
    <t>NUT. ORALE, AD., MELANGE HP &gt;= 10 G HE &gt;= 300 ET &lt;= 350, B/4.,FRESENIUS KABI</t>
  </si>
  <si>
    <t>NUT. ORALE, AD., MELANGE HP &gt; 10 G HE &gt; 125 ET &lt; 150, B/3.,LACTALIS NUT</t>
  </si>
  <si>
    <t>NUT. ORALE, AD., MELANGE POLY HP &gt;= 10 G HE &gt;= 300 ET &lt;= 350, B/4.,LACTALIS NUT</t>
  </si>
  <si>
    <t>NUT ORALE, AD., MEL POLY NP. HE,&gt;OU= 200 ET &lt;OU= 250, B/4,NUTRICIA</t>
  </si>
  <si>
    <t>NUT ORALE, ADULTE, MEL POLY HP &gt;= 7 G HE &gt;= 300 ET &lt;= 350,B/4.,LACTALIS NUT</t>
  </si>
  <si>
    <t>NUT ORALE, AD., MELANGE HP &gt;= 14 G HE CONC, &gt;= 125 ET &lt;= 150, B/4. ,NUTRICIA</t>
  </si>
  <si>
    <t>NUT ORALE, ADULTE, MEL POLY HP &gt; =7 G HE &gt;= 300 ET &lt;= 350, B/4.,FRESENIUS KABI</t>
  </si>
  <si>
    <t>NUT ORALE, AD., MEL POLY HP. NE, &gt;OU= 200 ET &lt;OU= 250, B/4,NUTRICIA</t>
  </si>
  <si>
    <t>NUT ORALE, AD., MEL POLY NP. HE,&gt;OU= 200 ET &lt;OU= 250, B/4,FRESENIUS KABI</t>
  </si>
  <si>
    <t>NUT ORALE, AD., MELANGE HP ? 14 G HE CONC, ? 125 ET ? 150, B/4. ,NUTRISENS</t>
  </si>
  <si>
    <t>NUT. ORALE, AD., MELANGE HP &gt; 10 G HE &gt; 200 ET &lt; 250, B/4.,NUTRISENS</t>
  </si>
  <si>
    <t>NUT ORALE, ADULTE, MEL POLY HP &gt; =7 G HE &gt;= 300 ET &lt;= 350,B/4.,FRESENIUS KABI</t>
  </si>
  <si>
    <t>NUT ORALE, ADULTE, MEL POLY HP &gt;= 7 G HE &gt;= 200 ET &lt;= 250, B/6.,NESTLE</t>
  </si>
  <si>
    <t>NUTRITION ORALE, ADULTE, PROTEINES SEULES, &gt; 400 ET &lt; 500, B/1.,NUTRICIA</t>
  </si>
  <si>
    <t>NUT. ORALE, AD., MELANGE HP &gt; 10 G HE &gt; 125 ET &lt; 150, B/4.,NUTRISENS</t>
  </si>
  <si>
    <t>NUT ORALE, ADULTE, MEL POLY HP &gt;= 7 G HE &gt;= 125 ET &lt;= 150, B/4.,NUTRISENS</t>
  </si>
  <si>
    <t>NUT ORALE, ADULTE, MEL POLY GLUCIDOPROT., &gt; 200 ET &lt; 250, B/4.,NUTRISENS</t>
  </si>
  <si>
    <t>NUT ORALE, AD., MEL POLY HP. NE, &gt;OU= 200 ET &lt;OU= 250, B/4,NESTLE</t>
  </si>
  <si>
    <t>NUT ORALE, AD., MEL POLY HP. NE, &gt;OU= 200 ET &lt;OU= 250, B/6,LACTALIS NUT</t>
  </si>
  <si>
    <t>NUT ORALE, AD., MEL POLY HP. NE, &gt;OU= 200 ET &lt;OU= 250, B/6,FRESENIUS KABI</t>
  </si>
  <si>
    <t>NUTRITION ORALE, ADULTE, GLUCIDES SEULS, &gt;  200 ET &lt; 500, B/1.,LACTALIS NUT</t>
  </si>
  <si>
    <t>NUTRITION ORALE, ADULTE, PROTEINES SEULES, &gt; 400 ET &lt; 500, B/1.,THERADIAL</t>
  </si>
  <si>
    <t>NUT ORALE, ADULTE, MEL POLY HP &gt;= 7 G HE &gt;= 200 ET &lt;= 250, B/4.,NUTRISENS</t>
  </si>
  <si>
    <t>NUT ORALE, ADULTE, MEL POLY HP &gt;= 7 G HE &gt;= 125 ET &lt;= 150, B/4.,FRESENIUS KABI</t>
  </si>
  <si>
    <t>NUTRITION ORALE, ADULTE, PROTEINES SEULES, &gt; 400 ET &lt; 500, B/1.,LACTALIS NUT</t>
  </si>
  <si>
    <t>NUT ORALE, ADULTE, MEL POLY HP &gt; = 7 G HE &gt;= 300 ET &lt; =350,B/1.,FRESENIUS KABI</t>
  </si>
  <si>
    <t>NUTRITION ORALE, ADULTE, PROTEINES SEULES, &gt; 400 ET &lt; 500, B/1.,NESTLE</t>
  </si>
  <si>
    <t>NUTRITION ORALE, ADULTE, PROTEINES SEULES, &gt;=300 ET &lt; 400,B/1.,FRESENIUSKABI</t>
  </si>
  <si>
    <t>NUT ORALE, ADULTE, MEL POLY HP &gt;= 7 G HE &gt;= 300 ET &lt;= 350, B/4.,NESTLE</t>
  </si>
  <si>
    <t>NUTRITION ORALE, ADULTE, PROTEINES SEULES, &gt; 400 ET &lt; 500, B/1.,NUTRISENS</t>
  </si>
  <si>
    <t>NUT ORALE, AD., MEL POLY HP. NE, &gt;OU= 200 ET &lt;OU= 250, B/6,NUTRISENS</t>
  </si>
  <si>
    <t>NUTRITION ORALE, ADULTE, PROTEINES SEULES, &gt; 400 ET &lt; 500, B/1.,LABO SANTINOV</t>
  </si>
  <si>
    <t>NUTRITION ORALE, ADULTE, LIPIDES SEULS, &gt; 450 ET &lt; 1000, B/1.,NUTRICIA</t>
  </si>
  <si>
    <t>NUT ORALE, AD., MELANGE HP &gt;= 14 G HE CONC, &gt;= 125 ET &lt;= 150, B/4. ,NESTLE</t>
  </si>
  <si>
    <t>NUT ORALE, ADULTE, MEL POLY HP &gt; 7 G HE &gt;= 300 ET &lt; 350, B/4.,HAC PHARMA</t>
  </si>
  <si>
    <t>NUT ORALE, ADULTE, MEL POLY HP &gt; 7 G HE &gt;= 200 ET &lt; 250, B/6.,EFFINOV NUT</t>
  </si>
  <si>
    <t>NUT. ORALE, AD., MELANGE HP &gt; 10 G HE &gt; 125 ET &lt; 150, B/4.,NESTLE</t>
  </si>
  <si>
    <t>NUT ORALE, ADULTE, MEL POLY HP &gt;= 7 G HE &gt;= 200 ET &lt;= 250, B/6.,NUTRISENS</t>
  </si>
  <si>
    <t>NUT ORALE, ADULTE, MEL POLY HP &gt; 7 G HE ? 200 ET &lt; 250, B/6.,SADAC</t>
  </si>
  <si>
    <t>NUT ORALE, ADULTE, MEL POLY HP &gt; 7 G HE &gt;= 125 ET &lt; 150, B/4.,LAB GD FONTAINE</t>
  </si>
  <si>
    <t>NUT ORALE, ADULTE, MEL POLY HYPERPROT. &gt;= 7 G HYPERENERG, &gt;= 200 ET &lt;= 250, B/4.</t>
  </si>
  <si>
    <t>NUT ORALE, ADULTE, MEL POLY HP &gt;= 7 G HE &gt;= 125 ET &lt;= 150, B/4.,NESTLE</t>
  </si>
  <si>
    <t>NUT ORALE, ADULTE, MEL POLY HP &gt; 7 G HE &gt;= 200 ET &lt; 250, B/4.,LAB GD FONTAINE</t>
  </si>
  <si>
    <t>NUT. ORALE, AD., MELANGE HP &gt; 10 G HE &gt; 200 ET &lt; 250, B/4.,LAB GD FONTAINE</t>
  </si>
  <si>
    <t>NUT ORALE, ADULTE, MEL POLY HP &gt;=7 G HE &gt;= 200 ET &lt;= 250,B/3.,NUTRISENS</t>
  </si>
  <si>
    <t>NUTRITION ORALE, ADULTE, PROTEINES SEULES, &gt;= 300 ET &lt; 400,B/1.,LACTALIS NUT</t>
  </si>
  <si>
    <t>NUT. ORALE, ADULTE, MEL. POLY. HYPERPROT. &gt;= 10 G HYPERENERG. &gt;= 200 ET&lt;=250,B/4</t>
  </si>
  <si>
    <t>NUT ORALE, ADULTE, MEL POLY GLUCIDOPROT., &gt; 200 ET &lt; 250, B/3.,NUTRISENS</t>
  </si>
  <si>
    <t>NUTRITION ORALE, ADULTE, PROTEINES SEULES, &gt; 300 ET &lt; 400, B/1.,LABO SANTINOV</t>
  </si>
  <si>
    <t>NUT. ORALE, AD., MELANGE HP &gt; 10 G HE &gt; 200 ET &lt; 250, B/3.,NUTRISENS</t>
  </si>
  <si>
    <t>NUTRITION ORALE, ADULTE, PROTEINES SEULES, &gt; 400 ET &lt; 500, B/1.,NUTRISENS MED</t>
  </si>
  <si>
    <t>NUTRITION ORALE, ADULTE, PROTEINES SEULES, &gt; 400 ET &lt; 500, B/1.,SADAC</t>
  </si>
  <si>
    <t>Ces produits représentent environ 44 millions de bouteilles vendues, soit 35,7 millions de litres, pour 375 millions d'euros de remboursements.</t>
  </si>
  <si>
    <t>La plupart de ces produits sont des mélanges hyperprotidiques, basé sur des protéines de lait.</t>
  </si>
  <si>
    <t xml:space="preserve">On regarde ici les produits parmis les plus vendus : </t>
  </si>
  <si>
    <t>Libellé produit</t>
  </si>
  <si>
    <t>Total contenu (en L)</t>
  </si>
  <si>
    <t>g de protéines pour 100mL</t>
  </si>
  <si>
    <t>Sources de protéines</t>
  </si>
  <si>
    <t>MELANGE HP &gt; 10 G HE &gt; 200 ET &lt; 250, B/4.,LACTALIS NUT</t>
  </si>
  <si>
    <t>DELICAL BOISSON HP HC LACTEE nutriment nature - Parapharmacie - VIDAL</t>
  </si>
  <si>
    <t>Protéines de lait</t>
  </si>
  <si>
    <t>MELANGE HP &gt; 10 G HE &gt; 200 ET &lt; 250, B/4.,NESTLE</t>
  </si>
  <si>
    <t>CLINUTREN BOISSON sans sucre nutriment cappuccino - Parapharmacie - VIDAL</t>
  </si>
  <si>
    <t>MELANGE HP &gt; 10 G HE &gt; 200 ET &lt; 250, B/4.,FRESENIUS KABI</t>
  </si>
  <si>
    <t>FRESUBIN 2KCAL DRINK nutriment cappuccino - Parapharmacie - VIDAL</t>
  </si>
  <si>
    <t>MELANGE HP &gt;= 14 G HE CONC, &gt;= 200 A  &lt;= 250, B/4.,NUTRICIA</t>
  </si>
  <si>
    <t>FORTIMEL PROTEIN nutriment banane - Parapharmacie - VIDAL</t>
  </si>
  <si>
    <t>MELANGE POLY HP &gt;= 10 G HE &gt;= 300 ET &lt;= 350, B/4.,NESTLE</t>
  </si>
  <si>
    <t>CLINUTREN RENUTRYL BOOSTER nutriment vanille - Parapharmacie - VIDAL</t>
  </si>
  <si>
    <t>MEL POLY GLUCIDOPROT., &gt; 200 ET &lt; 250, B/4.,NESTLE</t>
  </si>
  <si>
    <t>CLINUTREN FRUIT nutriment pomme - Parapharmacie - VIDAL</t>
  </si>
  <si>
    <t xml:space="preserve">Les protéines proviennent de protéines de lait. Or les protéines de lait pourraient constituer la majeure partie de l'empreinte carbone : </t>
  </si>
  <si>
    <t>En effet, on regarde les données d'Agribalyse pour les produits "Substitut de repas hypocalorique, prêt à boire" :</t>
  </si>
  <si>
    <t>Ingrédient</t>
  </si>
  <si>
    <t>Contribution de chaque produit</t>
  </si>
  <si>
    <t>Agriculture</t>
  </si>
  <si>
    <t>Chicorée</t>
  </si>
  <si>
    <t>Fructose</t>
  </si>
  <si>
    <t>Lait</t>
  </si>
  <si>
    <t>Huile de soja</t>
  </si>
  <si>
    <t>Supermarché et distribution</t>
  </si>
  <si>
    <t>Autres étapes</t>
  </si>
  <si>
    <t>N.B. : dans la suite, on ne tiendra pas en compte les catégories "supermarché et distribution" et "Consomation'.</t>
  </si>
  <si>
    <t>Le lait représente 51,6% de l'empreinte carbone.</t>
  </si>
  <si>
    <t>Hors, 98,5 de l'impact de poudre de lait est catégorisé comme agriculture.</t>
  </si>
  <si>
    <t>Agribalyse - Portail ADEME</t>
  </si>
  <si>
    <t>Ainsi, on peut donc isoler l'impact du lait :</t>
  </si>
  <si>
    <t xml:space="preserve">On fait pour l'instant, faute d'information sur le produit mentionné par Agribalyse, l'hypothèse suivante : </t>
  </si>
  <si>
    <r>
      <rPr>
        <b/>
        <sz val="11"/>
        <color rgb="FF7030A0"/>
        <rFont val="Arial"/>
        <family val="2"/>
        <scheme val="minor"/>
      </rPr>
      <t xml:space="preserve">Hyp : </t>
    </r>
    <r>
      <rPr>
        <sz val="11"/>
        <color theme="1"/>
        <rFont val="Arial"/>
        <family val="2"/>
        <scheme val="minor"/>
      </rPr>
      <t>Le produit "Substitut de repas hypocalorique, prêt à boire" d'Agrybalise contient autant de protéines de lait par litre que la moyenne des produits de complément orale.</t>
    </r>
  </si>
  <si>
    <t>nutricia-fr_book-rse_rapport-d-impact-sn-france-2021.pdf</t>
  </si>
  <si>
    <t>Répartition (en %)</t>
  </si>
  <si>
    <t xml:space="preserve">Probalement sous-estimé (autour de 62 ktCO2e) d'après : </t>
  </si>
  <si>
    <t>…</t>
  </si>
  <si>
    <t>Annexe - Logistique</t>
  </si>
  <si>
    <t>I - Distances parcourues</t>
  </si>
  <si>
    <t>Distances avion  et bateau calculées avec le site https://www.searates.com/distance-time</t>
  </si>
  <si>
    <t>Transport maritime</t>
  </si>
  <si>
    <t>Descriptif hypothèse</t>
  </si>
  <si>
    <t>Alger - Le Havre</t>
  </si>
  <si>
    <t>Lagos - Le Havre</t>
  </si>
  <si>
    <t>Sao Paulo -  Le Havre</t>
  </si>
  <si>
    <t>Izmit - Le Havre</t>
  </si>
  <si>
    <t>Manille - Le Havre</t>
  </si>
  <si>
    <t>Shanghai - Le Havre</t>
  </si>
  <si>
    <t>New Delhi - Le Havre</t>
  </si>
  <si>
    <t>Tokyo - Le Havre</t>
  </si>
  <si>
    <t>Sydney - Le Havre</t>
  </si>
  <si>
    <t>Houston - Le Havre</t>
  </si>
  <si>
    <t>Varsovie - Paris</t>
  </si>
  <si>
    <t>Cas d'une production en France</t>
  </si>
  <si>
    <t>Nombre de kilomètres de camion - avant stockage</t>
  </si>
  <si>
    <t>Nombre de kilomètre bateau</t>
  </si>
  <si>
    <t>Transport aérien</t>
  </si>
  <si>
    <t>Alger - Paris</t>
  </si>
  <si>
    <t>Lagos - Paris</t>
  </si>
  <si>
    <t>Sao Paulo - Paris</t>
  </si>
  <si>
    <t>Ankara - Paris</t>
  </si>
  <si>
    <t>Manille - Paris</t>
  </si>
  <si>
    <t>Taizhou - Paris</t>
  </si>
  <si>
    <t>New Delhi - Paris</t>
  </si>
  <si>
    <t>Tokyo - Paris</t>
  </si>
  <si>
    <t>Sydney - Paris</t>
  </si>
  <si>
    <t>Dallas - Paris</t>
  </si>
  <si>
    <t>Cologne - Paris</t>
  </si>
  <si>
    <t>Nombre de kilomètres de camion</t>
  </si>
  <si>
    <t>Nombre de kilomètre avion</t>
  </si>
  <si>
    <t>A cela, on rajoute une distance de 500 km en camion jusqu'au dernier lieu de stockage</t>
  </si>
  <si>
    <t>II - Facteurs d'émissions</t>
  </si>
  <si>
    <t xml:space="preserve">On reporte ici les facteurs d'émissions issus de la Base Empreinte : </t>
  </si>
  <si>
    <t>Transport aérien (dont flotte, utilisation et infrastructure) [tkm], GLO</t>
  </si>
  <si>
    <t>Moyen-courrier</t>
  </si>
  <si>
    <t>kgCO2e/t*km</t>
  </si>
  <si>
    <t>Long-courrier</t>
  </si>
  <si>
    <t>Court-courrier</t>
  </si>
  <si>
    <t>Transport maritime (dont flotte, utilisation et infrastructure)[tkm], GLO</t>
  </si>
  <si>
    <t>conteneurs 27,500 t </t>
  </si>
  <si>
    <t>Transport en camion (dont parc, utilisation et infrastructure) (50%) [tkm]</t>
  </si>
  <si>
    <t>GLO</t>
  </si>
  <si>
    <t>III - Livraison et dernier kilomètre</t>
  </si>
  <si>
    <t>On utilise ici l'étude de l'ADEME sur le commerce en ligne (page 66) :</t>
  </si>
  <si>
    <t>Commerce-ligne-impacts-environnementaux-logistique-transports-deplacements-rapport</t>
  </si>
  <si>
    <t>Sites logistique</t>
  </si>
  <si>
    <t>Livraison "dernier kilomètre"</t>
  </si>
  <si>
    <t>Transport d'acheminement</t>
  </si>
  <si>
    <t>Ainsi, on obtient une empreinte carbone de la livraison de 255 grammes par kg de produit livré.</t>
  </si>
  <si>
    <t>IV - Facteurs d'émissions PEFRC</t>
  </si>
  <si>
    <t>For European raw materials, the EF default scenario from supplier to factory :</t>
  </si>
  <si>
    <t>Distance moyenne (km)</t>
  </si>
  <si>
    <t>FE (kgCO2e/t.km)</t>
  </si>
  <si>
    <t>Camion</t>
  </si>
  <si>
    <t>Base empreinte, Transport en camion (dont parc, utilisation et infrastructure) (50%) [tkm] (Europe)</t>
  </si>
  <si>
    <t>Train</t>
  </si>
  <si>
    <t>Base empreinte, Train de marchandises (Europe)</t>
  </si>
  <si>
    <t>Transport fluvial</t>
  </si>
  <si>
    <t>Base Empreinte, Transport fluvial par pousseur 2300t (dont flotte, utilisation et infrastructure) [tkm], EU-27</t>
  </si>
  <si>
    <t>Total (kgCO2e/kg)</t>
  </si>
  <si>
    <t>Annexe - Stérilisation</t>
  </si>
  <si>
    <t>Mode de stérilisation / Emissions en kgCO2e/kg</t>
  </si>
  <si>
    <t>Emissions fugitives</t>
  </si>
  <si>
    <t>Transport marchandises</t>
  </si>
  <si>
    <t>Oxyde d'éthylène</t>
  </si>
  <si>
    <t>Gamma</t>
  </si>
  <si>
    <t>E-Beam</t>
  </si>
  <si>
    <t>X-Ray</t>
  </si>
  <si>
    <t>*On prend pour l'instant les mêmes valeurs quelques soient les modes de stérilisation.</t>
  </si>
  <si>
    <t>On utilise ensuite les parts de marché des différents mode de stérilisation pour obtenir une valeur moyenne.</t>
  </si>
  <si>
    <t>iba-brochure-corporate-2021-fr.pdf (iba-worldwide.com)</t>
  </si>
  <si>
    <t>En utilisant les part des différents modes de stérilisation, on obtient :</t>
  </si>
  <si>
    <t xml:space="preserve">Résultat Moyen : </t>
  </si>
  <si>
    <t>Dont transport marchandises</t>
  </si>
  <si>
    <t>I - Consommations d'énergie</t>
  </si>
  <si>
    <t>On compte ici l'énergie utilisés au sein des sites de stérilisation, nécessaire au fonctionnement des processus de stérilisation, mais également pour le chauffage, l'éclairage, etc.</t>
  </si>
  <si>
    <t>1) Stérilisation E-Beam</t>
  </si>
  <si>
    <t>La stérilisation par faisceaux d'électrons (ou e-beam ou par rayons beta) consiste à exposer les produits à un faisceau d'électrons accélérés.</t>
  </si>
  <si>
    <t>Cette stérilisation nécessite une relativement grande consommation d'électricité, et notamment pour les générateurs électriques qui produisent des électrons qui sont ensuite accélérés et focalisés au sein d’un champ électromagnétique sous vide.</t>
  </si>
  <si>
    <t>D'après le tableau suivant (issu d'une présentation appelées In-house e-Beam Sterilization, Ilia Geltser, Terumo Blood and Cell Technologies, Lakewood, CO) :</t>
  </si>
  <si>
    <t>1 Btu / lb =</t>
  </si>
  <si>
    <t>kWh/tonne</t>
  </si>
  <si>
    <t xml:space="preserve">donc : </t>
  </si>
  <si>
    <t>EtO</t>
  </si>
  <si>
    <t>eBeam</t>
  </si>
  <si>
    <t>Consommation (en kWh/kg)</t>
  </si>
  <si>
    <t>Cependant, ces consommations ne prennent pas en compte les consommations pour le fonctionnement des sites de production.</t>
  </si>
  <si>
    <t xml:space="preserve">On regarde alors la consommation des sites de stérilisation Ebeam : </t>
  </si>
  <si>
    <t>Site de Chausmenil (10500)</t>
  </si>
  <si>
    <t>Site de Bautzen (Allemagne)</t>
  </si>
  <si>
    <t>Consommation annuelle électricité</t>
  </si>
  <si>
    <t>Données partagées par l'industriel</t>
  </si>
  <si>
    <t>https://www.ionisos.com/wp-content/uploads/2023/11/Sustainability-report-2022-1.pdf</t>
  </si>
  <si>
    <t>Taille du bâtiment</t>
  </si>
  <si>
    <t>Calcul surface  Google Earth</t>
  </si>
  <si>
    <t>Production annuelle</t>
  </si>
  <si>
    <t>palettes/an</t>
  </si>
  <si>
    <t>millions de mètres de produits en bobines tels que des câbles, des tuyaux et des tubes.</t>
  </si>
  <si>
    <t>Internacional - Ionisos</t>
  </si>
  <si>
    <t>Volume des palettes</t>
  </si>
  <si>
    <t>Densité des pallettes</t>
  </si>
  <si>
    <t>tonnes/an</t>
  </si>
  <si>
    <t>Energie / kg</t>
  </si>
  <si>
    <t>kWh/kg</t>
  </si>
  <si>
    <t xml:space="preserve">On utilise ensuite le facteur d'émissions de l'électricité, en faisant l'hypothèse suivante : </t>
  </si>
  <si>
    <t>50% des produits sont stérilisés en France, 50% sont stérilisés dans d'autres pays d'Europe.</t>
  </si>
  <si>
    <t xml:space="preserve">On utilise alors les facteurs d'émissions de la Base Empreinte, et on obtient : </t>
  </si>
  <si>
    <t>Emissions moyennes</t>
  </si>
  <si>
    <t>2) Stérilisation gamma</t>
  </si>
  <si>
    <t>La stérilisation gamma consiste à exposer les produits à traiter à une irradiation aux raysons gamma issus du Cobalt 60, un isotope radioactif du cobalt.</t>
  </si>
  <si>
    <t>Elle nécessite une plus faible quantité d'énergie, puisque les rayonnements sont directement issus du Cobalt 60.</t>
  </si>
  <si>
    <t>On récupère alors les données de consommation de différents sites en France et en Europe :</t>
  </si>
  <si>
    <t>Site de Chusclan (30081)</t>
  </si>
  <si>
    <t>Site de Sablé-sur-Sarthe (72264)</t>
  </si>
  <si>
    <t>Site de Pouzauges (85182)</t>
  </si>
  <si>
    <t>Site de Dagneux (01142)</t>
  </si>
  <si>
    <t>Site de Fleurus (Belgique)</t>
  </si>
  <si>
    <t>Consommation annuelle gaz</t>
  </si>
  <si>
    <t>https://www.nelsonlabs.com/wp-content/uploads/2023/06/sotera-health-corporate-responsibility-report.pdf</t>
  </si>
  <si>
    <t>Surface des bâtiment</t>
  </si>
  <si>
    <t>https://www.mecalux.fr/cas-clients/steris-entrepot-sterilisation</t>
  </si>
  <si>
    <t>Surface des bâtiments (mesure Google Earth)</t>
  </si>
  <si>
    <t>Poids stérilisé</t>
  </si>
  <si>
    <t>tonnes par an</t>
  </si>
  <si>
    <t>On trouve une grande différence dans les consommations, avec d'un côté les sites de Chusclan et de Fleurus qui consomment environ 1MWh/m2, et les sites de Sablé-sur-Sarthe, Pouzaugues et Dagneux, qui consomment environ 0,15 MWh/m2.</t>
  </si>
  <si>
    <t>On prend pour l'instant la données du site de Sablé-sur-Sarthe, afin de rester sur des valeurs conservatrices.</t>
  </si>
  <si>
    <t xml:space="preserve">On utilise alors les facteurs d'émissions de la Base Empreinte et d'EcoInvent, et on obtient : </t>
  </si>
  <si>
    <t>3) Stérilisation à l'oxyde d'éthylène</t>
  </si>
  <si>
    <t>La stérilisation à l’oxyde d’éthylène (également appelé OE, EtO, ou OEt) consiste à exposer les produits à stériliser à l’oxyde d’éthylène, un gaz hautement réactif, qui pénètre dans les matériaux pour détruire les micro-organismes.</t>
  </si>
  <si>
    <t>Ce mode de stérilisation nécessite une consommation de gaz pour atteindre la température nécessaire à la stérilisation des palettes. Il est également utilisé par les systèmes de réduction catalytique pour capturer et détruire les résidus volatils et réduire l'OE après la réduction à des niveaux inférieurs aux limites de détection.</t>
  </si>
  <si>
    <t xml:space="preserve">1 lb = </t>
  </si>
  <si>
    <t>EtO, total</t>
  </si>
  <si>
    <t>dont gaz</t>
  </si>
  <si>
    <t>dont électricité</t>
  </si>
  <si>
    <t xml:space="preserve">On regarde alors la consommation des sites de stérilisation à l'OE : </t>
  </si>
  <si>
    <t>Site de Gien + Civrieux d'Azergues</t>
  </si>
  <si>
    <t>Surface des bâtiments</t>
  </si>
  <si>
    <t>Mesure Google Earth</t>
  </si>
  <si>
    <t>Nombre de palettes traitées</t>
  </si>
  <si>
    <t>Energie / tonne</t>
  </si>
  <si>
    <t>Site de Rantigny</t>
  </si>
  <si>
    <t>Conso élec</t>
  </si>
  <si>
    <t>Capacité de traitement</t>
  </si>
  <si>
    <t>Tonnes/an</t>
  </si>
  <si>
    <t>hypothèse basée sur la surface</t>
  </si>
  <si>
    <t>Energie / tonne - gaz</t>
  </si>
  <si>
    <t>Energie / tonne  - élec</t>
  </si>
  <si>
    <t>On prend pour l'instant un donnée basée sur une hypothèse de 10 000 tonnes par an.</t>
  </si>
  <si>
    <t xml:space="preserve">On utilise ensuite le facteur d'émissions du gaz et de l'électricité, en faisant l'hypothèse suivante : </t>
  </si>
  <si>
    <t>4) facultatif : Stérilisation rayons X</t>
  </si>
  <si>
    <t> La stérilisation par rayon X consiste à exposer les produits à traiter par des rayons X de haute énergie, générés par l’accélération d’électrons qui produisent un rayonnement  en percutant une cible métallique.</t>
  </si>
  <si>
    <t>L'accélérateur nécessite uene très grande quantité d'électricité.</t>
  </si>
  <si>
    <t xml:space="preserve">On utilise les résultats de cette étude : </t>
  </si>
  <si>
    <t>Cobalt-60: A Sustainable Sterilization Method | Nordion</t>
  </si>
  <si>
    <t>Selon cette étude, la consommation en électricité d'un site de stérilisatiçon X-ray nécessite environ 15 fois plus d'électricité qu'un site de stérilisation gamma.</t>
  </si>
  <si>
    <t>Consommation d'énergie :</t>
  </si>
  <si>
    <t xml:space="preserve">On utilise alors les facteurs d'émissions d'EcoInvent, et on obtient : </t>
  </si>
  <si>
    <t>II - Emissions fugitives</t>
  </si>
  <si>
    <t>Dans cette partie, nous nous intéressons aux émissions liées aux fuites de gaz à effet de serre, et notamment de SF6 et d'oxyde d'éthylène.</t>
  </si>
  <si>
    <t>L’hexafluorure de soufre (SF₆), est un gaz utilisé afin d'isoler les champs électriques. Son potentiel de réchauffement global est très élevé, environ 23 000 fois celui du dioxyde de carbone à cent ans.</t>
  </si>
  <si>
    <t>Les émissions de SF6 pourraient représenter 25% des émissions de l'entreprise IBA (http://www.iba-dynamitron-lifesf6free.com/)</t>
  </si>
  <si>
    <t>et 34% des scopes 1 et 2 de l'entreprise Ionisos (https://www.ionisos.com/wp-content/uploads/2023/11/Sustainability-report-2022-1.pdf)</t>
  </si>
  <si>
    <t>Site de Chausmenil</t>
  </si>
  <si>
    <t>Site de Bautzen</t>
  </si>
  <si>
    <t>Emissions SF6 sites de Chausmenil + Bautzen :</t>
  </si>
  <si>
    <t>Présentation PowerPoint (ionisos.com)</t>
  </si>
  <si>
    <t>Surface</t>
  </si>
  <si>
    <t>Estimation Google Earth</t>
  </si>
  <si>
    <t>Consommation électrique</t>
  </si>
  <si>
    <t>cf partie I</t>
  </si>
  <si>
    <t>Tonnes par an</t>
  </si>
  <si>
    <t>On suppose que l'utilisation de SF6 est proportionnel à l'utilisation d'électricité. (on pourrait également faire l'hypthèse qu'elle est proportionnelle à la surface du site).</t>
  </si>
  <si>
    <t>2) Stérilisation à l'oxyde d'éthylène</t>
  </si>
  <si>
    <t>L'oxyde d'éthylène est également un gaz à effet de serre. Son potentiel de réchauffement global est environ 2 fois celui du CO2e.</t>
  </si>
  <si>
    <t>Emissions OE sites de l'entreprise Ionisos</t>
  </si>
  <si>
    <t>Emissions liées à la consommation de gaz de l'entreprise Ionisos</t>
  </si>
  <si>
    <t xml:space="preserve">Ainsi , en faisant l'hypothèse que la consommation de gaz est principalement liée aux sites de stérilisation à l'oxyde d'éthymène, on obtient : </t>
  </si>
  <si>
    <t>Emissions consommation de gaz</t>
  </si>
  <si>
    <t>Emissions fuites d'OE</t>
  </si>
  <si>
    <t>III - Déplacements domicile/travail</t>
  </si>
  <si>
    <t>Dans cette partie, nous nous intéressons aux déplacements domicile travail des professionnels des sites de stérilisation.</t>
  </si>
  <si>
    <t>Nom du site</t>
  </si>
  <si>
    <t>Mode de stérilisation</t>
  </si>
  <si>
    <t>Bautzen (Allemagne)</t>
  </si>
  <si>
    <t>Tarançon (Espagne)</t>
  </si>
  <si>
    <t>Chausmenil</t>
  </si>
  <si>
    <t>Estimation https://www.ionisos.com/wp-content/uploads/2023/11/Sustainability-report-2022-1.pdf</t>
  </si>
  <si>
    <t>Sablé sur Sarthe</t>
  </si>
  <si>
    <t>Le seul site nucléaire de la Sarthe appelé à se montrer plus vigilant sur ses procédures de sûreté (ouest-france.fr)</t>
  </si>
  <si>
    <t>Pouzaugues</t>
  </si>
  <si>
    <t>Rapport annuel TSN Pouzauges 2019 (sevremont.fr)</t>
  </si>
  <si>
    <t>Dagneux</t>
  </si>
  <si>
    <t>Tallin</t>
  </si>
  <si>
    <t>Gien</t>
  </si>
  <si>
    <t>Civrieux</t>
  </si>
  <si>
    <t>Emissions déplacements D/T (kgCO2e)</t>
  </si>
  <si>
    <t>Emissions par déplacements D/T par kg de produit</t>
  </si>
  <si>
    <t>Sites de Sablé + Pouzaugues + Dagneux</t>
  </si>
  <si>
    <t>Site de Gien + Civrieux</t>
  </si>
  <si>
    <t>Emissions déplacements D/T</t>
  </si>
  <si>
    <t>* pour la stérilisation X-Ray, faute de données on prend pour l'instant les mêmes valeurs pour pour la stérilisation E-Beam.</t>
  </si>
  <si>
    <t>IV - Immobilisations : infrastructures</t>
  </si>
  <si>
    <t>Dans cette partie, nous nous intéressons aux émissions liées à la construction des infrastructures.</t>
  </si>
  <si>
    <t>Estimation d'après Google Earth</t>
  </si>
  <si>
    <t>Emissions Immobilisations (kgCO2e)</t>
  </si>
  <si>
    <t>Emissions Immobilisation par kg de produit</t>
  </si>
  <si>
    <t>Emissions Immobilisations</t>
  </si>
  <si>
    <t>* pour la stérilisation X-Ray, faute de données on prend pour l'instant les mêmes valeurs pour pour la stérilisation gamma.</t>
  </si>
  <si>
    <t>V - Transport marchandises</t>
  </si>
  <si>
    <t>On fait dans un premier temps les hypothèses suivantes :</t>
  </si>
  <si>
    <t>1) un taux de chargement des camion moyen de 50%</t>
  </si>
  <si>
    <t>2) un trajet d'une distance moyenne de 1000 km</t>
  </si>
  <si>
    <t>Taux de chargement des camions</t>
  </si>
  <si>
    <t>Facteur d'émissions (Europe)</t>
  </si>
  <si>
    <t>Taux de chargement 20%</t>
  </si>
  <si>
    <t>Taux de chargement 50%</t>
  </si>
  <si>
    <t>Taux de chargement 100%</t>
  </si>
  <si>
    <t>Taux de chargement 70%</t>
  </si>
  <si>
    <t>Déduis à partir des données précédentes</t>
  </si>
  <si>
    <t xml:space="preserve">Nous utilisons finalement des données transmises par un industriel, à savoir : </t>
  </si>
  <si>
    <t>A noter que nious faisons ici l'hypothèse que tous les modes de stérilisation impliquent les mêmes distances parcourues.</t>
  </si>
  <si>
    <t>Le calcul serait à approfondit en distinguant les modes de stérilisation.</t>
  </si>
  <si>
    <t>VI - Intrants</t>
  </si>
  <si>
    <t>Dans cette partie, on s'intéresse aux intrants de sites de stérilisation.</t>
  </si>
  <si>
    <t>En effet, les sites nécessitent la produciton de différents intrants, par exemple la production d'oxyde d'éthylène et du Cobalt 60.</t>
  </si>
  <si>
    <t>Faute de données disponible, nous n'avons à ce jour pas pris en compte les émissions induites par la production de ces intrants.</t>
  </si>
  <si>
    <t>Dans cet onglet, on rassemble des données qui faciliteront les calculs de l'empreinte carbone de divers matériaux.</t>
  </si>
  <si>
    <t>On calcule notamment l'empreinte carbone du CR-39, des plastiques à usage médical, et des alliages pour les implants.</t>
  </si>
  <si>
    <t>CR-39</t>
  </si>
  <si>
    <t>On s'inspire ici de la méthode de Piffoux et al. (2024) qui a montré une forte corrélation entre prix des API sur le marché indien et empreinte carbone.</t>
  </si>
  <si>
    <t>On l'hypothèse qu'il existe une telle corrélation pour les plastiques, avec les prix sur le marché chinois (Alibaba)</t>
  </si>
  <si>
    <t>On regarde dans un premier temps des plastiques dont l'empreinte carbone est renseignée dans EcoInvent :</t>
  </si>
  <si>
    <t>Piffoux et al.</t>
  </si>
  <si>
    <t>Carbon footprint of oral medicines using hybrid life cycle assessment - ScienceDirect</t>
  </si>
  <si>
    <t>Type de plastique</t>
  </si>
  <si>
    <t>Prix (en $/kg)</t>
  </si>
  <si>
    <t xml:space="preserve">Facteur d'émissions </t>
  </si>
  <si>
    <t>Ethylene Glycol</t>
  </si>
  <si>
    <t>Ethylene Glycol Ethylene Glycol Price Cas 107-21-1 Ethylene Glycol - Buy Ethylene Glycol buy Ethylene Glycol ethylene Glycol Price Product on Alibaba.com</t>
  </si>
  <si>
    <t>Mt45 Mfr43 Pp Material Polypropylene Pp Polypropylene Price Per Kg Pp Material Polypropylene For Food Grade - Buy Polypropylene Resin Polypropylene Pp Pp Granules Pp Material Plastic Pp Virgin Plastic Granules,Pp T30s Polypropylene Polypropylene Resin Polypropylene Granules Plastic Granule Raw Material Machine,Polypropylene Homopolymer Resin Pp Polypropylene Natural Pp Granules Virgin Pp Granules Product on Alibaba.com</t>
  </si>
  <si>
    <t>HDPE</t>
  </si>
  <si>
    <t>Hdpe 8008h/6097 Polyethylene High Density Polyethylene Ldpe Granules Hdpe Granules Lldpe Stretch Film - Buy Virgin Ldpe Granules Raw Material Sabic Lldpe Dow Lldpe Lldpe Granule Geomembrane Hdpe 1mm,Plastic Injection Mould Miniatures Sabic Lldpe 218w Hdpe Bottle Air Pot Hdpe Hdpe Bottle 500 Ml,Virgin Plastic Granules 2426h Lldpe Resin Hdpe Pipe Prices Hdpe Plastic Sheet Hdpe Shampoo Bottle Product on Alibaba.com</t>
  </si>
  <si>
    <t>LDPE</t>
  </si>
  <si>
    <t>High Quality Virgin Ldpe Granules Film Grade Plastic Raw Material High Toughness Raw Polyethylene Granules Hdpe Ldpe - Buy Film Grade Plastic Raw Material Ldpe Resin Plastic Granule high Toughness Raw Polyethylene Granules Product on Alibaba.com</t>
  </si>
  <si>
    <t>Polycarbonate</t>
  </si>
  <si>
    <t>Pc Base Blue Pc Polycarbonate Granules Raw Material Clear Transparent Plastic Pc Resin - Buy Harga Bahan Baku Pc Dengan Harga Resin Plastik Polikarbonat pionext Pc-flexible Flexible Resin 3d Printing 405 transparent 3d Printing Service Pc Resin Clear 3d Printing Parts pc/abs Resin Pellet polycarbonate Granules polycarbonate Granules Price granulated Polycarbon polycarbonate Granule 25kg Bag makrolon Polycarbonate Granules black Polycarbonate Granules Product on Alibaba.com</t>
  </si>
  <si>
    <t>PMMA</t>
  </si>
  <si>
    <t>Pmma Cm-205 Cm-211 Cm-207 80n 982j 560f Sr8500 V150 P-611 V825 Sg7 Sg10 V920 Resin Granules Pellets - Buy Pmma Ineos Plastic Raw Material,Pmma 20hr 140hf 17op P20mh In20hr 60ms Sf01 Hd01a Hd08l Hd01b Granules,Pmma 8n 65 Gs 249 8h Tr1000 Eg930 Mf-001 Vh-001 Vrl40-001 Md-001 Product on Alibaba.com</t>
  </si>
  <si>
    <t xml:space="preserve">On obtient ainsi : </t>
  </si>
  <si>
    <t>Emissions par dollar</t>
  </si>
  <si>
    <t>kgCO2e/$ chinois</t>
  </si>
  <si>
    <t>On regarde dans un second temps les prix de l'allyl diglycol carbonate (le CR39 est aussi appellé Poly(allyl diglycol carbonate)) :</t>
  </si>
  <si>
    <t>Nom matériaux</t>
  </si>
  <si>
    <t>Prix d'achat (fourchette basse)</t>
  </si>
  <si>
    <t>Diallyl 2 2'-oxydiethyl dicarbonate Allyl Diglycol Carbonate (ADC)CAS 142-22-3</t>
  </si>
  <si>
    <t>Diallyl 2 2'-oxydiethyl Dicarbonate Allyl Diglycol Carbonate (adc)cas 142-22-3 In Lowest Price. - Buy Allyl Diglycol Carbonate,Diallyl 2 2'-oxydiethyl Dicarbonate,142-22-3 Product on Alibaba.com</t>
  </si>
  <si>
    <t>5$ à 15$</t>
  </si>
  <si>
    <t>Allyl Diglycol Carbonate 142-22-3</t>
  </si>
  <si>
    <t>Allyl Diglycol Carbonate 142-22-3 - Buy Allyl Diglycol Carbonate,142-22-3,Allyl Diglycol Carbonate Product on Alibaba.com</t>
  </si>
  <si>
    <t>10$</t>
  </si>
  <si>
    <t>"Used to make glass lens"</t>
  </si>
  <si>
    <t>Ainsi, on obtient (en prenant le prix le plus bas trouvé) :</t>
  </si>
  <si>
    <t>Emissions du CR39</t>
  </si>
  <si>
    <t>Plastiques à usage médical</t>
  </si>
  <si>
    <t>Les matériaux utilisés sont à usage médical, ce qui nécessaire plus de tests et de pureté.</t>
  </si>
  <si>
    <t>Dans un premier temps, on regarde la différence de prix entre plastique à usage médical et plastique ordinaire.</t>
  </si>
  <si>
    <t>On regarde les prix sur le marché chinois (via https://fr.made-in-china.com/).</t>
  </si>
  <si>
    <t>Non medical PP</t>
  </si>
  <si>
    <t>Medical grade PP</t>
  </si>
  <si>
    <t>Source 7</t>
  </si>
  <si>
    <t>Source 8</t>
  </si>
  <si>
    <t>Source 9</t>
  </si>
  <si>
    <t>Source 10</t>
  </si>
  <si>
    <t>Source 11</t>
  </si>
  <si>
    <t>Ainsi, le plastique de grade medical est en moyenne 25% plus cher.</t>
  </si>
  <si>
    <t>Cepandant, cette différence de prix n'implique pas une différence de 25% de l'empreinte carbone.</t>
  </si>
  <si>
    <t>Afin de refléter les différences induites par le plastique à usage medical, on fera l'hypothèse suivante :</t>
  </si>
  <si>
    <t>Facteur multiplicatif si le plastique est à usage médical (après discussion avec acteurs)</t>
  </si>
  <si>
    <t>2) Transformation du plastique en salle blanche</t>
  </si>
  <si>
    <t>On utilise les données d'EcoInvent pour l'injection de plastique, pour les pertes de matières premières liées à l'injection de plastique.</t>
  </si>
  <si>
    <t xml:space="preserve">On utilise également les données suivantes : </t>
  </si>
  <si>
    <t>Consommation d'énergie (kWh/kg)</t>
  </si>
  <si>
    <t>Rendement</t>
  </si>
  <si>
    <t>Injection de plastique en salle blanche</t>
  </si>
  <si>
    <t>2023 CSR Report</t>
  </si>
  <si>
    <t>Données communiquées par un industriel</t>
  </si>
  <si>
    <t>Ainsi, on calcule, avec les données d'EcoInvent pour l'électricité :</t>
  </si>
  <si>
    <t>Emissions supplémenetaires par kg de plastique (en kgCO2e)</t>
  </si>
  <si>
    <t>Reste of the World</t>
  </si>
  <si>
    <t>Pertes matériaux</t>
  </si>
  <si>
    <t xml:space="preserve">On arrive ainsi au résultat suivant : </t>
  </si>
  <si>
    <t>Etape de fabrication</t>
  </si>
  <si>
    <t>Plastique à usage médical France</t>
  </si>
  <si>
    <t>Plastique à usage médical Europe</t>
  </si>
  <si>
    <t>Plastique à usage médical Reste of the World</t>
  </si>
  <si>
    <t>Plastique "ordinaire" Europe</t>
  </si>
  <si>
    <t>Plastique "ordinaire" Reste of the World</t>
  </si>
  <si>
    <t>Transformations - moulage par injection</t>
  </si>
  <si>
    <t>Alliages pour implants</t>
  </si>
  <si>
    <t>1) Alliage de titane - Ti-6AI-4V</t>
  </si>
  <si>
    <t>On utilise ici principalement une étude, qui détaille le processus de fabrication conventionnelle d'une prothèse de genou en Ti-6AI-4V.</t>
  </si>
  <si>
    <t xml:space="preserve">Source : Lyons, Ronan; Newell, Anthony; Ghadimi, Pezhman; Papakostas, Nikolaos . (2020). Environmental impacts of conventional and additive manufacturing for the production of Ti-6Al-4V knee implant: a life cycle approach. The International Journal of Advanced Manufacturing Technology, (), –. doi:10.1007/s00170-020-06367-7 </t>
  </si>
  <si>
    <t xml:space="preserve">On fait plusieurs hypothèses : </t>
  </si>
  <si>
    <r>
      <rPr>
        <b/>
        <sz val="11"/>
        <color rgb="FF7030A0"/>
        <rFont val="Arial"/>
        <family val="2"/>
        <scheme val="minor"/>
      </rPr>
      <t>Hyp :</t>
    </r>
    <r>
      <rPr>
        <sz val="11"/>
        <color theme="1"/>
        <rFont val="Arial"/>
        <family val="2"/>
        <scheme val="minor"/>
      </rPr>
      <t xml:space="preserve"> On néglige les méthode de fabrication "additive" (fraisage) et on fait l'hypothèse que les méthodes "conventionnelles" sont majoritairement utilisées</t>
    </r>
  </si>
  <si>
    <r>
      <rPr>
        <b/>
        <sz val="11"/>
        <color rgb="FF7030A0"/>
        <rFont val="Arial"/>
        <family val="2"/>
        <scheme val="minor"/>
      </rPr>
      <t xml:space="preserve">Hyp : </t>
    </r>
    <r>
      <rPr>
        <sz val="11"/>
        <color theme="1"/>
        <rFont val="Arial"/>
        <family val="2"/>
        <scheme val="minor"/>
      </rPr>
      <t>On fait l'hypothèse que le titane utilisé n'est pas recyclé et ne provient pas de titane recyclé.</t>
    </r>
  </si>
  <si>
    <t>On étudie, comme dans l'étude citée, la fabrication d'une prothèse de 0,2 kg.</t>
  </si>
  <si>
    <t>Selon cette étude, on a :</t>
  </si>
  <si>
    <t>Masse (en kg)</t>
  </si>
  <si>
    <t>Masse de l'implant de genoux</t>
  </si>
  <si>
    <t>Masse de matériaux nécessaire à la fabrication d'une pièce de 0,2g</t>
  </si>
  <si>
    <t>Quantité de titane perdue via des méthodes de production "conventionnelle" (fraisage)</t>
  </si>
  <si>
    <t xml:space="preserve">On choisit toutefois des données partagées par un industriel : </t>
  </si>
  <si>
    <t>Consommation d'energie primaire (MJ/kg de titane)</t>
  </si>
  <si>
    <t>CO2 emissions (kg/kg de titane)</t>
  </si>
  <si>
    <t>Fabrication de la pièce</t>
  </si>
  <si>
    <t>Consommation d'energie primaire (MJ/pièce)</t>
  </si>
  <si>
    <t>CO2 emissions (kg/pièce)</t>
  </si>
  <si>
    <t>Post-traitement</t>
  </si>
  <si>
    <t xml:space="preserve">Dégrossissage </t>
  </si>
  <si>
    <t xml:space="preserve">Finition </t>
  </si>
  <si>
    <t>Polissage</t>
  </si>
  <si>
    <t>Total par pièce</t>
  </si>
  <si>
    <t>Emissions totales de CO2 par kilo d'un implant en Ti-6AI-4V</t>
  </si>
  <si>
    <t>Facteur d'émissions - production de la matière première</t>
  </si>
  <si>
    <t>KgCO2e/kg</t>
  </si>
  <si>
    <t>Données issue d'EcoInvent, auxquelles on ajoute les pertes</t>
  </si>
  <si>
    <t>Facteur d'émissions - fabrication et post-traitement</t>
  </si>
  <si>
    <t>Facteur d'émissions - total</t>
  </si>
  <si>
    <t>2) Alliage Chrome-Cobalt</t>
  </si>
  <si>
    <t>On utilise ici les travaux de la thèse de Camille Delaie, qui détaille le processus de fabrication de l'alliage Chrome-cobalt :</t>
  </si>
  <si>
    <t>Production matières premières :</t>
  </si>
  <si>
    <t>Répartition des matériaux</t>
  </si>
  <si>
    <t>FE Ecoinvent utilisé</t>
  </si>
  <si>
    <t>Market for Chromium</t>
  </si>
  <si>
    <t>Cobalt</t>
  </si>
  <si>
    <t>Market for Cobalt</t>
  </si>
  <si>
    <t>Molybdène</t>
  </si>
  <si>
    <t>Market for molybdenum</t>
  </si>
  <si>
    <t>On fait l'hypothèse que d'un taux de pertes de 40% environ (données partagées par un industriel). De plus, environ 50% de ces pertes sont recyclées.</t>
  </si>
  <si>
    <t>Emissions de CO2 par kg d'un implant</t>
  </si>
  <si>
    <t xml:space="preserve">Ainsi, 4 étapes ensuite sont nécessaires : </t>
  </si>
  <si>
    <t xml:space="preserve">(1) coulées brutes d'alliage de COCrMo (aux US, mélanges de poudres de minerais et fusion à haute température) </t>
  </si>
  <si>
    <t>(2) Moulage des pièces par fonderie</t>
  </si>
  <si>
    <t>(3) Traitement de surfaces (+ polissage)</t>
  </si>
  <si>
    <t>(4) Usinage (fraisage, percage)</t>
  </si>
  <si>
    <t>Ces donnés étant similaires au processus de fabrication des implants en titane, on prend les mêmes émissions pour la production.</t>
  </si>
  <si>
    <t>Emissions totales de CO2 par kilo d'un implant en Chrome/Cobalt</t>
  </si>
  <si>
    <t>On prend pour l'instant la même valeur que pour le titane</t>
  </si>
  <si>
    <t>3) Plastique PEEK</t>
  </si>
  <si>
    <t>On utilise ici les études réalisées par Victrex, l'un des principaux producteur du plastique PEEK :</t>
  </si>
  <si>
    <t>Victrex plc Annual Report 2022 (wp-victrexplc-2020.s3.eu-west-2.amazonaws.com)</t>
  </si>
  <si>
    <t xml:space="preserve">Selon cette entreprise, on a : </t>
  </si>
  <si>
    <t>Périmètre</t>
  </si>
  <si>
    <t>ACV du plastique PEEK - donnée de l'entreprise</t>
  </si>
  <si>
    <t>production, raw materials and parts, and inbound logistics, and uses 100% Victrex made BDF</t>
  </si>
  <si>
    <t>ACV du plastique PEEK - moyenne mondiale</t>
  </si>
  <si>
    <t>Empreinte carbone de l'entreprise</t>
  </si>
  <si>
    <t>Scope 1, 2, 3 de l'entreprise Victrex : inclut donc les achats de services, les immobilisations, le traitement des déchets, les déplacements D/T ou professionnels.</t>
  </si>
  <si>
    <t xml:space="preserve">On obtient le résultat suivant en émissions par m2 : </t>
  </si>
  <si>
    <t>DM</t>
  </si>
  <si>
    <t>Emissions liées à la consommation d'énergie - Chine</t>
  </si>
  <si>
    <t>Emissions par an par m2 (en kgCO2e)</t>
  </si>
  <si>
    <t>Emissions liées à la consommation d'énergie - Europe</t>
  </si>
  <si>
    <t>Emissions liées à la consommation d'énergie</t>
  </si>
  <si>
    <t>Emissions liées à la consommation d'énergie - France</t>
  </si>
  <si>
    <t>Emissions liées à la consommation d'EPI</t>
  </si>
  <si>
    <t>Emissions liées à l'entretien</t>
  </si>
  <si>
    <t xml:space="preserve">On utilise également les données d'une industrie du plastique : </t>
  </si>
  <si>
    <t>Volume produit par an sur un site de production en salle blanche</t>
  </si>
  <si>
    <t>kg produits par m2</t>
  </si>
  <si>
    <t>Emissions supplémentaires liées à une production en salle blanche</t>
  </si>
  <si>
    <t>kgCO2e/kg pour une production en Europe</t>
  </si>
  <si>
    <t>Ce qui parait cohérent avec le résultat trouvé en Annexe-Matériaux.</t>
  </si>
  <si>
    <t>I - Consommations énergétiques</t>
  </si>
  <si>
    <t>Ces consommations énergétiques sont principalement due à la climatisation, à la ventilation et au chauffage requisi spécifiquement dans les salles blanches.</t>
  </si>
  <si>
    <t>On utilise une étude de l'Aspec, d'EDF et de l'ADEME, Performance énergétique en ambiance propre (2016).</t>
  </si>
  <si>
    <t>Selon cette étude, les salles blanches des industries du dispositifs médical consommation chaque année 0,372 TWh.</t>
  </si>
  <si>
    <t>Cette étude calcule également les surfaces de salle propre des industries des dispositifs médicaux : 240 000m2.</t>
  </si>
  <si>
    <t>En estimant les différentes surfaces de salles blanches, on obtient :</t>
  </si>
  <si>
    <t>Industries du DM</t>
  </si>
  <si>
    <t>Consommation moyenne des salles blanches :</t>
  </si>
  <si>
    <t>kWh/m2</t>
  </si>
  <si>
    <t xml:space="preserve">Cette moyenne est confirmée par d'autres données : </t>
  </si>
  <si>
    <t xml:space="preserve">On a également la décomposition suivante (Aspec, ISO 8) : </t>
  </si>
  <si>
    <t>Consommation moyenne</t>
  </si>
  <si>
    <t>Répartition des usages</t>
  </si>
  <si>
    <r>
      <t xml:space="preserve">Exemple issue de </t>
    </r>
    <r>
      <rPr>
        <b/>
        <i/>
        <sz val="11"/>
        <color theme="4"/>
        <rFont val="Calibri"/>
        <family val="2"/>
      </rPr>
      <t>Performance énergétique en ambiance propre</t>
    </r>
    <r>
      <rPr>
        <b/>
        <sz val="11"/>
        <color theme="4"/>
        <rFont val="Calibri"/>
        <family val="2"/>
      </rPr>
      <t xml:space="preserve"> (2016).</t>
    </r>
  </si>
  <si>
    <t>Froid</t>
  </si>
  <si>
    <t>Données transmises par un industriel</t>
  </si>
  <si>
    <t>Chauffage</t>
  </si>
  <si>
    <t>Ventilation</t>
  </si>
  <si>
    <t>Guide de l'Ultra-propreté, édition 2020-2022</t>
  </si>
  <si>
    <t>entre 1067 et 1633</t>
  </si>
  <si>
    <r>
      <rPr>
        <b/>
        <sz val="11"/>
        <color rgb="FF7030A0"/>
        <rFont val="Arial"/>
        <family val="2"/>
        <scheme val="minor"/>
      </rPr>
      <t xml:space="preserve">Hyp : </t>
    </r>
    <r>
      <rPr>
        <sz val="11"/>
        <color theme="1"/>
        <rFont val="Arial"/>
        <family val="2"/>
        <scheme val="minor"/>
      </rPr>
      <t>90% de la consommation énergétique vient de l'électricité, 10% du gaz.</t>
    </r>
  </si>
  <si>
    <t xml:space="preserve">On utilise alors les facteurs d'émissions d'EcoInvent (électricité) et de l'ADEME (gaz), et on obtient : </t>
  </si>
  <si>
    <t>Consommations énergétiques</t>
  </si>
  <si>
    <t>Emissions totales pour une surface équivalente à l'ensemle des salles blanches françaises pour les DM</t>
  </si>
  <si>
    <t>kgCO2e/m2/an</t>
  </si>
  <si>
    <t>II - Consommables/EPI</t>
  </si>
  <si>
    <t>Estimations d'empreinte carbone</t>
  </si>
  <si>
    <t>Combinaison</t>
  </si>
  <si>
    <t>Gant x2</t>
  </si>
  <si>
    <t>Masque</t>
  </si>
  <si>
    <t>Surchaussure</t>
  </si>
  <si>
    <t>Total tenue</t>
  </si>
  <si>
    <t xml:space="preserve">Exemple Sophysa : </t>
  </si>
  <si>
    <t>Si salle de 550 m2, 2x30 employés par jour (site de besançon Sophysa)</t>
  </si>
  <si>
    <t>bts_gpme_e52_nc_2020.docx</t>
  </si>
  <si>
    <t>Chaque jour, Deux gants, une charlotte, un casaque, un masque, une charlotte</t>
  </si>
  <si>
    <t>Donc, chaque année (225 jours travaillés) :</t>
  </si>
  <si>
    <t>kgCO2/m2</t>
  </si>
  <si>
    <t>Tous DM :</t>
  </si>
  <si>
    <t xml:space="preserve">Source : </t>
  </si>
  <si>
    <t>ASPEC</t>
  </si>
  <si>
    <t>Présentation PowerPoint</t>
  </si>
  <si>
    <t>Pharma</t>
  </si>
  <si>
    <t xml:space="preserve">Nombre d'opérateurs </t>
  </si>
  <si>
    <t>Nombre de m2</t>
  </si>
  <si>
    <t>Nombre d'opérateur par m2</t>
  </si>
  <si>
    <t>Nombre d'EPI par m2 par an</t>
  </si>
  <si>
    <t>Quantité/m2/an</t>
  </si>
  <si>
    <t>Emissions annuelles par m2</t>
  </si>
  <si>
    <t>Emissions annuelles</t>
  </si>
  <si>
    <t>ktCO2e/an</t>
  </si>
  <si>
    <t>III - Entretien</t>
  </si>
  <si>
    <t>On compte ici les déplacements des professionnels chaque jour pour l'entretien des salles blanches.</t>
  </si>
  <si>
    <t>On fait pour l'instant d'un déplacement par site, tous les jours de l'année.</t>
  </si>
  <si>
    <t xml:space="preserve">Nombre de sites </t>
  </si>
  <si>
    <t>Nombre de trajets par an</t>
  </si>
  <si>
    <t>Emissions par aller-retours</t>
  </si>
  <si>
    <t>Emissions par m2</t>
  </si>
  <si>
    <t>Par la suite, on négligera ces émissions, largement inférieures aux émissions liées aux consommations d'énergie et induites par les EPI.</t>
  </si>
  <si>
    <r>
      <t xml:space="preserve">Ce document Excel présente les résultats des travaux menés par The Shift Project dans le cadre du projet sur la décarbonation des industries de santé, en partenariat avec la CNAM, le HCAAM, MGEN et avec la contribution de l'EHESP. Il contient les explications détaillées de nos méthodologies et hypothèses qui nous ont permis d'estimer l'empreinte carbone des industries des dispositifs médicaux, désagrégée par catégorie de dispositifs médicaux et par poste d'émissions. Vous trouverez l'ensemble des ressources produites dans le cadre de ce projet ici : </t>
    </r>
    <r>
      <rPr>
        <b/>
        <u/>
        <sz val="12"/>
        <color theme="9"/>
        <rFont val="Calibri (Corps)"/>
      </rPr>
      <t>https://theshiftproject.org/publications/decarbonons-industries-sante-medicaments-dm/</t>
    </r>
  </si>
  <si>
    <t>Version publiée en 10/2025</t>
  </si>
  <si>
    <r>
      <t xml:space="preserve">Pour la première fois, </t>
    </r>
    <r>
      <rPr>
        <b/>
        <sz val="12"/>
        <color rgb="FF000000"/>
        <rFont val="Calibri"/>
        <family val="2"/>
      </rPr>
      <t>nous proposons une estimation de l'empreinte carbone de différents dispositifs médicaux (DM) consommés en France, sur la base de flux physiques</t>
    </r>
    <r>
      <rPr>
        <sz val="12"/>
        <color rgb="FF000000"/>
        <rFont val="Calibri"/>
        <family val="2"/>
      </rPr>
      <t xml:space="preserve"> : kilomètres parcourus, poids, énergies consommées, etc.
Pour cela, nos calculs se décomposent, pour chaque catégorie de DM, en deux étapes : </t>
    </r>
  </si>
  <si>
    <r>
      <t xml:space="preserve">Afin de garantir la transparence de nos calculs, nous détaillons dans ce tableur autant que possible les calculs faits pour construire les résultats présentés dans notre rapport publié en juin 2025. 
Toutefois, certaines données qui nous ont été partagées sont soumises à des restrictions de confidentialité. Cela est notamment le cas pour les données partagées par des industries (analyse de cycle de vie, données de marché, etc.), ainsi que pour les facteurs d'émissions de la base de données EcoInvent. Ainsi, ces données ne figurent pas sur ce document. Les données EcoInvent restent néanmoins accessibles sur </t>
    </r>
    <r>
      <rPr>
        <u/>
        <sz val="12"/>
        <color theme="9"/>
        <rFont val="Calibri"/>
        <family val="2"/>
      </rPr>
      <t>https://ecoinvent.org/</t>
    </r>
    <r>
      <rPr>
        <sz val="12"/>
        <color rgb="FF000000"/>
        <rFont val="Calibri"/>
        <family val="2"/>
      </rPr>
      <t xml:space="preserve"> aux personnes disposant d’une licence.
</t>
    </r>
  </si>
  <si>
    <t>Pour obtenir l'empreinte carbone de l'ensemble des dispositifs médicaux consommés en France, nous utilisont toujours un ratio monétaire.</t>
  </si>
  <si>
    <t xml:space="preserve">En effet, le nombre extrêmement élevé de références ne permet pas d'avoir une analyse au cas par cas. </t>
  </si>
  <si>
    <r>
      <rPr>
        <b/>
        <sz val="11"/>
        <color theme="1"/>
        <rFont val="Arial"/>
        <family val="2"/>
        <scheme val="minor"/>
      </rPr>
      <t>En résumé</t>
    </r>
    <r>
      <rPr>
        <sz val="11"/>
        <color theme="1"/>
        <rFont val="Arial"/>
        <family val="2"/>
        <scheme val="minor"/>
      </rPr>
      <t xml:space="preserve"> : pour nos analyses par catégorie nous utilisons les flux physiques mais pour le chiffre global, nous utilisons des données monétaires</t>
    </r>
  </si>
  <si>
    <t>Valeur retenue dans notre rapport</t>
  </si>
  <si>
    <t>Les données de ce tableau sont exprimées en ktCO2e</t>
  </si>
  <si>
    <t>Masse mise en jeu (tonnes)</t>
  </si>
  <si>
    <t>Quantité de matière, hors pertes</t>
  </si>
  <si>
    <t>Intensité carbone massique (kgCO2e/kg)</t>
  </si>
  <si>
    <t>Quantité de matière, hors pertes (données exprimées en tonnes)</t>
  </si>
  <si>
    <t>Part de production française dans la production totale</t>
  </si>
  <si>
    <t xml:space="preserve">Autrement dit, les émissions des DM produits en France sont exprimées par rapport à la production en Asie. </t>
  </si>
  <si>
    <t>Il est estimé que les établissements hospitaliers génèraient en 2010 1050kg de déchets par lit et place et par an.</t>
  </si>
  <si>
    <t>Quantité de déchets par lits et places en France</t>
  </si>
  <si>
    <t>Basé sur une comparaison entre les deux premières sources et leur périmètre d'étude respectifs (plastiques, et plastiques des produits médicaux), nous faisons l'hypothèse que 50% des déchets plastiques sont des produits médicaux.</t>
  </si>
  <si>
    <t xml:space="preserve">Emissions (en kgCO2e/kg de produit) en fonction de la provenance </t>
  </si>
  <si>
    <t>On regarde dans un premier temps les données reportées dans l'onglet "consommables - consos hôpital" :</t>
  </si>
  <si>
    <t>Poids moyen (en g/unité ou g/m^2)</t>
  </si>
  <si>
    <t>Les trois sources explorées visent essentiellement à vérifier une convergence dans les données trouvées en fonction des sources et hypohtèses choisies.</t>
  </si>
  <si>
    <t>Les données des douanes françaises semblent confirmer l'ordre de grandeur des valeurs trouvées.</t>
  </si>
  <si>
    <t>On se concentre ici sur les consommations des chirurgiens dentistes et des médecins géénralistes.</t>
  </si>
  <si>
    <t>Une fois les consommations estimées, on peut alors faire une estimation des émissions induites par ces consommations.</t>
  </si>
  <si>
    <t>Selon cette étude, le transport en bâteau depuis la Malaisie et la Chine représente entre 6 et 8% des émissions</t>
  </si>
  <si>
    <t>On recalcule les émissions liées à la fabrication des matières premières, en sachant qu'à peu près 50% des gants sont en nitrile, et 50% sont en PVC :</t>
  </si>
  <si>
    <t xml:space="preserve">Pour les matières premières, on regarde les différences d'empreintes carbone entre une production européenne et hors européenne : </t>
  </si>
  <si>
    <t>On fait l'hypothèse que l'empreinte des matière première est proportionnelle à l'empreinte de la production d'acetonitrile.</t>
  </si>
  <si>
    <t>On ajoute également la production en salle blanche. On prend les mêmes valeurs par kg que pour l'injection de plastique disponible dans l'Annexe - Matériaux de cet excel</t>
  </si>
  <si>
    <t>Pourquoi les résultats de ce tableau ne sont pas donnés en formule mais en résultats bruts ? Dommage pour ne pas comprendre un peu mieux le raisonnement. Après, si infine tu masques les données Ecoinvent (ce qu'il va malheureusement falloir faire), alors les formules ne pourront effectivement pas apparaitre</t>
  </si>
  <si>
    <t>On suppose que tous les EPI sont stérilisés à l'oxyde d'ethylène.</t>
  </si>
  <si>
    <t>1) On évalue les consommations annuels d'équipements, en évaluant la taille du parc d'équipement d'imagerie et des achats annuels d'équipement</t>
  </si>
  <si>
    <t>Une fois la taille du parc estimée, on peut alors faire une estimation des émissions induites par ces équipements</t>
  </si>
  <si>
    <t>On utilise les données issues de diverses études pour obtenir les consommations d'électricité induites par les différents équipements d'imagerie.</t>
  </si>
  <si>
    <t>On ne tient pas compte dans notre périmètre des consomamtions induites par la climatisation, la ventilation et le chauffage.</t>
  </si>
  <si>
    <t xml:space="preserve">Ainsi, si nous menons une analyse sur la base de flux physiques et non monétaires pour de nombreuses catégories de DM, nous ne couvrons pas l'ensemble des DM. </t>
  </si>
  <si>
    <t>Erratum : 496 kgCO2e/kg pour les verres optiques dans le rapport final. Cette erreur était liée à une coquille dans les calculs, mais ne change pas l'interprétation des résultats.</t>
  </si>
  <si>
    <t xml:space="preserve">N.B. : Les données sont normalisées par rapport à une production asiatique. </t>
  </si>
  <si>
    <t>Répartition parmi les déchets de produits en plastique</t>
  </si>
  <si>
    <t>Total masse de plastique (g/patient/jour)</t>
  </si>
  <si>
    <t>Total masse de produits (g/patient/jour)</t>
  </si>
  <si>
    <t>On regarde ici l'empreinte carbone des consommables plastiques hospitaliers évalués précédemment, mais aussi des autres consommables : urologie, etc.</t>
  </si>
  <si>
    <t>3) (Bilan : empreinte carbone de l'ensemble des consommables plastiques)</t>
  </si>
  <si>
    <t>Environ 48% de la masse des déchets étaient en plastique.</t>
  </si>
  <si>
    <t>On cherche d'abord à .estimer le volume de consommables en plastique consommé annuellement à l'hôpital.</t>
  </si>
  <si>
    <t xml:space="preserve">A l'aide des calculs obtenus via les méthodes détaillées à la suite de cet onglet, on obtient : </t>
  </si>
  <si>
    <t>Répartition, en masse de produit</t>
  </si>
  <si>
    <t>Casaques (unité)</t>
  </si>
  <si>
    <t>Gants (unité)</t>
  </si>
  <si>
    <t>Champs (m2)</t>
  </si>
  <si>
    <t>Blouses visiteurs (unité)</t>
  </si>
  <si>
    <t xml:space="preserve">Enfin, on regarde également les données d'importation et d'exportation des douanes françaises de 2023 : </t>
  </si>
  <si>
    <t>Source : Douanes françaises, Données publiques, 2024. https://www.douane.gouv.fr/la-douane/opendata</t>
  </si>
  <si>
    <t xml:space="preserve">De nouvelle données internes, calculées par le Labo1point5 et Ecovamed nous permettent d'obtenir les émissions liées à la production : </t>
  </si>
  <si>
    <t>Lorsque que l'on représente l'empreinte carbone par unité selon l'intensité carbone de l'électricité du pays de production, en retirant la part du transport et en prenant 6% pour la Chine et 8% pour la Malaisie, on obtient une corrélation presque parfaite, et ce si l'on regarde des FE issus de la Base Empreinte ou issus de EcoInvent.</t>
  </si>
  <si>
    <t>Il faut 0,8065 kWh/kg de produit pour la transformation en tissu-non-tissé (EcoInvent).</t>
  </si>
  <si>
    <t>Facteur d'émissions utilisé pour le plastique (kgCO2e/kg)</t>
  </si>
  <si>
    <t>Obtenu à partir des coûts environnementaux, https://www.philips.com/c-dam/corporate/about-philips/sustainability/downloads/ecovision-methodologies/epl-methodology.pdf</t>
  </si>
  <si>
    <t>Lorsque les données de masses ne sont pas accessibles, on utilise les ratios des scanners.</t>
  </si>
  <si>
    <t>Ratio émissions liées aux transformations des MP / émissions liées à la production des MP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</si>
</sst>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43" formatCode="_-* #,##0.00_-;\-* #,##0.00_-;_-* &quot;-&quot;??_-;_-@_-"/>
    <numFmt numFmtId="164" formatCode="_ * #,##0.00_)_ ;_ * \(#,##0.00\)_ ;_ * &quot;-&quot;??_)_ ;_ @_ "/>
    <numFmt numFmtId="165" formatCode="_ * #,##0_)_ ;_ * \(#,##0\)_ ;_ * &quot;-&quot;??_)_ ;_ @_ "/>
    <numFmt numFmtId="166" formatCode="_ * #,##0.0_)_ ;_ * \(#,##0.0\)_ ;_ * &quot;-&quot;??_)_ ;_ @_ "/>
    <numFmt numFmtId="167" formatCode="_-* #,##0_-;\-* #,##0_-;_-* &quot;-&quot;??_-;_-@_-"/>
    <numFmt numFmtId="168" formatCode="0.0"/>
    <numFmt numFmtId="169" formatCode="ddd\,\ m/d/yyyy"/>
    <numFmt numFmtId="170" formatCode="m/d/yy;@"/>
    <numFmt numFmtId="171" formatCode="0.0%"/>
    <numFmt numFmtId="172" formatCode="_-* #,##0.0\ _€_-;\-* #,##0.0\ _€_-;_-* &quot;-&quot;?\ _€_-;_-@_-"/>
    <numFmt numFmtId="173" formatCode="_ * #,##0.000_)_ ;_ * \(#,##0.000\)_ ;_ * &quot;-&quot;??_)_ ;_ @_ "/>
    <numFmt numFmtId="174" formatCode="_-* #,##0.00\ _€_-;\-* #,##0.00\ _€_-;_-* &quot;-&quot;??\ _€_-;_-@_-"/>
    <numFmt numFmtId="175" formatCode="_-* #,##0.000\ _€_-;\-* #,##0.000\ _€_-;_-* &quot;-&quot;???\ _€_-;_-@_-"/>
    <numFmt numFmtId="176" formatCode="_ * #,##0.0000_)_ ;_ * \(#,##0.0000\)_ ;_ * &quot;-&quot;??_)_ ;_ @_ "/>
    <numFmt numFmtId="177" formatCode="0.0000"/>
    <numFmt numFmtId="178" formatCode="0.0E+00"/>
    <numFmt numFmtId="179" formatCode="_-* #,##0.000\ _€_-;\-* #,##0.000\ _€_-;_-* &quot;-&quot;?\ _€_-;_-@_-"/>
    <numFmt numFmtId="180" formatCode="_-* #,##0.000_-;\-* #,##0.000_-;_-* &quot;-&quot;??_-;_-@_-"/>
    <numFmt numFmtId="181" formatCode="_-* #,##0.000\ _€_-;\-* #,##0.000\ _€_-;_-* &quot;-&quot;??\ _€_-;_-@_-"/>
    <numFmt numFmtId="182" formatCode="_-* #,##0.0000_-;\-* #,##0.0000_-;_-* &quot;-&quot;??_-;_-@_-"/>
    <numFmt numFmtId="183" formatCode="_-* #,##0.0000\ _€_-;\-* #,##0.0000\ _€_-;_-* &quot;-&quot;????\ _€_-;_-@_-"/>
    <numFmt numFmtId="184" formatCode="_ * #,##0.000000_)_ ;_ * \(#,##0.000000\)_ ;_ * &quot;-&quot;??_)_ ;_ @_ "/>
    <numFmt numFmtId="185" formatCode="_-* #,##0\ _€_-;\-* #,##0\ _€_-;_-* &quot;-&quot;?\ _€_-;_-@_-"/>
    <numFmt numFmtId="186" formatCode="0.00000%"/>
  </numFmts>
  <fonts count="95">
    <font>
      <sz val="11"/>
      <color theme="1"/>
      <name val="Arial"/>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b/>
      <sz val="11"/>
      <color theme="1"/>
      <name val="Arial"/>
      <family val="2"/>
      <scheme val="minor"/>
    </font>
    <font>
      <b/>
      <sz val="22"/>
      <color theme="5"/>
      <name val="Arial"/>
      <family val="2"/>
      <scheme val="minor"/>
    </font>
    <font>
      <b/>
      <sz val="11"/>
      <color rgb="FF7030A0"/>
      <name val="Arial"/>
      <family val="2"/>
      <scheme val="minor"/>
    </font>
    <font>
      <b/>
      <sz val="18"/>
      <name val="Calibri"/>
      <family val="2"/>
    </font>
    <font>
      <b/>
      <sz val="11"/>
      <color indexed="65"/>
      <name val="Calibri"/>
      <family val="2"/>
    </font>
    <font>
      <b/>
      <sz val="11"/>
      <color theme="4"/>
      <name val="Calibri"/>
      <family val="2"/>
    </font>
    <font>
      <sz val="11"/>
      <color theme="1"/>
      <name val="Calibri"/>
      <family val="2"/>
    </font>
    <font>
      <i/>
      <sz val="11"/>
      <color theme="1"/>
      <name val="Arial"/>
      <family val="2"/>
      <scheme val="minor"/>
    </font>
    <font>
      <sz val="12"/>
      <color theme="1"/>
      <name val="Arial"/>
      <family val="2"/>
      <scheme val="minor"/>
    </font>
    <font>
      <b/>
      <sz val="12"/>
      <color theme="1"/>
      <name val="Arial"/>
      <family val="2"/>
      <scheme val="minor"/>
    </font>
    <font>
      <sz val="11"/>
      <color rgb="FF000000"/>
      <name val="Arial"/>
      <family val="2"/>
      <scheme val="minor"/>
    </font>
    <font>
      <u/>
      <sz val="11"/>
      <color theme="10"/>
      <name val="Arial"/>
      <family val="2"/>
      <scheme val="minor"/>
    </font>
    <font>
      <b/>
      <sz val="12"/>
      <color theme="4"/>
      <name val="Arial"/>
      <family val="2"/>
      <scheme val="minor"/>
    </font>
    <font>
      <b/>
      <sz val="11"/>
      <color rgb="FF000000"/>
      <name val="Arial"/>
      <family val="2"/>
      <scheme val="minor"/>
    </font>
    <font>
      <sz val="11"/>
      <color theme="0"/>
      <name val="Arial"/>
      <family val="2"/>
      <scheme val="minor"/>
    </font>
    <font>
      <b/>
      <sz val="14"/>
      <color theme="4"/>
      <name val="Calibri"/>
      <family val="2"/>
    </font>
    <font>
      <b/>
      <sz val="22"/>
      <color theme="1" tint="0.34998626667073579"/>
      <name val="Arial"/>
      <family val="2"/>
      <scheme val="major"/>
    </font>
    <font>
      <sz val="14"/>
      <color theme="1"/>
      <name val="Arial"/>
      <family val="2"/>
      <scheme val="minor"/>
    </font>
    <font>
      <u/>
      <sz val="11"/>
      <color indexed="12"/>
      <name val="Arial"/>
      <family val="2"/>
    </font>
    <font>
      <b/>
      <i/>
      <sz val="11"/>
      <color theme="4"/>
      <name val="Calibri"/>
      <family val="2"/>
    </font>
    <font>
      <sz val="7"/>
      <color rgb="FF000000"/>
      <name val="Arial"/>
      <family val="2"/>
      <scheme val="minor"/>
    </font>
    <font>
      <sz val="7"/>
      <color rgb="FF1F1F1F"/>
      <name val="Georgia"/>
      <family val="1"/>
    </font>
    <font>
      <u val="singleAccounting"/>
      <sz val="11"/>
      <color theme="5"/>
      <name val="Arial"/>
      <family val="2"/>
      <scheme val="minor"/>
    </font>
    <font>
      <b/>
      <sz val="7"/>
      <color rgb="FF5F6368"/>
      <name val="Arial"/>
      <family val="2"/>
      <scheme val="minor"/>
    </font>
    <font>
      <sz val="8"/>
      <name val="Arial"/>
      <family val="2"/>
      <scheme val="minor"/>
    </font>
    <font>
      <b/>
      <sz val="14"/>
      <color theme="3"/>
      <name val="Arial"/>
      <family val="2"/>
      <scheme val="minor"/>
    </font>
    <font>
      <b/>
      <sz val="11"/>
      <color theme="5" tint="-0.249977111117893"/>
      <name val="Arial"/>
      <family val="2"/>
      <scheme val="minor"/>
    </font>
    <font>
      <sz val="11"/>
      <color rgb="FF000000"/>
      <name val="Calibri"/>
      <family val="2"/>
    </font>
    <font>
      <sz val="6"/>
      <color rgb="FF000000"/>
      <name val="Courier New"/>
      <family val="3"/>
    </font>
    <font>
      <i/>
      <sz val="6"/>
      <color rgb="FF000000"/>
      <name val="Courier New"/>
      <family val="3"/>
    </font>
    <font>
      <b/>
      <sz val="11"/>
      <color theme="1"/>
      <name val="Times New Roman"/>
      <family val="1"/>
    </font>
    <font>
      <sz val="11"/>
      <color theme="1"/>
      <name val="Times New Roman"/>
      <family val="1"/>
    </font>
    <font>
      <sz val="9"/>
      <color indexed="81"/>
      <name val="Tahoma"/>
      <family val="2"/>
    </font>
    <font>
      <b/>
      <sz val="9"/>
      <color indexed="81"/>
      <name val="Tahoma"/>
      <family val="2"/>
    </font>
    <font>
      <sz val="7"/>
      <color theme="1"/>
      <name val="Marianne"/>
    </font>
    <font>
      <b/>
      <sz val="11"/>
      <color theme="3"/>
      <name val="Arial"/>
      <family val="2"/>
      <scheme val="minor"/>
    </font>
    <font>
      <b/>
      <sz val="11"/>
      <color theme="0"/>
      <name val="Arial"/>
      <family val="2"/>
      <scheme val="minor"/>
    </font>
    <font>
      <b/>
      <sz val="16"/>
      <color theme="3"/>
      <name val="Arial"/>
      <family val="2"/>
      <scheme val="minor"/>
    </font>
    <font>
      <sz val="8"/>
      <color rgb="FF000000"/>
      <name val="Calibri"/>
      <family val="2"/>
    </font>
    <font>
      <sz val="10"/>
      <color rgb="FF1F1F1F"/>
      <name val="Arial"/>
      <family val="2"/>
      <scheme val="minor"/>
    </font>
    <font>
      <u/>
      <sz val="11"/>
      <color theme="5"/>
      <name val="Arial"/>
      <family val="2"/>
      <scheme val="minor"/>
    </font>
    <font>
      <sz val="8"/>
      <color rgb="FF000000"/>
      <name val="Arial"/>
      <family val="2"/>
      <scheme val="minor"/>
    </font>
    <font>
      <b/>
      <sz val="8"/>
      <color rgb="FF000000"/>
      <name val="Arial"/>
      <family val="2"/>
      <scheme val="minor"/>
    </font>
    <font>
      <b/>
      <sz val="11"/>
      <color theme="1"/>
      <name val="Calibri"/>
      <family val="2"/>
    </font>
    <font>
      <b/>
      <i/>
      <sz val="11"/>
      <color theme="3"/>
      <name val="Arial"/>
      <family val="2"/>
      <scheme val="minor"/>
    </font>
    <font>
      <b/>
      <sz val="24"/>
      <color theme="5"/>
      <name val="Arial"/>
      <family val="2"/>
      <scheme val="minor"/>
    </font>
    <font>
      <sz val="24"/>
      <color theme="5"/>
      <name val="Arial"/>
      <family val="2"/>
      <scheme val="minor"/>
    </font>
    <font>
      <b/>
      <sz val="14"/>
      <color theme="1"/>
      <name val="Arial"/>
      <family val="2"/>
      <scheme val="minor"/>
    </font>
    <font>
      <sz val="7"/>
      <color rgb="FF0A1272"/>
      <name val="Roboto"/>
    </font>
    <font>
      <b/>
      <sz val="7"/>
      <color rgb="FF0A1272"/>
      <name val="Roboto"/>
    </font>
    <font>
      <sz val="10"/>
      <color theme="1"/>
      <name val="Arial Unicode MS"/>
      <family val="2"/>
    </font>
    <font>
      <sz val="10"/>
      <color rgb="FF040C28"/>
      <name val="Arial"/>
      <family val="2"/>
      <scheme val="minor"/>
    </font>
    <font>
      <sz val="8"/>
      <name val="Arial"/>
      <family val="2"/>
      <scheme val="minor"/>
    </font>
    <font>
      <sz val="11"/>
      <name val="Arial"/>
      <family val="2"/>
      <scheme val="minor"/>
    </font>
    <font>
      <b/>
      <sz val="11"/>
      <color theme="4"/>
      <name val="Arial"/>
      <family val="2"/>
      <scheme val="minor"/>
    </font>
    <font>
      <sz val="11"/>
      <color indexed="8"/>
      <name val="Arial"/>
      <family val="2"/>
      <scheme val="minor"/>
    </font>
    <font>
      <sz val="8"/>
      <color theme="1"/>
      <name val="Segoe UI"/>
      <family val="2"/>
    </font>
    <font>
      <sz val="11"/>
      <color rgb="FF000000"/>
      <name val="Arial"/>
      <family val="2"/>
    </font>
    <font>
      <b/>
      <sz val="11"/>
      <color rgb="FFFFFFFF"/>
      <name val="Arial"/>
      <family val="2"/>
      <scheme val="minor"/>
    </font>
    <font>
      <b/>
      <sz val="11"/>
      <color rgb="FF203864"/>
      <name val="Arial"/>
      <family val="2"/>
      <scheme val="minor"/>
    </font>
    <font>
      <sz val="10"/>
      <color rgb="FF000000"/>
      <name val="Aptos"/>
    </font>
    <font>
      <b/>
      <sz val="18"/>
      <color theme="1"/>
      <name val="Arial"/>
      <family val="2"/>
      <scheme val="minor"/>
    </font>
    <font>
      <sz val="11"/>
      <name val="Calibri"/>
      <family val="2"/>
    </font>
    <font>
      <sz val="10"/>
      <color theme="1"/>
      <name val="Times New Roman"/>
      <family val="1"/>
    </font>
    <font>
      <sz val="12"/>
      <color theme="1"/>
      <name val="Times New Roman"/>
      <family val="1"/>
    </font>
    <font>
      <b/>
      <sz val="10"/>
      <color rgb="FF000000"/>
      <name val="Times New Roman"/>
      <family val="1"/>
    </font>
    <font>
      <b/>
      <sz val="10"/>
      <color theme="1"/>
      <name val="Times New Roman"/>
      <family val="1"/>
    </font>
    <font>
      <b/>
      <sz val="14"/>
      <color indexed="65"/>
      <name val="Calibri"/>
      <family val="2"/>
    </font>
    <font>
      <sz val="14"/>
      <color theme="4"/>
      <name val="Calibri"/>
      <family val="2"/>
    </font>
    <font>
      <sz val="14"/>
      <color theme="3"/>
      <name val="Arial"/>
      <family val="2"/>
      <scheme val="minor"/>
    </font>
    <font>
      <sz val="14"/>
      <color theme="3"/>
      <name val="Calibri"/>
      <family val="2"/>
    </font>
    <font>
      <sz val="10"/>
      <color theme="1"/>
      <name val="Arial"/>
      <family val="2"/>
      <scheme val="minor"/>
    </font>
    <font>
      <sz val="12"/>
      <color theme="3"/>
      <name val="Calibri"/>
      <family val="2"/>
    </font>
    <font>
      <b/>
      <sz val="24"/>
      <color rgb="FF000000"/>
      <name val="Calibri"/>
      <family val="2"/>
    </font>
    <font>
      <b/>
      <sz val="14"/>
      <color rgb="FF000000"/>
      <name val="Calibri"/>
      <family val="2"/>
    </font>
    <font>
      <sz val="12"/>
      <color rgb="FF000000"/>
      <name val="Calibri"/>
      <family val="2"/>
    </font>
    <font>
      <sz val="14"/>
      <color rgb="FF000000"/>
      <name val="Calibri"/>
      <family val="2"/>
    </font>
    <font>
      <b/>
      <sz val="12"/>
      <color rgb="FF000000"/>
      <name val="Calibri"/>
      <family val="2"/>
    </font>
    <font>
      <u/>
      <sz val="12"/>
      <color theme="9"/>
      <name val="Calibri"/>
      <family val="2"/>
    </font>
    <font>
      <b/>
      <sz val="18"/>
      <color rgb="FF000000"/>
      <name val="Calibri"/>
      <family val="2"/>
    </font>
    <font>
      <b/>
      <sz val="20"/>
      <color rgb="FF000000"/>
      <name val="Calibri"/>
      <family val="2"/>
    </font>
    <font>
      <b/>
      <u/>
      <sz val="12"/>
      <color theme="9"/>
      <name val="Calibri (Corps)"/>
    </font>
    <font>
      <b/>
      <sz val="16"/>
      <color theme="1"/>
      <name val="Arial"/>
      <family val="2"/>
      <scheme val="minor"/>
    </font>
    <font>
      <sz val="14"/>
      <color theme="9"/>
      <name val="Arial"/>
      <family val="2"/>
      <scheme val="minor"/>
    </font>
    <font>
      <b/>
      <sz val="14"/>
      <color theme="2"/>
      <name val="Calibri"/>
      <family val="2"/>
    </font>
    <font>
      <b/>
      <sz val="11"/>
      <color theme="2"/>
      <name val="Arial"/>
      <family val="2"/>
      <scheme val="minor"/>
    </font>
  </fonts>
  <fills count="26">
    <fill>
      <patternFill patternType="none"/>
    </fill>
    <fill>
      <patternFill patternType="gray125"/>
    </fill>
    <fill>
      <patternFill patternType="solid">
        <fgColor theme="3"/>
        <bgColor theme="3"/>
      </patternFill>
    </fill>
    <fill>
      <patternFill patternType="solid">
        <fgColor rgb="FF00005A"/>
        <bgColor rgb="FF00005A"/>
      </patternFill>
    </fill>
    <fill>
      <patternFill patternType="solid">
        <fgColor theme="8"/>
        <bgColor rgb="FF00005A"/>
      </patternFill>
    </fill>
    <fill>
      <patternFill patternType="solid">
        <fgColor rgb="FF00B050"/>
        <bgColor indexed="64"/>
      </patternFill>
    </fill>
    <fill>
      <patternFill patternType="solid">
        <fgColor rgb="FFFFFF00"/>
        <bgColor indexed="64"/>
      </patternFill>
    </fill>
    <fill>
      <patternFill patternType="solid">
        <fgColor theme="3"/>
        <bgColor indexed="64"/>
      </patternFill>
    </fill>
    <fill>
      <patternFill patternType="solid">
        <fgColor theme="8"/>
        <bgColor indexed="64"/>
      </patternFill>
    </fill>
    <fill>
      <patternFill patternType="solid">
        <fgColor theme="6"/>
        <bgColor indexed="64"/>
      </patternFill>
    </fill>
    <fill>
      <patternFill patternType="solid">
        <fgColor theme="4"/>
        <bgColor indexed="64"/>
      </patternFill>
    </fill>
    <fill>
      <patternFill patternType="solid">
        <fgColor rgb="FFFF0000"/>
        <bgColor indexed="64"/>
      </patternFill>
    </fill>
    <fill>
      <patternFill patternType="solid">
        <fgColor theme="3"/>
        <bgColor rgb="FF1F3864"/>
      </patternFill>
    </fill>
    <fill>
      <patternFill patternType="solid">
        <fgColor rgb="FF92D050"/>
        <bgColor indexed="64"/>
      </patternFill>
    </fill>
    <fill>
      <patternFill patternType="solid">
        <fgColor theme="2" tint="-0.14999847407452621"/>
        <bgColor indexed="64"/>
      </patternFill>
    </fill>
    <fill>
      <patternFill patternType="solid">
        <fgColor rgb="FFFFFFFF"/>
        <bgColor rgb="FFFFFFFF"/>
      </patternFill>
    </fill>
    <fill>
      <patternFill patternType="solid">
        <fgColor theme="7"/>
        <bgColor indexed="64"/>
      </patternFill>
    </fill>
    <fill>
      <patternFill patternType="solid">
        <fgColor theme="7"/>
        <bgColor rgb="FFFFFFFF"/>
      </patternFill>
    </fill>
    <fill>
      <patternFill patternType="solid">
        <fgColor theme="7"/>
        <bgColor rgb="FFFFC000"/>
      </patternFill>
    </fill>
    <fill>
      <patternFill patternType="solid">
        <fgColor rgb="FFFF0000"/>
        <bgColor rgb="FFFFFFFF"/>
      </patternFill>
    </fill>
    <fill>
      <patternFill patternType="solid">
        <fgColor rgb="FFFF0000"/>
        <bgColor rgb="FF000000"/>
      </patternFill>
    </fill>
    <fill>
      <patternFill patternType="solid">
        <fgColor theme="9"/>
        <bgColor indexed="64"/>
      </patternFill>
    </fill>
    <fill>
      <patternFill patternType="solid">
        <fgColor theme="9"/>
        <bgColor rgb="FFFFF1B9"/>
      </patternFill>
    </fill>
    <fill>
      <patternFill patternType="solid">
        <fgColor theme="9"/>
        <bgColor rgb="FFFFFF00"/>
      </patternFill>
    </fill>
    <fill>
      <patternFill patternType="solid">
        <fgColor theme="9"/>
        <bgColor rgb="FF00005A"/>
      </patternFill>
    </fill>
    <fill>
      <patternFill patternType="solid">
        <fgColor theme="9"/>
        <bgColor rgb="FF000000"/>
      </patternFill>
    </fill>
  </fills>
  <borders count="80">
    <border>
      <left/>
      <right/>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medium">
        <color auto="1"/>
      </right>
      <top style="medium">
        <color auto="1"/>
      </top>
      <bottom style="thin">
        <color auto="1"/>
      </bottom>
      <diagonal/>
    </border>
    <border>
      <left/>
      <right/>
      <top/>
      <bottom style="thin">
        <color auto="1"/>
      </bottom>
      <diagonal/>
    </border>
    <border>
      <left style="medium">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indexed="64"/>
      </left>
      <right style="medium">
        <color indexed="64"/>
      </right>
      <top style="thin">
        <color auto="1"/>
      </top>
      <bottom style="thin">
        <color auto="1"/>
      </bottom>
      <diagonal/>
    </border>
    <border>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thin">
        <color auto="1"/>
      </top>
      <bottom style="medium">
        <color indexed="64"/>
      </bottom>
      <diagonal/>
    </border>
    <border>
      <left style="medium">
        <color indexed="64"/>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right style="thin">
        <color auto="1"/>
      </right>
      <top style="thin">
        <color auto="1"/>
      </top>
      <bottom style="medium">
        <color indexed="64"/>
      </bottom>
      <diagonal/>
    </border>
    <border>
      <left style="thin">
        <color indexed="64"/>
      </left>
      <right style="thin">
        <color indexed="64"/>
      </right>
      <top style="thin">
        <color indexed="64"/>
      </top>
      <bottom style="medium">
        <color indexed="64"/>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style="thin">
        <color auto="1"/>
      </top>
      <bottom style="thin">
        <color auto="1"/>
      </bottom>
      <diagonal/>
    </border>
    <border>
      <left style="thin">
        <color auto="1"/>
      </left>
      <right/>
      <top style="thin">
        <color auto="1"/>
      </top>
      <bottom style="thin">
        <color auto="1"/>
      </bottom>
      <diagonal/>
    </border>
    <border>
      <left/>
      <right style="medium">
        <color auto="1"/>
      </right>
      <top style="thin">
        <color auto="1"/>
      </top>
      <bottom style="thin">
        <color auto="1"/>
      </bottom>
      <diagonal/>
    </border>
    <border>
      <left/>
      <right style="medium">
        <color auto="1"/>
      </right>
      <top/>
      <bottom/>
      <diagonal/>
    </border>
    <border>
      <left style="thin">
        <color auto="1"/>
      </left>
      <right style="thin">
        <color auto="1"/>
      </right>
      <top/>
      <bottom style="medium">
        <color auto="1"/>
      </bottom>
      <diagonal/>
    </border>
    <border>
      <left style="thin">
        <color auto="1"/>
      </left>
      <right style="medium">
        <color auto="1"/>
      </right>
      <top/>
      <bottom style="medium">
        <color auto="1"/>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indexed="64"/>
      </right>
      <top style="thin">
        <color auto="1"/>
      </top>
      <bottom style="medium">
        <color indexed="64"/>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medium">
        <color auto="1"/>
      </left>
      <right/>
      <top style="medium">
        <color auto="1"/>
      </top>
      <bottom/>
      <diagonal/>
    </border>
    <border>
      <left style="medium">
        <color auto="1"/>
      </left>
      <right style="medium">
        <color auto="1"/>
      </right>
      <top style="medium">
        <color auto="1"/>
      </top>
      <bottom/>
      <diagonal/>
    </border>
    <border>
      <left style="medium">
        <color auto="1"/>
      </left>
      <right style="medium">
        <color auto="1"/>
      </right>
      <top style="thin">
        <color auto="1"/>
      </top>
      <bottom/>
      <diagonal/>
    </border>
    <border>
      <left style="thin">
        <color auto="1"/>
      </left>
      <right style="thin">
        <color auto="1"/>
      </right>
      <top/>
      <bottom style="thin">
        <color auto="1"/>
      </bottom>
      <diagonal/>
    </border>
    <border>
      <left style="thin">
        <color auto="1"/>
      </left>
      <right style="medium">
        <color auto="1"/>
      </right>
      <top/>
      <bottom style="thin">
        <color auto="1"/>
      </bottom>
      <diagonal/>
    </border>
    <border>
      <left style="medium">
        <color auto="1"/>
      </left>
      <right/>
      <top/>
      <bottom/>
      <diagonal/>
    </border>
    <border>
      <left style="thin">
        <color auto="1"/>
      </left>
      <right/>
      <top style="thin">
        <color auto="1"/>
      </top>
      <bottom/>
      <diagonal/>
    </border>
    <border>
      <left style="thin">
        <color auto="1"/>
      </left>
      <right style="medium">
        <color auto="1"/>
      </right>
      <top style="thin">
        <color auto="1"/>
      </top>
      <bottom/>
      <diagonal/>
    </border>
    <border>
      <left style="medium">
        <color auto="1"/>
      </left>
      <right/>
      <top/>
      <bottom style="thin">
        <color auto="1"/>
      </bottom>
      <diagonal/>
    </border>
    <border>
      <left style="medium">
        <color auto="1"/>
      </left>
      <right style="thin">
        <color auto="1"/>
      </right>
      <top style="medium">
        <color auto="1"/>
      </top>
      <bottom/>
      <diagonal/>
    </border>
    <border>
      <left style="thin">
        <color auto="1"/>
      </left>
      <right/>
      <top style="medium">
        <color auto="1"/>
      </top>
      <bottom style="medium">
        <color auto="1"/>
      </bottom>
      <diagonal/>
    </border>
    <border>
      <left style="medium">
        <color indexed="64"/>
      </left>
      <right style="thin">
        <color auto="1"/>
      </right>
      <top/>
      <bottom style="thin">
        <color auto="1"/>
      </bottom>
      <diagonal/>
    </border>
    <border>
      <left style="medium">
        <color indexed="64"/>
      </left>
      <right style="thin">
        <color indexed="64"/>
      </right>
      <top/>
      <bottom/>
      <diagonal/>
    </border>
    <border>
      <left style="medium">
        <color indexed="64"/>
      </left>
      <right style="thin">
        <color auto="1"/>
      </right>
      <top/>
      <bottom style="medium">
        <color indexed="64"/>
      </bottom>
      <diagonal/>
    </border>
    <border>
      <left style="thin">
        <color auto="1"/>
      </left>
      <right/>
      <top style="medium">
        <color auto="1"/>
      </top>
      <bottom style="thin">
        <color auto="1"/>
      </bottom>
      <diagonal/>
    </border>
    <border>
      <left style="thin">
        <color indexed="64"/>
      </left>
      <right/>
      <top style="thin">
        <color indexed="64"/>
      </top>
      <bottom style="medium">
        <color indexed="64"/>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top style="medium">
        <color theme="0" tint="-0.14996795556505021"/>
      </top>
      <bottom style="medium">
        <color theme="0" tint="-0.14996795556505021"/>
      </bottom>
      <diagonal/>
    </border>
    <border>
      <left style="medium">
        <color auto="1"/>
      </left>
      <right style="thin">
        <color auto="1"/>
      </right>
      <top/>
      <bottom style="double">
        <color indexed="64"/>
      </bottom>
      <diagonal/>
    </border>
    <border>
      <left/>
      <right style="thin">
        <color auto="1"/>
      </right>
      <top style="medium">
        <color auto="1"/>
      </top>
      <bottom/>
      <diagonal/>
    </border>
    <border>
      <left/>
      <right style="thin">
        <color auto="1"/>
      </right>
      <top style="medium">
        <color indexed="64"/>
      </top>
      <bottom style="medium">
        <color indexed="64"/>
      </bottom>
      <diagonal/>
    </border>
    <border>
      <left style="thin">
        <color auto="1"/>
      </left>
      <right style="medium">
        <color indexed="64"/>
      </right>
      <top/>
      <bottom style="double">
        <color indexed="64"/>
      </bottom>
      <diagonal/>
    </border>
    <border>
      <left/>
      <right style="thin">
        <color auto="1"/>
      </right>
      <top/>
      <bottom style="double">
        <color indexed="64"/>
      </bottom>
      <diagonal/>
    </border>
    <border>
      <left style="thin">
        <color auto="1"/>
      </left>
      <right style="medium">
        <color indexed="64"/>
      </right>
      <top/>
      <bottom/>
      <diagonal/>
    </border>
    <border>
      <left/>
      <right style="thin">
        <color auto="1"/>
      </right>
      <top/>
      <bottom/>
      <diagonal/>
    </border>
    <border>
      <left style="thin">
        <color indexed="64"/>
      </left>
      <right style="thin">
        <color indexed="64"/>
      </right>
      <top/>
      <bottom/>
      <diagonal/>
    </border>
    <border>
      <left style="thin">
        <color auto="1"/>
      </left>
      <right/>
      <top/>
      <bottom style="medium">
        <color auto="1"/>
      </bottom>
      <diagonal/>
    </border>
    <border>
      <left style="medium">
        <color indexed="64"/>
      </left>
      <right style="medium">
        <color indexed="64"/>
      </right>
      <top/>
      <bottom style="medium">
        <color indexed="64"/>
      </bottom>
      <diagonal/>
    </border>
    <border>
      <left/>
      <right style="medium">
        <color auto="1"/>
      </right>
      <top/>
      <bottom style="thin">
        <color auto="1"/>
      </bottom>
      <diagonal/>
    </border>
    <border>
      <left style="thin">
        <color auto="1"/>
      </left>
      <right/>
      <top/>
      <bottom/>
      <diagonal/>
    </border>
    <border>
      <left/>
      <right style="thin">
        <color auto="1"/>
      </right>
      <top style="thin">
        <color auto="1"/>
      </top>
      <bottom/>
      <diagonal/>
    </border>
    <border>
      <left style="medium">
        <color indexed="64"/>
      </left>
      <right style="medium">
        <color indexed="64"/>
      </right>
      <top style="medium">
        <color indexed="64"/>
      </top>
      <bottom style="medium">
        <color indexed="64"/>
      </bottom>
      <diagonal/>
    </border>
    <border>
      <left style="medium">
        <color auto="1"/>
      </left>
      <right style="medium">
        <color auto="1"/>
      </right>
      <top/>
      <bottom/>
      <diagonal/>
    </border>
    <border>
      <left/>
      <right style="thin">
        <color auto="1"/>
      </right>
      <top/>
      <bottom style="medium">
        <color auto="1"/>
      </bottom>
      <diagonal/>
    </border>
    <border>
      <left style="medium">
        <color auto="1"/>
      </left>
      <right/>
      <top style="thin">
        <color auto="1"/>
      </top>
      <bottom/>
      <diagonal/>
    </border>
    <border>
      <left/>
      <right style="thin">
        <color auto="1"/>
      </right>
      <top/>
      <bottom style="thin">
        <color auto="1"/>
      </bottom>
      <diagonal/>
    </border>
  </borders>
  <cellStyleXfs count="22">
    <xf numFmtId="0" fontId="0" fillId="0" borderId="0"/>
    <xf numFmtId="164" fontId="7" fillId="0" borderId="0" applyFont="0" applyFill="0" applyBorder="0" applyProtection="0"/>
    <xf numFmtId="9" fontId="8" fillId="0" borderId="0" applyFont="0" applyFill="0" applyBorder="0" applyAlignment="0" applyProtection="0"/>
    <xf numFmtId="0" fontId="17" fillId="0" borderId="0"/>
    <xf numFmtId="0" fontId="20" fillId="0" borderId="0" applyNumberFormat="0" applyFill="0" applyBorder="0" applyAlignment="0" applyProtection="0"/>
    <xf numFmtId="0" fontId="23" fillId="0" borderId="0"/>
    <xf numFmtId="0" fontId="25" fillId="0" borderId="0" applyNumberFormat="0" applyFill="0" applyBorder="0" applyAlignment="0" applyProtection="0"/>
    <xf numFmtId="0" fontId="6" fillId="0" borderId="0"/>
    <xf numFmtId="0" fontId="6" fillId="0" borderId="0" applyNumberFormat="0" applyFill="0" applyProtection="0">
      <alignment horizontal="right" indent="1"/>
    </xf>
    <xf numFmtId="169" fontId="6" fillId="0" borderId="60">
      <alignment horizontal="center" vertical="center"/>
    </xf>
    <xf numFmtId="0" fontId="26" fillId="0" borderId="0" applyNumberFormat="0" applyFill="0" applyAlignment="0" applyProtection="0"/>
    <xf numFmtId="0" fontId="26" fillId="0" borderId="0" applyNumberFormat="0" applyFill="0" applyProtection="0">
      <alignment vertical="top"/>
    </xf>
    <xf numFmtId="0" fontId="27" fillId="0" borderId="0" applyNumberFormat="0" applyFill="0" applyBorder="0" applyAlignment="0" applyProtection="0">
      <alignment vertical="top"/>
      <protection locked="0"/>
    </xf>
    <xf numFmtId="0" fontId="6" fillId="0" borderId="61" applyFill="0">
      <alignment horizontal="center" vertical="center"/>
    </xf>
    <xf numFmtId="9" fontId="6" fillId="0" borderId="0" applyFont="0" applyFill="0" applyBorder="0" applyAlignment="0" applyProtection="0"/>
    <xf numFmtId="0" fontId="6" fillId="0" borderId="61" applyFill="0">
      <alignment horizontal="left" vertical="center" indent="2"/>
    </xf>
    <xf numFmtId="170" fontId="6" fillId="0" borderId="61" applyFill="0">
      <alignment horizontal="center" vertical="center"/>
    </xf>
    <xf numFmtId="0" fontId="5" fillId="0" borderId="0"/>
    <xf numFmtId="43" fontId="5" fillId="0" borderId="0" applyFont="0" applyFill="0" applyBorder="0" applyAlignment="0" applyProtection="0"/>
    <xf numFmtId="9" fontId="5" fillId="0" borderId="0" applyFont="0" applyFill="0" applyBorder="0" applyAlignment="0" applyProtection="0"/>
    <xf numFmtId="0" fontId="4" fillId="0" borderId="0"/>
    <xf numFmtId="0" fontId="64" fillId="0" borderId="0"/>
  </cellStyleXfs>
  <cellXfs count="1677">
    <xf numFmtId="0" fontId="0" fillId="0" borderId="0" xfId="0"/>
    <xf numFmtId="0" fontId="0" fillId="0" borderId="0" xfId="0" applyAlignment="1">
      <alignment wrapText="1"/>
    </xf>
    <xf numFmtId="0" fontId="12" fillId="0" borderId="0" xfId="0" applyFont="1" applyAlignment="1">
      <alignment horizontal="left"/>
    </xf>
    <xf numFmtId="0" fontId="9" fillId="0" borderId="0" xfId="0" applyFont="1"/>
    <xf numFmtId="0" fontId="13" fillId="3" borderId="9" xfId="0" applyFont="1" applyFill="1" applyBorder="1" applyAlignment="1">
      <alignment horizontal="left" wrapText="1"/>
    </xf>
    <xf numFmtId="0" fontId="13" fillId="3" borderId="12" xfId="0" applyFont="1" applyFill="1" applyBorder="1" applyAlignment="1">
      <alignment horizontal="left" wrapText="1"/>
    </xf>
    <xf numFmtId="0" fontId="13" fillId="3" borderId="10" xfId="0" applyFont="1" applyFill="1" applyBorder="1" applyAlignment="1">
      <alignment horizontal="left" wrapText="1"/>
    </xf>
    <xf numFmtId="0" fontId="13" fillId="3" borderId="16" xfId="0" applyFont="1" applyFill="1" applyBorder="1" applyAlignment="1">
      <alignment horizontal="left" wrapText="1"/>
    </xf>
    <xf numFmtId="0" fontId="13" fillId="3" borderId="15" xfId="0" applyFont="1" applyFill="1" applyBorder="1" applyAlignment="1">
      <alignment horizontal="left" wrapText="1"/>
    </xf>
    <xf numFmtId="0" fontId="13" fillId="3" borderId="17" xfId="0" applyFont="1" applyFill="1" applyBorder="1" applyAlignment="1">
      <alignment horizontal="left" wrapText="1"/>
    </xf>
    <xf numFmtId="0" fontId="14" fillId="4" borderId="16" xfId="0" applyFont="1" applyFill="1" applyBorder="1" applyAlignment="1">
      <alignment horizontal="left" wrapText="1"/>
    </xf>
    <xf numFmtId="165" fontId="0" fillId="0" borderId="15" xfId="1" applyNumberFormat="1" applyFont="1" applyBorder="1"/>
    <xf numFmtId="165" fontId="0" fillId="0" borderId="17" xfId="1" applyNumberFormat="1" applyFont="1" applyBorder="1"/>
    <xf numFmtId="0" fontId="14" fillId="4" borderId="19" xfId="0" applyFont="1" applyFill="1" applyBorder="1" applyAlignment="1">
      <alignment horizontal="left" wrapText="1"/>
    </xf>
    <xf numFmtId="165" fontId="0" fillId="0" borderId="22" xfId="1" applyNumberFormat="1" applyFont="1" applyBorder="1"/>
    <xf numFmtId="165" fontId="0" fillId="0" borderId="20" xfId="1" applyNumberFormat="1" applyFont="1" applyBorder="1"/>
    <xf numFmtId="0" fontId="9" fillId="0" borderId="0" xfId="0" applyFont="1" applyAlignment="1">
      <alignment vertical="center" wrapText="1"/>
    </xf>
    <xf numFmtId="0" fontId="0" fillId="0" borderId="17" xfId="0" applyBorder="1"/>
    <xf numFmtId="166" fontId="0" fillId="0" borderId="22" xfId="1" applyNumberFormat="1" applyFont="1" applyBorder="1"/>
    <xf numFmtId="166" fontId="0" fillId="0" borderId="20" xfId="1" applyNumberFormat="1" applyFont="1" applyBorder="1"/>
    <xf numFmtId="0" fontId="14" fillId="4" borderId="4" xfId="0" applyFont="1" applyFill="1" applyBorder="1" applyAlignment="1">
      <alignment horizontal="left" wrapText="1"/>
    </xf>
    <xf numFmtId="0" fontId="0" fillId="0" borderId="15" xfId="0" applyBorder="1"/>
    <xf numFmtId="0" fontId="0" fillId="0" borderId="22" xfId="0" applyBorder="1"/>
    <xf numFmtId="165" fontId="0" fillId="0" borderId="0" xfId="0" applyNumberFormat="1"/>
    <xf numFmtId="165" fontId="0" fillId="0" borderId="0" xfId="1" applyNumberFormat="1" applyFont="1"/>
    <xf numFmtId="0" fontId="14" fillId="4" borderId="42" xfId="0" applyFont="1" applyFill="1" applyBorder="1" applyAlignment="1">
      <alignment horizontal="left" wrapText="1"/>
    </xf>
    <xf numFmtId="167" fontId="0" fillId="0" borderId="17" xfId="1" applyNumberFormat="1" applyFont="1" applyBorder="1"/>
    <xf numFmtId="165" fontId="14" fillId="4" borderId="16" xfId="1" applyNumberFormat="1" applyFont="1" applyFill="1" applyBorder="1" applyAlignment="1">
      <alignment wrapText="1"/>
    </xf>
    <xf numFmtId="0" fontId="14" fillId="4" borderId="27" xfId="0" applyFont="1" applyFill="1" applyBorder="1" applyAlignment="1">
      <alignment horizontal="left" wrapText="1"/>
    </xf>
    <xf numFmtId="167" fontId="0" fillId="0" borderId="15" xfId="1" applyNumberFormat="1" applyFont="1" applyBorder="1"/>
    <xf numFmtId="0" fontId="14" fillId="4" borderId="39" xfId="0" applyFont="1" applyFill="1" applyBorder="1" applyAlignment="1">
      <alignment horizontal="left" wrapText="1"/>
    </xf>
    <xf numFmtId="0" fontId="0" fillId="0" borderId="22" xfId="0" applyBorder="1" applyAlignment="1">
      <alignment wrapText="1"/>
    </xf>
    <xf numFmtId="167" fontId="0" fillId="0" borderId="22" xfId="1" applyNumberFormat="1" applyFont="1" applyBorder="1"/>
    <xf numFmtId="167" fontId="0" fillId="0" borderId="20" xfId="1" applyNumberFormat="1" applyFont="1" applyBorder="1"/>
    <xf numFmtId="164" fontId="9" fillId="5" borderId="5" xfId="0" applyNumberFormat="1" applyFont="1" applyFill="1" applyBorder="1"/>
    <xf numFmtId="0" fontId="9" fillId="5" borderId="6" xfId="0" applyFont="1" applyFill="1" applyBorder="1"/>
    <xf numFmtId="0" fontId="0" fillId="0" borderId="15" xfId="0" applyBorder="1" applyAlignment="1">
      <alignment wrapText="1"/>
    </xf>
    <xf numFmtId="165" fontId="0" fillId="0" borderId="22" xfId="0" applyNumberFormat="1" applyBorder="1"/>
    <xf numFmtId="0" fontId="0" fillId="0" borderId="20" xfId="0" applyBorder="1"/>
    <xf numFmtId="9" fontId="0" fillId="0" borderId="0" xfId="2" applyFont="1"/>
    <xf numFmtId="167" fontId="0" fillId="0" borderId="0" xfId="1" applyNumberFormat="1" applyFont="1"/>
    <xf numFmtId="9" fontId="0" fillId="0" borderId="0" xfId="0" applyNumberFormat="1"/>
    <xf numFmtId="165" fontId="9" fillId="0" borderId="0" xfId="1" applyNumberFormat="1" applyFont="1"/>
    <xf numFmtId="0" fontId="0" fillId="0" borderId="0" xfId="0" applyAlignment="1">
      <alignment vertical="center"/>
    </xf>
    <xf numFmtId="0" fontId="19" fillId="0" borderId="0" xfId="0" applyFont="1" applyAlignment="1">
      <alignment vertical="center"/>
    </xf>
    <xf numFmtId="0" fontId="21" fillId="0" borderId="0" xfId="0" applyFont="1"/>
    <xf numFmtId="0" fontId="19" fillId="0" borderId="0" xfId="0" applyFont="1"/>
    <xf numFmtId="0" fontId="20" fillId="0" borderId="0" xfId="4" applyAlignment="1"/>
    <xf numFmtId="9" fontId="0" fillId="0" borderId="0" xfId="2" applyFont="1" applyAlignment="1">
      <alignment wrapText="1"/>
    </xf>
    <xf numFmtId="0" fontId="13" fillId="3" borderId="36" xfId="0" applyFont="1" applyFill="1" applyBorder="1" applyAlignment="1">
      <alignment horizontal="left" wrapText="1"/>
    </xf>
    <xf numFmtId="166" fontId="0" fillId="0" borderId="0" xfId="0" applyNumberFormat="1"/>
    <xf numFmtId="171" fontId="0" fillId="0" borderId="3" xfId="2" applyNumberFormat="1" applyFont="1" applyBorder="1"/>
    <xf numFmtId="0" fontId="14" fillId="4" borderId="10" xfId="0" applyFont="1" applyFill="1" applyBorder="1" applyAlignment="1">
      <alignment horizontal="left" wrapText="1"/>
    </xf>
    <xf numFmtId="0" fontId="14" fillId="4" borderId="17" xfId="0" applyFont="1" applyFill="1" applyBorder="1" applyAlignment="1">
      <alignment horizontal="left" wrapText="1"/>
    </xf>
    <xf numFmtId="0" fontId="14" fillId="4" borderId="20" xfId="0" applyFont="1" applyFill="1" applyBorder="1" applyAlignment="1">
      <alignment horizontal="left" wrapText="1"/>
    </xf>
    <xf numFmtId="0" fontId="14" fillId="4" borderId="56" xfId="0" applyFont="1" applyFill="1" applyBorder="1" applyAlignment="1">
      <alignment horizontal="center" vertical="center" wrapText="1"/>
    </xf>
    <xf numFmtId="0" fontId="14" fillId="4" borderId="62" xfId="0" applyFont="1" applyFill="1" applyBorder="1" applyAlignment="1">
      <alignment vertical="center" wrapText="1"/>
    </xf>
    <xf numFmtId="0" fontId="14" fillId="4" borderId="65" xfId="0" applyFont="1" applyFill="1" applyBorder="1" applyAlignment="1">
      <alignment horizontal="left" wrapText="1"/>
    </xf>
    <xf numFmtId="0" fontId="14" fillId="4" borderId="67" xfId="0" applyFont="1" applyFill="1" applyBorder="1" applyAlignment="1">
      <alignment horizontal="left" wrapText="1"/>
    </xf>
    <xf numFmtId="0" fontId="13" fillId="3" borderId="5" xfId="0" applyFont="1" applyFill="1" applyBorder="1" applyAlignment="1">
      <alignment horizontal="left" wrapText="1"/>
    </xf>
    <xf numFmtId="0" fontId="13" fillId="3" borderId="6" xfId="0" applyFont="1" applyFill="1" applyBorder="1" applyAlignment="1">
      <alignment horizontal="left" wrapText="1"/>
    </xf>
    <xf numFmtId="0" fontId="13" fillId="3" borderId="23" xfId="0" applyFont="1" applyFill="1" applyBorder="1" applyAlignment="1">
      <alignment horizontal="left" wrapText="1"/>
    </xf>
    <xf numFmtId="0" fontId="13" fillId="3" borderId="24" xfId="0" applyFont="1" applyFill="1" applyBorder="1" applyAlignment="1">
      <alignment horizontal="left" wrapText="1"/>
    </xf>
    <xf numFmtId="0" fontId="0" fillId="0" borderId="11" xfId="0" applyBorder="1" applyAlignment="1">
      <alignment wrapText="1"/>
    </xf>
    <xf numFmtId="0" fontId="0" fillId="0" borderId="10" xfId="0" applyBorder="1" applyAlignment="1">
      <alignment wrapText="1"/>
    </xf>
    <xf numFmtId="0" fontId="0" fillId="0" borderId="14" xfId="0" applyBorder="1" applyAlignment="1">
      <alignment wrapText="1"/>
    </xf>
    <xf numFmtId="0" fontId="0" fillId="0" borderId="17" xfId="0" applyBorder="1" applyAlignment="1">
      <alignment wrapText="1"/>
    </xf>
    <xf numFmtId="0" fontId="0" fillId="0" borderId="20" xfId="0" applyBorder="1" applyAlignment="1">
      <alignment wrapText="1"/>
    </xf>
    <xf numFmtId="0" fontId="0" fillId="0" borderId="66" xfId="0" applyBorder="1" applyAlignment="1">
      <alignment wrapText="1"/>
    </xf>
    <xf numFmtId="0" fontId="0" fillId="0" borderId="65" xfId="0" applyBorder="1" applyAlignment="1">
      <alignment wrapText="1"/>
    </xf>
    <xf numFmtId="166" fontId="0" fillId="0" borderId="17" xfId="1" applyNumberFormat="1" applyFont="1" applyBorder="1" applyAlignment="1">
      <alignment wrapText="1"/>
    </xf>
    <xf numFmtId="166" fontId="0" fillId="0" borderId="20" xfId="1" applyNumberFormat="1" applyFont="1" applyBorder="1" applyAlignment="1">
      <alignment wrapText="1"/>
    </xf>
    <xf numFmtId="166" fontId="0" fillId="0" borderId="68" xfId="1" applyNumberFormat="1" applyFont="1" applyBorder="1" applyAlignment="1">
      <alignment wrapText="1"/>
    </xf>
    <xf numFmtId="166" fontId="0" fillId="0" borderId="67" xfId="1" applyNumberFormat="1" applyFont="1" applyBorder="1" applyAlignment="1">
      <alignment wrapText="1"/>
    </xf>
    <xf numFmtId="172" fontId="0" fillId="0" borderId="0" xfId="0" applyNumberFormat="1"/>
    <xf numFmtId="0" fontId="0" fillId="0" borderId="0" xfId="0" applyAlignment="1">
      <alignment horizontal="left" indent="2"/>
    </xf>
    <xf numFmtId="167" fontId="0" fillId="0" borderId="0" xfId="0" applyNumberFormat="1"/>
    <xf numFmtId="167" fontId="0" fillId="0" borderId="0" xfId="0" applyNumberFormat="1" applyAlignment="1">
      <alignment wrapText="1"/>
    </xf>
    <xf numFmtId="167" fontId="0" fillId="0" borderId="15" xfId="0" applyNumberFormat="1" applyBorder="1" applyAlignment="1">
      <alignment wrapText="1"/>
    </xf>
    <xf numFmtId="167" fontId="0" fillId="0" borderId="17" xfId="0" applyNumberFormat="1" applyBorder="1" applyAlignment="1">
      <alignment wrapText="1"/>
    </xf>
    <xf numFmtId="167" fontId="0" fillId="0" borderId="20" xfId="0" applyNumberFormat="1" applyBorder="1" applyAlignment="1">
      <alignment wrapText="1"/>
    </xf>
    <xf numFmtId="167" fontId="0" fillId="0" borderId="15" xfId="0" applyNumberFormat="1" applyBorder="1"/>
    <xf numFmtId="167" fontId="0" fillId="0" borderId="22" xfId="0" applyNumberFormat="1" applyBorder="1"/>
    <xf numFmtId="0" fontId="28" fillId="4" borderId="16" xfId="0" applyFont="1" applyFill="1" applyBorder="1" applyAlignment="1">
      <alignment horizontal="left" wrapText="1" indent="1"/>
    </xf>
    <xf numFmtId="0" fontId="28" fillId="4" borderId="19" xfId="0" applyFont="1" applyFill="1" applyBorder="1" applyAlignment="1">
      <alignment horizontal="left" wrapText="1" indent="1"/>
    </xf>
    <xf numFmtId="0" fontId="0" fillId="0" borderId="0" xfId="0" applyAlignment="1">
      <alignment horizontal="left"/>
    </xf>
    <xf numFmtId="0" fontId="29" fillId="0" borderId="0" xfId="0" applyFont="1"/>
    <xf numFmtId="0" fontId="20" fillId="0" borderId="0" xfId="4"/>
    <xf numFmtId="0" fontId="14" fillId="4" borderId="1" xfId="0" applyFont="1" applyFill="1" applyBorder="1" applyAlignment="1">
      <alignment horizontal="center" vertical="center" wrapText="1"/>
    </xf>
    <xf numFmtId="0" fontId="30" fillId="0" borderId="0" xfId="0" applyFont="1"/>
    <xf numFmtId="167" fontId="9" fillId="0" borderId="17" xfId="0" applyNumberFormat="1" applyFont="1" applyBorder="1"/>
    <xf numFmtId="167" fontId="9" fillId="0" borderId="20" xfId="0" applyNumberFormat="1" applyFont="1" applyBorder="1"/>
    <xf numFmtId="173" fontId="0" fillId="0" borderId="22" xfId="1" applyNumberFormat="1" applyFont="1" applyBorder="1"/>
    <xf numFmtId="0" fontId="32" fillId="0" borderId="0" xfId="0" applyFont="1"/>
    <xf numFmtId="173" fontId="0" fillId="0" borderId="15" xfId="1" applyNumberFormat="1" applyFont="1" applyBorder="1"/>
    <xf numFmtId="173" fontId="31" fillId="0" borderId="17" xfId="1" applyNumberFormat="1" applyFont="1" applyBorder="1"/>
    <xf numFmtId="173" fontId="31" fillId="0" borderId="20" xfId="1" applyNumberFormat="1" applyFont="1" applyBorder="1"/>
    <xf numFmtId="173" fontId="9" fillId="5" borderId="20" xfId="1" applyNumberFormat="1" applyFont="1" applyFill="1" applyBorder="1"/>
    <xf numFmtId="164" fontId="9" fillId="5" borderId="22" xfId="1" applyFont="1" applyFill="1" applyBorder="1"/>
    <xf numFmtId="173" fontId="9" fillId="5" borderId="22" xfId="1" applyNumberFormat="1" applyFont="1" applyFill="1" applyBorder="1"/>
    <xf numFmtId="0" fontId="20" fillId="0" borderId="17" xfId="4" applyBorder="1"/>
    <xf numFmtId="0" fontId="20" fillId="0" borderId="0" xfId="4" applyBorder="1"/>
    <xf numFmtId="0" fontId="0" fillId="0" borderId="15" xfId="0" applyBorder="1" applyAlignment="1">
      <alignment horizontal="center"/>
    </xf>
    <xf numFmtId="174" fontId="0" fillId="0" borderId="0" xfId="0" applyNumberFormat="1"/>
    <xf numFmtId="175" fontId="0" fillId="0" borderId="0" xfId="0" applyNumberFormat="1"/>
    <xf numFmtId="0" fontId="13" fillId="3" borderId="12" xfId="0" applyFont="1" applyFill="1" applyBorder="1" applyAlignment="1">
      <alignment horizontal="left"/>
    </xf>
    <xf numFmtId="0" fontId="34" fillId="0" borderId="0" xfId="0" applyFont="1"/>
    <xf numFmtId="0" fontId="9" fillId="0" borderId="17" xfId="0" applyFont="1" applyBorder="1"/>
    <xf numFmtId="0" fontId="9" fillId="0" borderId="20" xfId="0" applyFont="1" applyBorder="1"/>
    <xf numFmtId="0" fontId="35" fillId="0" borderId="0" xfId="0" applyFont="1"/>
    <xf numFmtId="0" fontId="14" fillId="4" borderId="16" xfId="0" applyFont="1" applyFill="1" applyBorder="1" applyAlignment="1">
      <alignment horizontal="left"/>
    </xf>
    <xf numFmtId="0" fontId="14" fillId="4" borderId="19" xfId="0" applyFont="1" applyFill="1" applyBorder="1" applyAlignment="1">
      <alignment horizontal="left"/>
    </xf>
    <xf numFmtId="165" fontId="9" fillId="0" borderId="17" xfId="1" applyNumberFormat="1" applyFont="1" applyFill="1" applyBorder="1"/>
    <xf numFmtId="0" fontId="20" fillId="0" borderId="15" xfId="4" applyBorder="1"/>
    <xf numFmtId="0" fontId="20" fillId="0" borderId="20" xfId="4" applyBorder="1"/>
    <xf numFmtId="171" fontId="0" fillId="0" borderId="15" xfId="2" applyNumberFormat="1" applyFont="1" applyBorder="1"/>
    <xf numFmtId="165" fontId="9" fillId="0" borderId="22" xfId="1" applyNumberFormat="1" applyFont="1" applyBorder="1"/>
    <xf numFmtId="165" fontId="13" fillId="3" borderId="9" xfId="1" applyNumberFormat="1" applyFont="1" applyFill="1" applyBorder="1"/>
    <xf numFmtId="165" fontId="13" fillId="3" borderId="12" xfId="1" applyNumberFormat="1" applyFont="1" applyFill="1" applyBorder="1"/>
    <xf numFmtId="165" fontId="13" fillId="3" borderId="10" xfId="1" applyNumberFormat="1" applyFont="1" applyFill="1" applyBorder="1"/>
    <xf numFmtId="165" fontId="14" fillId="4" borderId="16" xfId="1" applyNumberFormat="1" applyFont="1" applyFill="1" applyBorder="1"/>
    <xf numFmtId="165" fontId="14" fillId="4" borderId="19" xfId="1" applyNumberFormat="1" applyFont="1" applyFill="1" applyBorder="1"/>
    <xf numFmtId="165" fontId="9" fillId="0" borderId="17" xfId="1" applyNumberFormat="1" applyFont="1" applyBorder="1"/>
    <xf numFmtId="0" fontId="13" fillId="3" borderId="9" xfId="0" applyFont="1" applyFill="1" applyBorder="1" applyAlignment="1">
      <alignment horizontal="left"/>
    </xf>
    <xf numFmtId="0" fontId="13" fillId="3" borderId="10" xfId="0" applyFont="1" applyFill="1" applyBorder="1" applyAlignment="1">
      <alignment horizontal="left"/>
    </xf>
    <xf numFmtId="0" fontId="13" fillId="3" borderId="15" xfId="0" applyFont="1" applyFill="1" applyBorder="1" applyAlignment="1">
      <alignment horizontal="left"/>
    </xf>
    <xf numFmtId="0" fontId="36" fillId="0" borderId="17" xfId="0" applyFont="1" applyBorder="1" applyAlignment="1">
      <alignment vertical="center"/>
    </xf>
    <xf numFmtId="168" fontId="0" fillId="0" borderId="22" xfId="0" applyNumberFormat="1" applyBorder="1"/>
    <xf numFmtId="0" fontId="36" fillId="0" borderId="20" xfId="0" applyFont="1" applyBorder="1" applyAlignment="1">
      <alignment vertical="center"/>
    </xf>
    <xf numFmtId="0" fontId="13" fillId="3" borderId="12" xfId="0" applyFont="1" applyFill="1" applyBorder="1" applyAlignment="1">
      <alignment horizontal="center"/>
    </xf>
    <xf numFmtId="0" fontId="13" fillId="3" borderId="9" xfId="0" applyFont="1" applyFill="1" applyBorder="1" applyAlignment="1">
      <alignment horizontal="center"/>
    </xf>
    <xf numFmtId="166" fontId="0" fillId="0" borderId="17" xfId="1" applyNumberFormat="1" applyFont="1" applyBorder="1"/>
    <xf numFmtId="164" fontId="0" fillId="0" borderId="17" xfId="1" applyFont="1" applyBorder="1"/>
    <xf numFmtId="0" fontId="39" fillId="0" borderId="0" xfId="0" applyFont="1" applyAlignment="1">
      <alignment vertical="center" wrapText="1"/>
    </xf>
    <xf numFmtId="0" fontId="39" fillId="0" borderId="0" xfId="0" applyFont="1" applyAlignment="1">
      <alignment horizontal="center" vertical="center" wrapText="1"/>
    </xf>
    <xf numFmtId="0" fontId="40" fillId="0" borderId="0" xfId="0" applyFont="1" applyAlignment="1">
      <alignment horizontal="center" vertical="center" wrapText="1"/>
    </xf>
    <xf numFmtId="165" fontId="0" fillId="0" borderId="15" xfId="0" applyNumberFormat="1" applyBorder="1"/>
    <xf numFmtId="0" fontId="13" fillId="3" borderId="10" xfId="0" applyFont="1" applyFill="1" applyBorder="1" applyAlignment="1">
      <alignment horizontal="center" wrapText="1"/>
    </xf>
    <xf numFmtId="165" fontId="13" fillId="3" borderId="12" xfId="1" applyNumberFormat="1" applyFont="1" applyFill="1" applyBorder="1" applyAlignment="1">
      <alignment wrapText="1"/>
    </xf>
    <xf numFmtId="165" fontId="13" fillId="3" borderId="10" xfId="1" applyNumberFormat="1" applyFont="1" applyFill="1" applyBorder="1" applyAlignment="1">
      <alignment wrapText="1"/>
    </xf>
    <xf numFmtId="165" fontId="9" fillId="0" borderId="20" xfId="1" applyNumberFormat="1" applyFont="1" applyBorder="1"/>
    <xf numFmtId="176" fontId="0" fillId="0" borderId="22" xfId="1" applyNumberFormat="1" applyFont="1" applyBorder="1"/>
    <xf numFmtId="165" fontId="0" fillId="0" borderId="6" xfId="1" applyNumberFormat="1" applyFont="1" applyBorder="1"/>
    <xf numFmtId="166" fontId="0" fillId="0" borderId="0" xfId="1" applyNumberFormat="1" applyFont="1" applyFill="1" applyBorder="1"/>
    <xf numFmtId="0" fontId="20" fillId="0" borderId="22" xfId="4" applyBorder="1"/>
    <xf numFmtId="166" fontId="0" fillId="0" borderId="20" xfId="1" applyNumberFormat="1" applyFont="1" applyFill="1" applyBorder="1"/>
    <xf numFmtId="166" fontId="9" fillId="5" borderId="5" xfId="1" applyNumberFormat="1" applyFont="1" applyFill="1" applyBorder="1"/>
    <xf numFmtId="0" fontId="0" fillId="0" borderId="0" xfId="0" applyAlignment="1">
      <alignment horizontal="left" wrapText="1"/>
    </xf>
    <xf numFmtId="0" fontId="0" fillId="0" borderId="0" xfId="0" applyAlignment="1">
      <alignment vertical="center" wrapText="1"/>
    </xf>
    <xf numFmtId="0" fontId="14" fillId="4" borderId="15" xfId="0" applyFont="1" applyFill="1" applyBorder="1" applyAlignment="1">
      <alignment horizontal="left" wrapText="1"/>
    </xf>
    <xf numFmtId="176" fontId="0" fillId="0" borderId="15" xfId="1" applyNumberFormat="1" applyFont="1" applyBorder="1" applyAlignment="1">
      <alignment wrapText="1"/>
    </xf>
    <xf numFmtId="9" fontId="0" fillId="0" borderId="15" xfId="2" applyFont="1" applyBorder="1" applyAlignment="1">
      <alignment wrapText="1"/>
    </xf>
    <xf numFmtId="9" fontId="0" fillId="0" borderId="22" xfId="2" applyFont="1" applyBorder="1" applyAlignment="1">
      <alignment wrapText="1"/>
    </xf>
    <xf numFmtId="0" fontId="20" fillId="0" borderId="15" xfId="4" applyBorder="1" applyAlignment="1"/>
    <xf numFmtId="0" fontId="20" fillId="0" borderId="22" xfId="4" applyBorder="1" applyAlignment="1"/>
    <xf numFmtId="171" fontId="13" fillId="3" borderId="12" xfId="1" applyNumberFormat="1" applyFont="1" applyFill="1" applyBorder="1"/>
    <xf numFmtId="171" fontId="13" fillId="3" borderId="10" xfId="1" applyNumberFormat="1" applyFont="1" applyFill="1" applyBorder="1"/>
    <xf numFmtId="171" fontId="0" fillId="0" borderId="22" xfId="2" applyNumberFormat="1" applyFont="1" applyBorder="1"/>
    <xf numFmtId="171" fontId="13" fillId="3" borderId="12" xfId="1" applyNumberFormat="1" applyFont="1" applyFill="1" applyBorder="1" applyAlignment="1">
      <alignment wrapText="1"/>
    </xf>
    <xf numFmtId="171" fontId="13" fillId="3" borderId="10" xfId="1" applyNumberFormat="1" applyFont="1" applyFill="1" applyBorder="1" applyAlignment="1">
      <alignment wrapText="1"/>
    </xf>
    <xf numFmtId="0" fontId="14" fillId="4" borderId="22" xfId="0" applyFont="1" applyFill="1" applyBorder="1" applyAlignment="1">
      <alignment horizontal="left" wrapText="1"/>
    </xf>
    <xf numFmtId="171" fontId="0" fillId="0" borderId="17" xfId="2" applyNumberFormat="1" applyFont="1" applyBorder="1"/>
    <xf numFmtId="171" fontId="0" fillId="0" borderId="20" xfId="2" applyNumberFormat="1" applyFont="1" applyBorder="1"/>
    <xf numFmtId="165" fontId="0" fillId="0" borderId="15" xfId="0" applyNumberFormat="1" applyBorder="1" applyAlignment="1">
      <alignment wrapText="1"/>
    </xf>
    <xf numFmtId="0" fontId="43" fillId="0" borderId="0" xfId="0" applyFont="1" applyAlignment="1">
      <alignment vertical="center" wrapText="1"/>
    </xf>
    <xf numFmtId="0" fontId="43" fillId="0" borderId="0" xfId="0" applyFont="1" applyAlignment="1">
      <alignment horizontal="left" vertical="center" wrapText="1" indent="1"/>
    </xf>
    <xf numFmtId="164" fontId="0" fillId="0" borderId="0" xfId="1" applyFont="1"/>
    <xf numFmtId="171" fontId="13" fillId="3" borderId="15" xfId="1" applyNumberFormat="1" applyFont="1" applyFill="1" applyBorder="1" applyAlignment="1">
      <alignment wrapText="1"/>
    </xf>
    <xf numFmtId="164" fontId="0" fillId="0" borderId="15" xfId="1" applyFont="1" applyBorder="1"/>
    <xf numFmtId="171" fontId="13" fillId="3" borderId="9" xfId="1" applyNumberFormat="1" applyFont="1" applyFill="1" applyBorder="1" applyAlignment="1">
      <alignment wrapText="1"/>
    </xf>
    <xf numFmtId="164" fontId="0" fillId="0" borderId="22" xfId="1" applyFont="1" applyBorder="1"/>
    <xf numFmtId="164" fontId="0" fillId="0" borderId="15" xfId="1" applyFont="1" applyFill="1" applyBorder="1"/>
    <xf numFmtId="164" fontId="0" fillId="0" borderId="22" xfId="1" applyFont="1" applyFill="1" applyBorder="1"/>
    <xf numFmtId="165" fontId="13" fillId="3" borderId="58" xfId="1" applyNumberFormat="1" applyFont="1" applyFill="1" applyBorder="1"/>
    <xf numFmtId="165" fontId="0" fillId="0" borderId="28" xfId="1" applyNumberFormat="1" applyFont="1" applyBorder="1"/>
    <xf numFmtId="165" fontId="0" fillId="0" borderId="59" xfId="1" applyNumberFormat="1" applyFont="1" applyBorder="1"/>
    <xf numFmtId="165" fontId="0" fillId="0" borderId="16" xfId="1" applyNumberFormat="1" applyFont="1" applyBorder="1"/>
    <xf numFmtId="165" fontId="0" fillId="0" borderId="19" xfId="1" applyNumberFormat="1" applyFont="1" applyBorder="1"/>
    <xf numFmtId="171" fontId="13" fillId="3" borderId="58" xfId="1" applyNumberFormat="1" applyFont="1" applyFill="1" applyBorder="1" applyAlignment="1">
      <alignment wrapText="1"/>
    </xf>
    <xf numFmtId="165" fontId="0" fillId="0" borderId="16" xfId="0" applyNumberFormat="1" applyBorder="1"/>
    <xf numFmtId="166" fontId="0" fillId="0" borderId="15" xfId="1" applyNumberFormat="1" applyFont="1" applyBorder="1"/>
    <xf numFmtId="0" fontId="13" fillId="3" borderId="53" xfId="0" applyFont="1" applyFill="1" applyBorder="1" applyAlignment="1">
      <alignment horizontal="left"/>
    </xf>
    <xf numFmtId="0" fontId="14" fillId="4" borderId="9" xfId="0" applyFont="1" applyFill="1" applyBorder="1" applyAlignment="1">
      <alignment horizontal="left" wrapText="1"/>
    </xf>
    <xf numFmtId="166" fontId="0" fillId="0" borderId="10" xfId="1" applyNumberFormat="1" applyFont="1" applyBorder="1"/>
    <xf numFmtId="166" fontId="0" fillId="0" borderId="51" xfId="1" applyNumberFormat="1" applyFont="1" applyBorder="1"/>
    <xf numFmtId="165" fontId="13" fillId="3" borderId="24" xfId="1" applyNumberFormat="1" applyFont="1" applyFill="1" applyBorder="1"/>
    <xf numFmtId="166" fontId="0" fillId="0" borderId="20" xfId="0" applyNumberFormat="1" applyBorder="1"/>
    <xf numFmtId="166" fontId="9" fillId="5" borderId="6" xfId="0" applyNumberFormat="1" applyFont="1" applyFill="1" applyBorder="1"/>
    <xf numFmtId="165" fontId="13" fillId="3" borderId="15" xfId="1" applyNumberFormat="1" applyFont="1" applyFill="1" applyBorder="1"/>
    <xf numFmtId="165" fontId="13" fillId="3" borderId="15" xfId="1" applyNumberFormat="1" applyFont="1" applyFill="1" applyBorder="1" applyAlignment="1">
      <alignment wrapText="1"/>
    </xf>
    <xf numFmtId="165" fontId="0" fillId="0" borderId="15" xfId="1" applyNumberFormat="1" applyFont="1" applyFill="1" applyBorder="1"/>
    <xf numFmtId="165" fontId="13" fillId="3" borderId="17" xfId="1" applyNumberFormat="1" applyFont="1" applyFill="1" applyBorder="1"/>
    <xf numFmtId="165" fontId="0" fillId="0" borderId="17" xfId="0" applyNumberFormat="1" applyBorder="1"/>
    <xf numFmtId="171" fontId="0" fillId="0" borderId="15" xfId="0" applyNumberFormat="1" applyBorder="1"/>
    <xf numFmtId="171" fontId="0" fillId="0" borderId="22" xfId="0" applyNumberFormat="1" applyBorder="1"/>
    <xf numFmtId="165" fontId="0" fillId="0" borderId="20" xfId="0" applyNumberFormat="1" applyBorder="1"/>
    <xf numFmtId="165" fontId="9" fillId="0" borderId="17" xfId="0" applyNumberFormat="1" applyFont="1" applyBorder="1"/>
    <xf numFmtId="165" fontId="9" fillId="0" borderId="20" xfId="0" applyNumberFormat="1" applyFont="1" applyBorder="1"/>
    <xf numFmtId="165" fontId="9" fillId="5" borderId="22" xfId="1" applyNumberFormat="1" applyFont="1" applyFill="1" applyBorder="1"/>
    <xf numFmtId="165" fontId="9" fillId="5" borderId="20" xfId="1" applyNumberFormat="1" applyFont="1" applyFill="1" applyBorder="1"/>
    <xf numFmtId="165" fontId="0" fillId="0" borderId="0" xfId="1" applyNumberFormat="1" applyFont="1" applyBorder="1"/>
    <xf numFmtId="165" fontId="0" fillId="0" borderId="15" xfId="1" applyNumberFormat="1" applyFont="1" applyBorder="1" applyAlignment="1">
      <alignment wrapText="1"/>
    </xf>
    <xf numFmtId="2" fontId="0" fillId="0" borderId="15" xfId="0" applyNumberFormat="1" applyBorder="1"/>
    <xf numFmtId="2" fontId="0" fillId="0" borderId="22" xfId="0" applyNumberFormat="1" applyBorder="1"/>
    <xf numFmtId="165" fontId="0" fillId="0" borderId="43" xfId="1" applyNumberFormat="1" applyFont="1" applyBorder="1" applyAlignment="1">
      <alignment wrapText="1"/>
    </xf>
    <xf numFmtId="0" fontId="0" fillId="0" borderId="12" xfId="0" applyBorder="1"/>
    <xf numFmtId="165" fontId="9" fillId="5" borderId="22" xfId="0" applyNumberFormat="1" applyFont="1" applyFill="1" applyBorder="1"/>
    <xf numFmtId="165" fontId="0" fillId="0" borderId="51" xfId="0" applyNumberFormat="1" applyBorder="1"/>
    <xf numFmtId="165" fontId="0" fillId="0" borderId="6" xfId="0" applyNumberFormat="1" applyBorder="1"/>
    <xf numFmtId="164" fontId="0" fillId="0" borderId="20" xfId="1" applyFont="1" applyBorder="1"/>
    <xf numFmtId="165" fontId="9" fillId="5" borderId="20" xfId="0" applyNumberFormat="1" applyFont="1" applyFill="1" applyBorder="1"/>
    <xf numFmtId="166" fontId="0" fillId="0" borderId="17" xfId="0" applyNumberFormat="1" applyBorder="1"/>
    <xf numFmtId="0" fontId="14" fillId="4" borderId="57" xfId="0" applyFont="1" applyFill="1" applyBorder="1" applyAlignment="1">
      <alignment horizontal="left" wrapText="1"/>
    </xf>
    <xf numFmtId="166" fontId="0" fillId="0" borderId="16" xfId="1" applyNumberFormat="1" applyFont="1" applyBorder="1"/>
    <xf numFmtId="166" fontId="0" fillId="0" borderId="19" xfId="1" applyNumberFormat="1" applyFont="1" applyBorder="1"/>
    <xf numFmtId="166" fontId="9" fillId="5" borderId="71" xfId="0" applyNumberFormat="1" applyFont="1" applyFill="1" applyBorder="1"/>
    <xf numFmtId="0" fontId="46" fillId="0" borderId="0" xfId="0" applyFont="1" applyAlignment="1">
      <alignment horizontal="left" indent="2"/>
    </xf>
    <xf numFmtId="166" fontId="9" fillId="5" borderId="22" xfId="1" applyNumberFormat="1" applyFont="1" applyFill="1" applyBorder="1"/>
    <xf numFmtId="0" fontId="13" fillId="3" borderId="36" xfId="0" applyFont="1" applyFill="1" applyBorder="1" applyAlignment="1">
      <alignment horizontal="left"/>
    </xf>
    <xf numFmtId="0" fontId="13" fillId="3" borderId="26" xfId="0" applyFont="1" applyFill="1" applyBorder="1" applyAlignment="1">
      <alignment horizontal="left"/>
    </xf>
    <xf numFmtId="166" fontId="0" fillId="0" borderId="38" xfId="0" applyNumberFormat="1" applyBorder="1"/>
    <xf numFmtId="166" fontId="0" fillId="0" borderId="29" xfId="0" applyNumberFormat="1" applyBorder="1"/>
    <xf numFmtId="166" fontId="0" fillId="0" borderId="41" xfId="0" applyNumberFormat="1" applyBorder="1"/>
    <xf numFmtId="49" fontId="13" fillId="3" borderId="10" xfId="0" applyNumberFormat="1" applyFont="1" applyFill="1" applyBorder="1" applyAlignment="1">
      <alignment horizontal="left" wrapText="1"/>
    </xf>
    <xf numFmtId="49" fontId="20" fillId="0" borderId="17" xfId="4" applyNumberFormat="1" applyBorder="1" applyAlignment="1">
      <alignment vertical="center" wrapText="1"/>
    </xf>
    <xf numFmtId="0" fontId="20" fillId="0" borderId="35" xfId="4" applyBorder="1"/>
    <xf numFmtId="173" fontId="31" fillId="0" borderId="15" xfId="1" applyNumberFormat="1" applyFont="1" applyBorder="1"/>
    <xf numFmtId="164" fontId="9" fillId="5" borderId="15" xfId="1" applyFont="1" applyFill="1" applyBorder="1"/>
    <xf numFmtId="173" fontId="0" fillId="0" borderId="17" xfId="1" applyNumberFormat="1" applyFont="1" applyBorder="1"/>
    <xf numFmtId="9" fontId="0" fillId="0" borderId="15" xfId="2" applyFont="1" applyBorder="1"/>
    <xf numFmtId="173" fontId="0" fillId="0" borderId="20" xfId="1" applyNumberFormat="1" applyFont="1" applyBorder="1"/>
    <xf numFmtId="0" fontId="14" fillId="4" borderId="16" xfId="0" applyFont="1" applyFill="1" applyBorder="1" applyAlignment="1">
      <alignment horizontal="left" vertical="center" wrapText="1"/>
    </xf>
    <xf numFmtId="165" fontId="20" fillId="0" borderId="15" xfId="4" applyNumberFormat="1" applyBorder="1"/>
    <xf numFmtId="0" fontId="0" fillId="0" borderId="49" xfId="0" applyBorder="1"/>
    <xf numFmtId="0" fontId="0" fillId="0" borderId="30" xfId="0" applyBorder="1"/>
    <xf numFmtId="0" fontId="0" fillId="0" borderId="33" xfId="0" applyBorder="1"/>
    <xf numFmtId="0" fontId="0" fillId="0" borderId="35" xfId="0" applyBorder="1"/>
    <xf numFmtId="0" fontId="0" fillId="0" borderId="16" xfId="0" applyBorder="1"/>
    <xf numFmtId="177" fontId="0" fillId="0" borderId="22" xfId="0" applyNumberFormat="1" applyBorder="1"/>
    <xf numFmtId="0" fontId="0" fillId="0" borderId="25" xfId="0" applyBorder="1"/>
    <xf numFmtId="0" fontId="0" fillId="0" borderId="26" xfId="0" applyBorder="1"/>
    <xf numFmtId="0" fontId="0" fillId="0" borderId="34" xfId="0" applyBorder="1"/>
    <xf numFmtId="173" fontId="9" fillId="5" borderId="5" xfId="1" applyNumberFormat="1" applyFont="1" applyFill="1" applyBorder="1"/>
    <xf numFmtId="0" fontId="0" fillId="0" borderId="6" xfId="0" applyBorder="1"/>
    <xf numFmtId="165" fontId="0" fillId="0" borderId="15" xfId="1" applyNumberFormat="1" applyFont="1" applyBorder="1" applyAlignment="1">
      <alignment vertical="center"/>
    </xf>
    <xf numFmtId="165" fontId="0" fillId="0" borderId="22" xfId="1" applyNumberFormat="1" applyFont="1" applyBorder="1" applyAlignment="1">
      <alignment vertical="center"/>
    </xf>
    <xf numFmtId="173" fontId="0" fillId="0" borderId="22" xfId="0" applyNumberFormat="1" applyBorder="1"/>
    <xf numFmtId="168" fontId="0" fillId="0" borderId="15" xfId="0" applyNumberFormat="1" applyBorder="1"/>
    <xf numFmtId="173" fontId="0" fillId="0" borderId="20" xfId="0" applyNumberFormat="1" applyBorder="1"/>
    <xf numFmtId="1" fontId="0" fillId="0" borderId="22" xfId="0" applyNumberFormat="1" applyBorder="1"/>
    <xf numFmtId="173" fontId="13" fillId="3" borderId="9" xfId="1" applyNumberFormat="1" applyFont="1" applyFill="1" applyBorder="1" applyAlignment="1">
      <alignment wrapText="1"/>
    </xf>
    <xf numFmtId="173" fontId="13" fillId="3" borderId="12" xfId="1" applyNumberFormat="1" applyFont="1" applyFill="1" applyBorder="1" applyAlignment="1">
      <alignment wrapText="1"/>
    </xf>
    <xf numFmtId="173" fontId="13" fillId="3" borderId="10" xfId="1" applyNumberFormat="1" applyFont="1" applyFill="1" applyBorder="1" applyAlignment="1">
      <alignment wrapText="1"/>
    </xf>
    <xf numFmtId="173" fontId="14" fillId="4" borderId="16" xfId="1" applyNumberFormat="1" applyFont="1" applyFill="1" applyBorder="1" applyAlignment="1">
      <alignment wrapText="1"/>
    </xf>
    <xf numFmtId="173" fontId="14" fillId="4" borderId="19" xfId="1" applyNumberFormat="1" applyFont="1" applyFill="1" applyBorder="1" applyAlignment="1">
      <alignment wrapText="1"/>
    </xf>
    <xf numFmtId="173" fontId="0" fillId="0" borderId="15" xfId="1" applyNumberFormat="1" applyFont="1" applyFill="1" applyBorder="1"/>
    <xf numFmtId="175" fontId="9" fillId="5" borderId="2" xfId="0" applyNumberFormat="1" applyFont="1" applyFill="1" applyBorder="1"/>
    <xf numFmtId="165" fontId="0" fillId="6" borderId="15" xfId="1" applyNumberFormat="1" applyFont="1" applyFill="1" applyBorder="1"/>
    <xf numFmtId="0" fontId="34" fillId="0" borderId="0" xfId="0" applyFont="1" applyAlignment="1">
      <alignment horizontal="left" indent="2"/>
    </xf>
    <xf numFmtId="0" fontId="45" fillId="7" borderId="9" xfId="0" applyFont="1" applyFill="1" applyBorder="1" applyAlignment="1">
      <alignment wrapText="1"/>
    </xf>
    <xf numFmtId="167" fontId="45" fillId="7" borderId="12" xfId="1" applyNumberFormat="1" applyFont="1" applyFill="1" applyBorder="1" applyAlignment="1">
      <alignment wrapText="1"/>
    </xf>
    <xf numFmtId="167" fontId="45" fillId="7" borderId="10" xfId="1" applyNumberFormat="1" applyFont="1" applyFill="1" applyBorder="1" applyAlignment="1">
      <alignment wrapText="1"/>
    </xf>
    <xf numFmtId="0" fontId="45" fillId="7" borderId="16" xfId="0" applyFont="1" applyFill="1" applyBorder="1"/>
    <xf numFmtId="167" fontId="45" fillId="7" borderId="15" xfId="1" applyNumberFormat="1" applyFont="1" applyFill="1" applyBorder="1"/>
    <xf numFmtId="167" fontId="45" fillId="7" borderId="17" xfId="1" applyNumberFormat="1" applyFont="1" applyFill="1" applyBorder="1"/>
    <xf numFmtId="0" fontId="44" fillId="8" borderId="16" xfId="0" applyFont="1" applyFill="1" applyBorder="1" applyAlignment="1">
      <alignment horizontal="left" indent="2"/>
    </xf>
    <xf numFmtId="167" fontId="45" fillId="7" borderId="15" xfId="1" applyNumberFormat="1" applyFont="1" applyFill="1" applyBorder="1" applyAlignment="1">
      <alignment wrapText="1"/>
    </xf>
    <xf numFmtId="167" fontId="0" fillId="0" borderId="15" xfId="1" applyNumberFormat="1" applyFont="1" applyFill="1" applyBorder="1"/>
    <xf numFmtId="167" fontId="45" fillId="7" borderId="17" xfId="1" applyNumberFormat="1" applyFont="1" applyFill="1" applyBorder="1" applyAlignment="1">
      <alignment wrapText="1"/>
    </xf>
    <xf numFmtId="167" fontId="0" fillId="0" borderId="17" xfId="1" applyNumberFormat="1" applyFont="1" applyFill="1" applyBorder="1"/>
    <xf numFmtId="167" fontId="0" fillId="0" borderId="17" xfId="0" applyNumberFormat="1" applyBorder="1"/>
    <xf numFmtId="0" fontId="44" fillId="8" borderId="19" xfId="0" applyFont="1" applyFill="1" applyBorder="1" applyAlignment="1">
      <alignment horizontal="left" indent="2"/>
    </xf>
    <xf numFmtId="0" fontId="9" fillId="0" borderId="0" xfId="0" applyFont="1" applyAlignment="1">
      <alignment horizontal="left"/>
    </xf>
    <xf numFmtId="0" fontId="45" fillId="7" borderId="9" xfId="0" applyFont="1" applyFill="1" applyBorder="1"/>
    <xf numFmtId="167" fontId="9" fillId="0" borderId="0" xfId="0" applyNumberFormat="1" applyFont="1"/>
    <xf numFmtId="0" fontId="45" fillId="7" borderId="7" xfId="0" applyFont="1" applyFill="1" applyBorder="1" applyAlignment="1">
      <alignment wrapText="1"/>
    </xf>
    <xf numFmtId="0" fontId="44" fillId="8" borderId="16" xfId="0" applyFont="1" applyFill="1" applyBorder="1" applyAlignment="1">
      <alignment horizontal="left" wrapText="1"/>
    </xf>
    <xf numFmtId="0" fontId="44" fillId="8" borderId="16" xfId="0" applyFont="1" applyFill="1" applyBorder="1" applyAlignment="1">
      <alignment horizontal="left"/>
    </xf>
    <xf numFmtId="0" fontId="47" fillId="0" borderId="0" xfId="0" applyFont="1" applyAlignment="1">
      <alignment horizontal="left" vertical="center" indent="1"/>
    </xf>
    <xf numFmtId="178" fontId="0" fillId="0" borderId="12" xfId="0" applyNumberFormat="1" applyBorder="1"/>
    <xf numFmtId="0" fontId="44" fillId="8" borderId="9" xfId="0" applyFont="1" applyFill="1" applyBorder="1" applyAlignment="1">
      <alignment horizontal="left" wrapText="1"/>
    </xf>
    <xf numFmtId="0" fontId="44" fillId="8" borderId="19" xfId="0" applyFont="1" applyFill="1" applyBorder="1" applyAlignment="1">
      <alignment horizontal="left" wrapText="1"/>
    </xf>
    <xf numFmtId="0" fontId="44" fillId="8" borderId="4" xfId="0" applyFont="1" applyFill="1" applyBorder="1" applyAlignment="1">
      <alignment horizontal="left" wrapText="1"/>
    </xf>
    <xf numFmtId="166" fontId="9" fillId="0" borderId="5" xfId="1" applyNumberFormat="1" applyFont="1" applyBorder="1"/>
    <xf numFmtId="0" fontId="9" fillId="0" borderId="6" xfId="0" applyFont="1" applyBorder="1"/>
    <xf numFmtId="0" fontId="45" fillId="7" borderId="12" xfId="0" applyFont="1" applyFill="1" applyBorder="1"/>
    <xf numFmtId="0" fontId="45" fillId="7" borderId="10" xfId="0" applyFont="1" applyFill="1" applyBorder="1"/>
    <xf numFmtId="0" fontId="45" fillId="7" borderId="12" xfId="0" applyFont="1" applyFill="1" applyBorder="1" applyAlignment="1">
      <alignment wrapText="1"/>
    </xf>
    <xf numFmtId="0" fontId="45" fillId="7" borderId="10" xfId="0" applyFont="1" applyFill="1" applyBorder="1" applyAlignment="1">
      <alignment wrapText="1"/>
    </xf>
    <xf numFmtId="173" fontId="9" fillId="5" borderId="34" xfId="0" applyNumberFormat="1" applyFont="1" applyFill="1" applyBorder="1"/>
    <xf numFmtId="166" fontId="9" fillId="0" borderId="15" xfId="1" applyNumberFormat="1" applyFont="1" applyBorder="1"/>
    <xf numFmtId="0" fontId="9" fillId="0" borderId="15" xfId="0" applyFont="1" applyBorder="1"/>
    <xf numFmtId="0" fontId="9" fillId="5" borderId="20" xfId="0" applyFont="1" applyFill="1" applyBorder="1"/>
    <xf numFmtId="173" fontId="9" fillId="5" borderId="2" xfId="0" applyNumberFormat="1" applyFont="1" applyFill="1" applyBorder="1"/>
    <xf numFmtId="165" fontId="9" fillId="5" borderId="6" xfId="1" applyNumberFormat="1" applyFont="1" applyFill="1" applyBorder="1"/>
    <xf numFmtId="0" fontId="9" fillId="0" borderId="0" xfId="0" applyFont="1" applyAlignment="1">
      <alignment horizontal="left" indent="1"/>
    </xf>
    <xf numFmtId="0" fontId="48" fillId="0" borderId="0" xfId="0" applyFont="1"/>
    <xf numFmtId="9" fontId="15" fillId="0" borderId="15" xfId="2" applyFont="1" applyFill="1" applyBorder="1"/>
    <xf numFmtId="9" fontId="15" fillId="0" borderId="22" xfId="2" applyFont="1" applyFill="1" applyBorder="1"/>
    <xf numFmtId="0" fontId="0" fillId="0" borderId="28" xfId="0" applyBorder="1" applyAlignment="1">
      <alignment wrapText="1"/>
    </xf>
    <xf numFmtId="171" fontId="13" fillId="3" borderId="7" xfId="1" applyNumberFormat="1" applyFont="1" applyFill="1" applyBorder="1" applyAlignment="1">
      <alignment wrapText="1"/>
    </xf>
    <xf numFmtId="0" fontId="0" fillId="0" borderId="18" xfId="0" applyBorder="1" applyAlignment="1">
      <alignment wrapText="1"/>
    </xf>
    <xf numFmtId="10" fontId="0" fillId="0" borderId="15" xfId="0" applyNumberFormat="1" applyBorder="1"/>
    <xf numFmtId="171" fontId="13" fillId="3" borderId="17" xfId="1" applyNumberFormat="1" applyFont="1" applyFill="1" applyBorder="1" applyAlignment="1">
      <alignment wrapText="1"/>
    </xf>
    <xf numFmtId="9" fontId="0" fillId="0" borderId="22" xfId="0" applyNumberFormat="1" applyBorder="1"/>
    <xf numFmtId="176" fontId="0" fillId="0" borderId="15" xfId="1" applyNumberFormat="1" applyFont="1" applyBorder="1"/>
    <xf numFmtId="176" fontId="0" fillId="0" borderId="17" xfId="1" applyNumberFormat="1" applyFont="1" applyBorder="1"/>
    <xf numFmtId="176" fontId="9" fillId="5" borderId="22" xfId="0" applyNumberFormat="1" applyFont="1" applyFill="1" applyBorder="1"/>
    <xf numFmtId="176" fontId="9" fillId="5" borderId="20" xfId="0" applyNumberFormat="1" applyFont="1" applyFill="1" applyBorder="1"/>
    <xf numFmtId="167" fontId="0" fillId="0" borderId="20" xfId="0" applyNumberFormat="1" applyBorder="1"/>
    <xf numFmtId="167" fontId="9" fillId="0" borderId="15" xfId="0" applyNumberFormat="1" applyFont="1" applyBorder="1"/>
    <xf numFmtId="9" fontId="0" fillId="0" borderId="17" xfId="2" applyFont="1" applyBorder="1"/>
    <xf numFmtId="167" fontId="9" fillId="0" borderId="22" xfId="0" applyNumberFormat="1" applyFont="1" applyBorder="1"/>
    <xf numFmtId="9" fontId="0" fillId="0" borderId="20" xfId="2" applyFont="1" applyBorder="1"/>
    <xf numFmtId="167" fontId="0" fillId="0" borderId="35" xfId="0" applyNumberFormat="1" applyBorder="1"/>
    <xf numFmtId="0" fontId="44" fillId="8" borderId="19" xfId="0" applyFont="1" applyFill="1" applyBorder="1" applyAlignment="1">
      <alignment horizontal="left"/>
    </xf>
    <xf numFmtId="179" fontId="9" fillId="5" borderId="22" xfId="0" applyNumberFormat="1" applyFont="1" applyFill="1" applyBorder="1"/>
    <xf numFmtId="0" fontId="49" fillId="0" borderId="15" xfId="0" applyFont="1" applyBorder="1"/>
    <xf numFmtId="0" fontId="49" fillId="0" borderId="17" xfId="0" applyFont="1" applyBorder="1"/>
    <xf numFmtId="165" fontId="9" fillId="5" borderId="17" xfId="1" applyNumberFormat="1" applyFont="1" applyFill="1" applyBorder="1"/>
    <xf numFmtId="9" fontId="0" fillId="0" borderId="17" xfId="0" applyNumberFormat="1" applyBorder="1"/>
    <xf numFmtId="9" fontId="0" fillId="0" borderId="20" xfId="0" applyNumberFormat="1" applyBorder="1"/>
    <xf numFmtId="172" fontId="0" fillId="0" borderId="15" xfId="0" applyNumberFormat="1" applyBorder="1"/>
    <xf numFmtId="179" fontId="0" fillId="0" borderId="15" xfId="1" applyNumberFormat="1" applyFont="1" applyBorder="1"/>
    <xf numFmtId="173" fontId="9" fillId="5" borderId="22" xfId="0" applyNumberFormat="1" applyFont="1" applyFill="1" applyBorder="1"/>
    <xf numFmtId="164" fontId="9" fillId="5" borderId="22" xfId="0" applyNumberFormat="1" applyFont="1" applyFill="1" applyBorder="1"/>
    <xf numFmtId="164" fontId="9" fillId="0" borderId="22" xfId="1" applyFont="1" applyFill="1" applyBorder="1"/>
    <xf numFmtId="164" fontId="9" fillId="5" borderId="20" xfId="0" applyNumberFormat="1" applyFont="1" applyFill="1" applyBorder="1"/>
    <xf numFmtId="164" fontId="0" fillId="0" borderId="15" xfId="0" applyNumberFormat="1" applyBorder="1"/>
    <xf numFmtId="0" fontId="18" fillId="0" borderId="0" xfId="0" applyFont="1" applyAlignment="1">
      <alignment horizontal="left" indent="2"/>
    </xf>
    <xf numFmtId="0" fontId="44" fillId="8" borderId="57" xfId="0" applyFont="1" applyFill="1" applyBorder="1" applyAlignment="1">
      <alignment horizontal="left" wrapText="1"/>
    </xf>
    <xf numFmtId="165" fontId="9" fillId="0" borderId="22" xfId="0" applyNumberFormat="1" applyFont="1" applyBorder="1"/>
    <xf numFmtId="0" fontId="15" fillId="0" borderId="15" xfId="0" applyFont="1" applyBorder="1" applyAlignment="1">
      <alignment wrapText="1"/>
    </xf>
    <xf numFmtId="0" fontId="15" fillId="0" borderId="15" xfId="0" applyFont="1" applyBorder="1" applyAlignment="1">
      <alignment horizontal="right" wrapText="1"/>
    </xf>
    <xf numFmtId="0" fontId="15" fillId="0" borderId="17" xfId="0" applyFont="1" applyBorder="1" applyAlignment="1">
      <alignment wrapText="1"/>
    </xf>
    <xf numFmtId="0" fontId="15" fillId="0" borderId="22" xfId="0" applyFont="1" applyBorder="1" applyAlignment="1">
      <alignment horizontal="right" wrapText="1"/>
    </xf>
    <xf numFmtId="0" fontId="15" fillId="0" borderId="20" xfId="0" applyFont="1" applyBorder="1" applyAlignment="1">
      <alignment wrapText="1"/>
    </xf>
    <xf numFmtId="0" fontId="45" fillId="7" borderId="53" xfId="0" applyFont="1" applyFill="1" applyBorder="1"/>
    <xf numFmtId="0" fontId="45" fillId="7" borderId="23" xfId="0" applyFont="1" applyFill="1" applyBorder="1"/>
    <xf numFmtId="0" fontId="45" fillId="7" borderId="24" xfId="0" applyFont="1" applyFill="1" applyBorder="1"/>
    <xf numFmtId="0" fontId="15" fillId="0" borderId="47" xfId="0" applyFont="1" applyBorder="1" applyAlignment="1">
      <alignment wrapText="1"/>
    </xf>
    <xf numFmtId="0" fontId="15" fillId="0" borderId="47" xfId="0" applyFont="1" applyBorder="1" applyAlignment="1">
      <alignment horizontal="right" wrapText="1"/>
    </xf>
    <xf numFmtId="0" fontId="15" fillId="0" borderId="48" xfId="0" applyFont="1" applyBorder="1" applyAlignment="1">
      <alignment wrapText="1"/>
    </xf>
    <xf numFmtId="0" fontId="15" fillId="0" borderId="12" xfId="0" applyFont="1" applyBorder="1" applyAlignment="1">
      <alignment wrapText="1"/>
    </xf>
    <xf numFmtId="0" fontId="15" fillId="0" borderId="12" xfId="0" applyFont="1" applyBorder="1" applyAlignment="1">
      <alignment horizontal="right" wrapText="1"/>
    </xf>
    <xf numFmtId="0" fontId="15" fillId="0" borderId="10" xfId="0" applyFont="1" applyBorder="1" applyAlignment="1">
      <alignment wrapText="1"/>
    </xf>
    <xf numFmtId="0" fontId="15" fillId="0" borderId="0" xfId="0" applyFont="1" applyAlignment="1">
      <alignment wrapText="1"/>
    </xf>
    <xf numFmtId="0" fontId="51" fillId="0" borderId="0" xfId="0" applyFont="1" applyAlignment="1">
      <alignment horizontal="center" vertical="center" wrapText="1"/>
    </xf>
    <xf numFmtId="0" fontId="50" fillId="0" borderId="0" xfId="0" applyFont="1" applyAlignment="1">
      <alignment horizontal="center" vertical="center" wrapText="1"/>
    </xf>
    <xf numFmtId="0" fontId="44" fillId="8" borderId="16" xfId="0" applyFont="1" applyFill="1" applyBorder="1" applyAlignment="1">
      <alignment vertical="center" wrapText="1"/>
    </xf>
    <xf numFmtId="0" fontId="20" fillId="0" borderId="15" xfId="4" applyFill="1" applyBorder="1" applyAlignment="1"/>
    <xf numFmtId="0" fontId="52" fillId="0" borderId="15" xfId="0" applyFont="1" applyBorder="1" applyAlignment="1">
      <alignment wrapText="1"/>
    </xf>
    <xf numFmtId="0" fontId="0" fillId="0" borderId="47" xfId="0" applyBorder="1"/>
    <xf numFmtId="0" fontId="16" fillId="0" borderId="15" xfId="0" applyFont="1" applyBorder="1" applyAlignment="1">
      <alignment wrapText="1"/>
    </xf>
    <xf numFmtId="0" fontId="16" fillId="0" borderId="22" xfId="0" applyFont="1" applyBorder="1" applyAlignment="1">
      <alignment wrapText="1"/>
    </xf>
    <xf numFmtId="165" fontId="0" fillId="0" borderId="43" xfId="1" applyNumberFormat="1" applyFont="1" applyBorder="1"/>
    <xf numFmtId="0" fontId="20" fillId="0" borderId="12" xfId="4" applyBorder="1"/>
    <xf numFmtId="0" fontId="0" fillId="0" borderId="43" xfId="0" applyBorder="1"/>
    <xf numFmtId="0" fontId="20" fillId="0" borderId="47" xfId="4" applyBorder="1"/>
    <xf numFmtId="0" fontId="52" fillId="0" borderId="22" xfId="0" applyFont="1" applyBorder="1" applyAlignment="1">
      <alignment wrapText="1"/>
    </xf>
    <xf numFmtId="2" fontId="0" fillId="0" borderId="43" xfId="0" applyNumberFormat="1" applyBorder="1"/>
    <xf numFmtId="0" fontId="15" fillId="0" borderId="51" xfId="0" applyFont="1" applyBorder="1" applyAlignment="1">
      <alignment wrapText="1"/>
    </xf>
    <xf numFmtId="0" fontId="20" fillId="0" borderId="43" xfId="4" applyBorder="1"/>
    <xf numFmtId="0" fontId="15" fillId="0" borderId="43" xfId="0" applyFont="1" applyBorder="1" applyAlignment="1">
      <alignment wrapText="1"/>
    </xf>
    <xf numFmtId="0" fontId="44" fillId="8" borderId="56" xfId="0" applyFont="1" applyFill="1" applyBorder="1" applyAlignment="1">
      <alignment horizontal="center" vertical="center" wrapText="1"/>
    </xf>
    <xf numFmtId="0" fontId="52" fillId="0" borderId="69" xfId="0" applyFont="1" applyBorder="1" applyAlignment="1">
      <alignment wrapText="1"/>
    </xf>
    <xf numFmtId="2" fontId="0" fillId="0" borderId="69" xfId="0" applyNumberFormat="1" applyBorder="1"/>
    <xf numFmtId="0" fontId="9" fillId="0" borderId="22" xfId="0" applyFont="1" applyBorder="1"/>
    <xf numFmtId="0" fontId="16" fillId="0" borderId="15" xfId="0" applyFont="1" applyBorder="1"/>
    <xf numFmtId="165" fontId="9" fillId="5" borderId="3" xfId="0" applyNumberFormat="1" applyFont="1" applyFill="1" applyBorder="1"/>
    <xf numFmtId="0" fontId="44" fillId="8" borderId="19" xfId="0" applyFont="1" applyFill="1" applyBorder="1" applyAlignment="1">
      <alignment vertical="center" wrapText="1"/>
    </xf>
    <xf numFmtId="164" fontId="9" fillId="5" borderId="5" xfId="1" applyFont="1" applyFill="1" applyBorder="1"/>
    <xf numFmtId="166" fontId="9" fillId="5" borderId="22" xfId="0" applyNumberFormat="1" applyFont="1" applyFill="1" applyBorder="1"/>
    <xf numFmtId="176" fontId="9" fillId="0" borderId="0" xfId="0" applyNumberFormat="1" applyFont="1"/>
    <xf numFmtId="9" fontId="13" fillId="3" borderId="12" xfId="2" applyFont="1" applyFill="1" applyBorder="1" applyAlignment="1">
      <alignment wrapText="1"/>
    </xf>
    <xf numFmtId="9" fontId="13" fillId="3" borderId="12" xfId="2" applyFont="1" applyFill="1" applyBorder="1"/>
    <xf numFmtId="9" fontId="0" fillId="0" borderId="22" xfId="2" applyFont="1" applyBorder="1"/>
    <xf numFmtId="9" fontId="0" fillId="0" borderId="51" xfId="2" applyFont="1" applyBorder="1"/>
    <xf numFmtId="9" fontId="13" fillId="3" borderId="10" xfId="2" applyFont="1" applyFill="1" applyBorder="1"/>
    <xf numFmtId="9" fontId="13" fillId="3" borderId="10" xfId="2" applyFont="1" applyFill="1" applyBorder="1" applyAlignment="1">
      <alignment wrapText="1"/>
    </xf>
    <xf numFmtId="9" fontId="15" fillId="0" borderId="17" xfId="2" applyFont="1" applyFill="1" applyBorder="1"/>
    <xf numFmtId="9" fontId="15" fillId="0" borderId="20" xfId="2" applyFont="1" applyFill="1" applyBorder="1"/>
    <xf numFmtId="0" fontId="13" fillId="3" borderId="16" xfId="0" applyFont="1" applyFill="1" applyBorder="1" applyAlignment="1">
      <alignment horizontal="left"/>
    </xf>
    <xf numFmtId="166" fontId="0" fillId="0" borderId="43" xfId="1" applyNumberFormat="1" applyFont="1" applyBorder="1"/>
    <xf numFmtId="166" fontId="9" fillId="0" borderId="5" xfId="1" applyNumberFormat="1" applyFont="1" applyFill="1" applyBorder="1"/>
    <xf numFmtId="166" fontId="9" fillId="0" borderId="17" xfId="0" applyNumberFormat="1" applyFont="1" applyBorder="1"/>
    <xf numFmtId="166" fontId="9" fillId="0" borderId="51" xfId="0" applyNumberFormat="1" applyFont="1" applyBorder="1"/>
    <xf numFmtId="165" fontId="0" fillId="0" borderId="20" xfId="1" applyNumberFormat="1" applyFont="1" applyBorder="1" applyAlignment="1">
      <alignment wrapText="1"/>
    </xf>
    <xf numFmtId="166" fontId="0" fillId="0" borderId="0" xfId="1" applyNumberFormat="1" applyFont="1" applyBorder="1"/>
    <xf numFmtId="164" fontId="0" fillId="0" borderId="51" xfId="1" applyFont="1" applyBorder="1"/>
    <xf numFmtId="164" fontId="9" fillId="5" borderId="6" xfId="1" applyFont="1" applyFill="1" applyBorder="1"/>
    <xf numFmtId="165" fontId="9" fillId="5" borderId="35" xfId="0" applyNumberFormat="1" applyFont="1" applyFill="1" applyBorder="1"/>
    <xf numFmtId="165" fontId="0" fillId="6" borderId="17" xfId="0" applyNumberFormat="1" applyFill="1" applyBorder="1"/>
    <xf numFmtId="166" fontId="44" fillId="8" borderId="16" xfId="1" applyNumberFormat="1" applyFont="1" applyFill="1" applyBorder="1"/>
    <xf numFmtId="166" fontId="44" fillId="8" borderId="42" xfId="1" applyNumberFormat="1" applyFont="1" applyFill="1" applyBorder="1"/>
    <xf numFmtId="166" fontId="9" fillId="0" borderId="43" xfId="1" applyNumberFormat="1" applyFont="1" applyBorder="1"/>
    <xf numFmtId="166" fontId="44" fillId="8" borderId="4" xfId="1" applyNumberFormat="1" applyFont="1" applyFill="1" applyBorder="1"/>
    <xf numFmtId="166" fontId="9" fillId="0" borderId="6" xfId="1" applyNumberFormat="1" applyFont="1" applyBorder="1"/>
    <xf numFmtId="166" fontId="45" fillId="7" borderId="9" xfId="1" applyNumberFormat="1" applyFont="1" applyFill="1" applyBorder="1" applyAlignment="1">
      <alignment wrapText="1"/>
    </xf>
    <xf numFmtId="166" fontId="45" fillId="7" borderId="12" xfId="1" applyNumberFormat="1" applyFont="1" applyFill="1" applyBorder="1" applyAlignment="1">
      <alignment wrapText="1"/>
    </xf>
    <xf numFmtId="166" fontId="45" fillId="7" borderId="10" xfId="1" applyNumberFormat="1" applyFont="1" applyFill="1" applyBorder="1" applyAlignment="1">
      <alignment wrapText="1"/>
    </xf>
    <xf numFmtId="166" fontId="9" fillId="0" borderId="0" xfId="1" applyNumberFormat="1" applyFont="1" applyFill="1" applyBorder="1"/>
    <xf numFmtId="165" fontId="45" fillId="7" borderId="9" xfId="1" applyNumberFormat="1" applyFont="1" applyFill="1" applyBorder="1"/>
    <xf numFmtId="165" fontId="44" fillId="8" borderId="19" xfId="1" applyNumberFormat="1" applyFont="1" applyFill="1" applyBorder="1"/>
    <xf numFmtId="165" fontId="45" fillId="7" borderId="12" xfId="1" applyNumberFormat="1" applyFont="1" applyFill="1" applyBorder="1" applyAlignment="1">
      <alignment wrapText="1"/>
    </xf>
    <xf numFmtId="165" fontId="45" fillId="7" borderId="10" xfId="1" applyNumberFormat="1" applyFont="1" applyFill="1" applyBorder="1" applyAlignment="1">
      <alignment wrapText="1"/>
    </xf>
    <xf numFmtId="165" fontId="53" fillId="8" borderId="19" xfId="1" applyNumberFormat="1" applyFont="1" applyFill="1" applyBorder="1" applyAlignment="1">
      <alignment horizontal="left" indent="2"/>
    </xf>
    <xf numFmtId="9" fontId="16" fillId="0" borderId="20" xfId="2" applyFont="1" applyBorder="1"/>
    <xf numFmtId="165" fontId="44" fillId="8" borderId="16" xfId="1" applyNumberFormat="1" applyFont="1" applyFill="1" applyBorder="1"/>
    <xf numFmtId="165" fontId="53" fillId="8" borderId="16" xfId="1" applyNumberFormat="1" applyFont="1" applyFill="1" applyBorder="1" applyAlignment="1">
      <alignment horizontal="left" indent="2"/>
    </xf>
    <xf numFmtId="9" fontId="16" fillId="0" borderId="17" xfId="2" applyFont="1" applyBorder="1"/>
    <xf numFmtId="9" fontId="0" fillId="0" borderId="17" xfId="2" applyFont="1" applyBorder="1" applyAlignment="1"/>
    <xf numFmtId="171" fontId="0" fillId="0" borderId="17" xfId="2" applyNumberFormat="1" applyFont="1" applyBorder="1" applyAlignment="1"/>
    <xf numFmtId="0" fontId="9" fillId="0" borderId="0" xfId="0" applyFont="1" applyAlignment="1">
      <alignment horizontal="left" vertical="center" indent="1"/>
    </xf>
    <xf numFmtId="43" fontId="0" fillId="0" borderId="17" xfId="0" applyNumberFormat="1" applyBorder="1"/>
    <xf numFmtId="173" fontId="0" fillId="0" borderId="0" xfId="1" applyNumberFormat="1" applyFont="1"/>
    <xf numFmtId="0" fontId="20" fillId="0" borderId="0" xfId="4" applyAlignment="1">
      <alignment vertical="center" wrapText="1"/>
    </xf>
    <xf numFmtId="171" fontId="0" fillId="0" borderId="0" xfId="2" applyNumberFormat="1" applyFont="1" applyAlignment="1">
      <alignment horizontal="left" indent="2"/>
    </xf>
    <xf numFmtId="0" fontId="0" fillId="0" borderId="0" xfId="0" quotePrefix="1"/>
    <xf numFmtId="173" fontId="9" fillId="0" borderId="22" xfId="1" applyNumberFormat="1" applyFont="1" applyFill="1" applyBorder="1"/>
    <xf numFmtId="176" fontId="0" fillId="0" borderId="0" xfId="1" applyNumberFormat="1" applyFont="1"/>
    <xf numFmtId="176" fontId="0" fillId="0" borderId="22" xfId="0" applyNumberFormat="1" applyBorder="1"/>
    <xf numFmtId="181" fontId="0" fillId="0" borderId="0" xfId="0" applyNumberFormat="1"/>
    <xf numFmtId="0" fontId="9" fillId="5" borderId="22" xfId="0" applyFont="1" applyFill="1" applyBorder="1"/>
    <xf numFmtId="0" fontId="54" fillId="10" borderId="0" xfId="0" applyFont="1" applyFill="1"/>
    <xf numFmtId="0" fontId="55" fillId="10" borderId="0" xfId="0" applyFont="1" applyFill="1"/>
    <xf numFmtId="0" fontId="58" fillId="0" borderId="0" xfId="0" applyFont="1" applyAlignment="1">
      <alignment vertical="center" wrapText="1"/>
    </xf>
    <xf numFmtId="0" fontId="57" fillId="0" borderId="0" xfId="0" applyFont="1" applyAlignment="1">
      <alignment vertical="center" wrapText="1"/>
    </xf>
    <xf numFmtId="174" fontId="0" fillId="0" borderId="15" xfId="0" applyNumberFormat="1" applyBorder="1"/>
    <xf numFmtId="174" fontId="0" fillId="0" borderId="17" xfId="0" applyNumberFormat="1" applyBorder="1"/>
    <xf numFmtId="174" fontId="0" fillId="0" borderId="22" xfId="0" applyNumberFormat="1" applyBorder="1"/>
    <xf numFmtId="174" fontId="0" fillId="0" borderId="20" xfId="0" applyNumberFormat="1" applyBorder="1"/>
    <xf numFmtId="180" fontId="0" fillId="0" borderId="22" xfId="0" applyNumberFormat="1" applyBorder="1"/>
    <xf numFmtId="0" fontId="44" fillId="8" borderId="4" xfId="0" applyFont="1" applyFill="1" applyBorder="1" applyAlignment="1">
      <alignment vertical="center" wrapText="1"/>
    </xf>
    <xf numFmtId="165" fontId="44" fillId="8" borderId="4" xfId="1" applyNumberFormat="1" applyFont="1" applyFill="1" applyBorder="1"/>
    <xf numFmtId="171" fontId="0" fillId="0" borderId="0" xfId="2" applyNumberFormat="1" applyFont="1"/>
    <xf numFmtId="164" fontId="45" fillId="7" borderId="12" xfId="1" applyFont="1" applyFill="1" applyBorder="1"/>
    <xf numFmtId="0" fontId="44" fillId="8" borderId="33" xfId="0" applyFont="1" applyFill="1" applyBorder="1" applyAlignment="1">
      <alignment horizontal="left" wrapText="1"/>
    </xf>
    <xf numFmtId="171" fontId="13" fillId="3" borderId="26" xfId="1" applyNumberFormat="1" applyFont="1" applyFill="1" applyBorder="1" applyAlignment="1">
      <alignment vertical="center" wrapText="1"/>
    </xf>
    <xf numFmtId="171" fontId="13" fillId="3" borderId="72" xfId="1" applyNumberFormat="1" applyFont="1" applyFill="1" applyBorder="1" applyAlignment="1">
      <alignment vertical="center" wrapText="1"/>
    </xf>
    <xf numFmtId="166" fontId="9" fillId="0" borderId="29" xfId="0" applyNumberFormat="1" applyFont="1" applyBorder="1"/>
    <xf numFmtId="166" fontId="9" fillId="5" borderId="35" xfId="0" applyNumberFormat="1" applyFont="1" applyFill="1" applyBorder="1"/>
    <xf numFmtId="171" fontId="13" fillId="3" borderId="16" xfId="1" applyNumberFormat="1" applyFont="1" applyFill="1" applyBorder="1" applyAlignment="1">
      <alignment wrapText="1"/>
    </xf>
    <xf numFmtId="173" fontId="0" fillId="0" borderId="16" xfId="1" applyNumberFormat="1" applyFont="1" applyBorder="1"/>
    <xf numFmtId="164" fontId="9" fillId="0" borderId="57" xfId="1" applyFont="1" applyFill="1" applyBorder="1"/>
    <xf numFmtId="164" fontId="9" fillId="0" borderId="31" xfId="1" applyFont="1" applyFill="1" applyBorder="1"/>
    <xf numFmtId="164" fontId="9" fillId="0" borderId="32" xfId="1" applyFont="1" applyFill="1" applyBorder="1"/>
    <xf numFmtId="166" fontId="9" fillId="0" borderId="22" xfId="1" applyNumberFormat="1" applyFont="1" applyBorder="1"/>
    <xf numFmtId="165" fontId="9" fillId="0" borderId="51" xfId="1" applyNumberFormat="1" applyFont="1" applyBorder="1"/>
    <xf numFmtId="166" fontId="0" fillId="0" borderId="12" xfId="1" applyNumberFormat="1" applyFont="1" applyBorder="1"/>
    <xf numFmtId="165" fontId="0" fillId="0" borderId="10" xfId="1" applyNumberFormat="1" applyFont="1" applyBorder="1"/>
    <xf numFmtId="173" fontId="0" fillId="0" borderId="19" xfId="1" applyNumberFormat="1" applyFont="1" applyBorder="1"/>
    <xf numFmtId="164" fontId="9" fillId="0" borderId="29" xfId="0" applyNumberFormat="1" applyFont="1" applyBorder="1"/>
    <xf numFmtId="0" fontId="13" fillId="3" borderId="27" xfId="0" applyFont="1" applyFill="1" applyBorder="1" applyAlignment="1">
      <alignment horizontal="left"/>
    </xf>
    <xf numFmtId="176" fontId="0" fillId="0" borderId="19" xfId="1" applyNumberFormat="1" applyFont="1" applyBorder="1"/>
    <xf numFmtId="176" fontId="0" fillId="0" borderId="20" xfId="1" applyNumberFormat="1" applyFont="1" applyBorder="1"/>
    <xf numFmtId="165" fontId="45" fillId="7" borderId="9" xfId="1" applyNumberFormat="1" applyFont="1" applyFill="1" applyBorder="1" applyAlignment="1">
      <alignment wrapText="1"/>
    </xf>
    <xf numFmtId="173" fontId="14" fillId="4" borderId="4" xfId="1" applyNumberFormat="1" applyFont="1" applyFill="1" applyBorder="1" applyAlignment="1">
      <alignment wrapText="1"/>
    </xf>
    <xf numFmtId="165" fontId="9" fillId="5" borderId="5" xfId="1" applyNumberFormat="1" applyFont="1" applyFill="1" applyBorder="1"/>
    <xf numFmtId="173" fontId="9" fillId="5" borderId="6" xfId="1" applyNumberFormat="1" applyFont="1" applyFill="1" applyBorder="1" applyAlignment="1">
      <alignment wrapText="1"/>
    </xf>
    <xf numFmtId="166" fontId="9" fillId="5" borderId="15" xfId="1" applyNumberFormat="1" applyFont="1" applyFill="1" applyBorder="1"/>
    <xf numFmtId="164" fontId="13" fillId="3" borderId="9" xfId="1" applyFont="1" applyFill="1" applyBorder="1"/>
    <xf numFmtId="164" fontId="13" fillId="3" borderId="12" xfId="1" applyFont="1" applyFill="1" applyBorder="1"/>
    <xf numFmtId="164" fontId="13" fillId="3" borderId="10" xfId="1" applyFont="1" applyFill="1" applyBorder="1"/>
    <xf numFmtId="164" fontId="14" fillId="4" borderId="16" xfId="1" applyFont="1" applyFill="1" applyBorder="1"/>
    <xf numFmtId="164" fontId="14" fillId="4" borderId="19" xfId="1" applyFont="1" applyFill="1" applyBorder="1"/>
    <xf numFmtId="166" fontId="0" fillId="0" borderId="15" xfId="0" applyNumberFormat="1" applyBorder="1"/>
    <xf numFmtId="166" fontId="0" fillId="0" borderId="22" xfId="0" applyNumberFormat="1" applyBorder="1"/>
    <xf numFmtId="0" fontId="0" fillId="0" borderId="0" xfId="0" applyAlignment="1">
      <alignment horizontal="center"/>
    </xf>
    <xf numFmtId="167" fontId="9" fillId="0" borderId="6" xfId="0" applyNumberFormat="1" applyFont="1" applyBorder="1"/>
    <xf numFmtId="165" fontId="13" fillId="3" borderId="9" xfId="1" applyNumberFormat="1" applyFont="1" applyFill="1" applyBorder="1" applyAlignment="1">
      <alignment wrapText="1"/>
    </xf>
    <xf numFmtId="165" fontId="14" fillId="4" borderId="19" xfId="1" applyNumberFormat="1" applyFont="1" applyFill="1" applyBorder="1" applyAlignment="1">
      <alignment wrapText="1"/>
    </xf>
    <xf numFmtId="165" fontId="9" fillId="0" borderId="22" xfId="1" applyNumberFormat="1" applyFont="1" applyBorder="1" applyAlignment="1">
      <alignment wrapText="1"/>
    </xf>
    <xf numFmtId="165" fontId="9" fillId="0" borderId="20" xfId="1" applyNumberFormat="1" applyFont="1" applyBorder="1" applyAlignment="1">
      <alignment wrapText="1"/>
    </xf>
    <xf numFmtId="165" fontId="9" fillId="0" borderId="17" xfId="1" applyNumberFormat="1" applyFont="1" applyBorder="1" applyAlignment="1">
      <alignment wrapText="1"/>
    </xf>
    <xf numFmtId="0" fontId="14" fillId="4" borderId="2" xfId="0" applyFont="1" applyFill="1" applyBorder="1" applyAlignment="1">
      <alignment horizontal="center" vertical="center" wrapText="1"/>
    </xf>
    <xf numFmtId="0" fontId="0" fillId="0" borderId="74" xfId="0" applyBorder="1" applyAlignment="1">
      <alignment wrapText="1"/>
    </xf>
    <xf numFmtId="0" fontId="0" fillId="0" borderId="51" xfId="0" applyBorder="1" applyAlignment="1">
      <alignment wrapText="1"/>
    </xf>
    <xf numFmtId="166" fontId="0" fillId="0" borderId="4" xfId="0" applyNumberFormat="1" applyBorder="1" applyAlignment="1">
      <alignment wrapText="1"/>
    </xf>
    <xf numFmtId="166" fontId="0" fillId="0" borderId="6" xfId="0" applyNumberFormat="1" applyBorder="1" applyAlignment="1">
      <alignment wrapText="1"/>
    </xf>
    <xf numFmtId="172" fontId="9" fillId="5" borderId="22" xfId="0" applyNumberFormat="1" applyFont="1" applyFill="1" applyBorder="1" applyAlignment="1">
      <alignment wrapText="1"/>
    </xf>
    <xf numFmtId="0" fontId="9" fillId="5" borderId="20" xfId="0" applyFont="1" applyFill="1" applyBorder="1" applyAlignment="1">
      <alignment wrapText="1"/>
    </xf>
    <xf numFmtId="166" fontId="0" fillId="0" borderId="15" xfId="1" applyNumberFormat="1" applyFont="1" applyBorder="1" applyAlignment="1">
      <alignment wrapText="1"/>
    </xf>
    <xf numFmtId="166" fontId="9" fillId="0" borderId="17" xfId="1" applyNumberFormat="1" applyFont="1" applyBorder="1" applyAlignment="1">
      <alignment wrapText="1"/>
    </xf>
    <xf numFmtId="166" fontId="9" fillId="5" borderId="22" xfId="1" applyNumberFormat="1" applyFont="1" applyFill="1" applyBorder="1" applyAlignment="1">
      <alignment wrapText="1"/>
    </xf>
    <xf numFmtId="166" fontId="9" fillId="5" borderId="20" xfId="1" applyNumberFormat="1" applyFont="1" applyFill="1" applyBorder="1" applyAlignment="1">
      <alignment wrapText="1"/>
    </xf>
    <xf numFmtId="165" fontId="9" fillId="0" borderId="15" xfId="1" applyNumberFormat="1" applyFont="1" applyBorder="1" applyAlignment="1">
      <alignment wrapText="1"/>
    </xf>
    <xf numFmtId="0" fontId="0" fillId="0" borderId="28" xfId="0" applyBorder="1"/>
    <xf numFmtId="165" fontId="9" fillId="0" borderId="59" xfId="1" applyNumberFormat="1" applyFont="1" applyBorder="1" applyAlignment="1">
      <alignment wrapText="1"/>
    </xf>
    <xf numFmtId="164" fontId="9" fillId="5" borderId="7" xfId="0" applyNumberFormat="1" applyFont="1" applyFill="1" applyBorder="1"/>
    <xf numFmtId="164" fontId="9" fillId="5" borderId="13" xfId="0" applyNumberFormat="1" applyFont="1" applyFill="1" applyBorder="1"/>
    <xf numFmtId="164" fontId="9" fillId="5" borderId="18" xfId="0" applyNumberFormat="1" applyFont="1" applyFill="1" applyBorder="1"/>
    <xf numFmtId="175" fontId="9" fillId="5" borderId="5" xfId="0" applyNumberFormat="1" applyFont="1" applyFill="1" applyBorder="1"/>
    <xf numFmtId="165" fontId="14" fillId="4" borderId="4" xfId="1" applyNumberFormat="1" applyFont="1" applyFill="1" applyBorder="1" applyAlignment="1">
      <alignment wrapText="1"/>
    </xf>
    <xf numFmtId="164" fontId="0" fillId="0" borderId="5" xfId="1" applyFont="1" applyBorder="1" applyAlignment="1">
      <alignment wrapText="1"/>
    </xf>
    <xf numFmtId="164" fontId="0" fillId="0" borderId="5" xfId="1" applyFont="1" applyFill="1" applyBorder="1" applyAlignment="1">
      <alignment wrapText="1"/>
    </xf>
    <xf numFmtId="166" fontId="0" fillId="0" borderId="6" xfId="1" applyNumberFormat="1" applyFont="1" applyBorder="1" applyAlignment="1">
      <alignment vertical="center" wrapText="1"/>
    </xf>
    <xf numFmtId="0" fontId="13" fillId="3" borderId="10" xfId="0" applyFont="1" applyFill="1" applyBorder="1" applyAlignment="1">
      <alignment horizontal="center" vertical="center"/>
    </xf>
    <xf numFmtId="0" fontId="14" fillId="4" borderId="19" xfId="0" applyFont="1" applyFill="1" applyBorder="1" applyAlignment="1">
      <alignment horizontal="center" vertical="center" wrapText="1"/>
    </xf>
    <xf numFmtId="0" fontId="59" fillId="0" borderId="15" xfId="0" applyFont="1" applyBorder="1" applyAlignment="1">
      <alignment vertical="center"/>
    </xf>
    <xf numFmtId="0" fontId="59" fillId="0" borderId="22" xfId="0" applyFont="1" applyBorder="1" applyAlignment="1">
      <alignment vertical="center"/>
    </xf>
    <xf numFmtId="0" fontId="0" fillId="0" borderId="16" xfId="0" applyBorder="1" applyAlignment="1">
      <alignment horizontal="left" indent="1"/>
    </xf>
    <xf numFmtId="0" fontId="0" fillId="0" borderId="19" xfId="0" applyBorder="1" applyAlignment="1">
      <alignment horizontal="left" indent="1"/>
    </xf>
    <xf numFmtId="0" fontId="59" fillId="0" borderId="47" xfId="0" applyFont="1" applyBorder="1" applyAlignment="1">
      <alignment vertical="center"/>
    </xf>
    <xf numFmtId="0" fontId="9" fillId="0" borderId="22" xfId="0" applyFont="1" applyBorder="1" applyAlignment="1">
      <alignment horizontal="left" wrapText="1"/>
    </xf>
    <xf numFmtId="167" fontId="9" fillId="0" borderId="22" xfId="0" applyNumberFormat="1" applyFont="1" applyBorder="1" applyAlignment="1">
      <alignment wrapText="1"/>
    </xf>
    <xf numFmtId="167" fontId="9" fillId="0" borderId="20" xfId="0" applyNumberFormat="1" applyFont="1" applyBorder="1" applyAlignment="1">
      <alignment wrapText="1"/>
    </xf>
    <xf numFmtId="0" fontId="9" fillId="0" borderId="55" xfId="0" applyFont="1" applyBorder="1" applyAlignment="1">
      <alignment horizontal="left" indent="1"/>
    </xf>
    <xf numFmtId="167" fontId="9" fillId="0" borderId="48" xfId="0" applyNumberFormat="1" applyFont="1" applyBorder="1"/>
    <xf numFmtId="0" fontId="9" fillId="0" borderId="16" xfId="0" applyFont="1" applyBorder="1" applyAlignment="1">
      <alignment horizontal="left" indent="1"/>
    </xf>
    <xf numFmtId="164" fontId="13" fillId="3" borderId="10" xfId="1" applyFont="1" applyFill="1" applyBorder="1" applyAlignment="1">
      <alignment wrapText="1"/>
    </xf>
    <xf numFmtId="164" fontId="13" fillId="3" borderId="12" xfId="1" applyFont="1" applyFill="1" applyBorder="1" applyAlignment="1">
      <alignment wrapText="1"/>
    </xf>
    <xf numFmtId="164" fontId="9" fillId="5" borderId="20" xfId="1" applyFont="1" applyFill="1" applyBorder="1"/>
    <xf numFmtId="164" fontId="9" fillId="0" borderId="17" xfId="1" applyFont="1" applyBorder="1"/>
    <xf numFmtId="171" fontId="9" fillId="0" borderId="17" xfId="2" applyNumberFormat="1" applyFont="1" applyBorder="1"/>
    <xf numFmtId="0" fontId="44" fillId="8" borderId="42" xfId="0" applyFont="1" applyFill="1" applyBorder="1" applyAlignment="1">
      <alignment horizontal="left" wrapText="1"/>
    </xf>
    <xf numFmtId="3" fontId="0" fillId="0" borderId="0" xfId="0" applyNumberFormat="1"/>
    <xf numFmtId="166" fontId="0" fillId="0" borderId="5" xfId="1" applyNumberFormat="1" applyFont="1" applyBorder="1"/>
    <xf numFmtId="164" fontId="9" fillId="0" borderId="12" xfId="1" applyFont="1" applyFill="1" applyBorder="1"/>
    <xf numFmtId="0" fontId="9" fillId="0" borderId="10" xfId="0" applyFont="1" applyBorder="1"/>
    <xf numFmtId="9" fontId="44" fillId="8" borderId="19" xfId="2" applyFont="1" applyFill="1" applyBorder="1" applyAlignment="1">
      <alignment horizontal="left" wrapText="1"/>
    </xf>
    <xf numFmtId="9" fontId="44" fillId="8" borderId="9" xfId="2" applyFont="1" applyFill="1" applyBorder="1" applyAlignment="1">
      <alignment horizontal="left" wrapText="1"/>
    </xf>
    <xf numFmtId="0" fontId="14" fillId="4" borderId="15" xfId="0" applyFont="1" applyFill="1" applyBorder="1" applyAlignment="1">
      <alignment horizontal="center" vertical="center" wrapText="1"/>
    </xf>
    <xf numFmtId="164" fontId="9" fillId="5" borderId="17" xfId="0" applyNumberFormat="1" applyFont="1" applyFill="1" applyBorder="1" applyAlignment="1">
      <alignment horizontal="center" vertical="center"/>
    </xf>
    <xf numFmtId="0" fontId="14" fillId="4" borderId="22" xfId="0" applyFont="1" applyFill="1" applyBorder="1" applyAlignment="1">
      <alignment horizontal="center" vertical="center" wrapText="1"/>
    </xf>
    <xf numFmtId="164" fontId="9" fillId="5" borderId="20" xfId="0" applyNumberFormat="1" applyFont="1" applyFill="1" applyBorder="1" applyAlignment="1">
      <alignment horizontal="center" vertical="center"/>
    </xf>
    <xf numFmtId="0" fontId="60" fillId="0" borderId="0" xfId="0" applyFont="1"/>
    <xf numFmtId="9" fontId="13" fillId="3" borderId="9" xfId="2" applyFont="1" applyFill="1" applyBorder="1" applyAlignment="1">
      <alignment horizontal="left"/>
    </xf>
    <xf numFmtId="9" fontId="14" fillId="4" borderId="16" xfId="2" applyFont="1" applyFill="1" applyBorder="1" applyAlignment="1">
      <alignment horizontal="left" wrapText="1"/>
    </xf>
    <xf numFmtId="9" fontId="14" fillId="4" borderId="19" xfId="2" applyFont="1" applyFill="1" applyBorder="1" applyAlignment="1">
      <alignment horizontal="left" wrapText="1"/>
    </xf>
    <xf numFmtId="9" fontId="13" fillId="3" borderId="53" xfId="2" applyFont="1" applyFill="1" applyBorder="1" applyAlignment="1">
      <alignment horizontal="left" wrapText="1"/>
    </xf>
    <xf numFmtId="9" fontId="13" fillId="3" borderId="23" xfId="2" applyFont="1" applyFill="1" applyBorder="1" applyAlignment="1">
      <alignment horizontal="left" wrapText="1"/>
    </xf>
    <xf numFmtId="9" fontId="13" fillId="3" borderId="24" xfId="2" applyFont="1" applyFill="1" applyBorder="1" applyAlignment="1">
      <alignment horizontal="left" wrapText="1"/>
    </xf>
    <xf numFmtId="165" fontId="0" fillId="0" borderId="48" xfId="1" applyNumberFormat="1" applyFont="1" applyBorder="1"/>
    <xf numFmtId="9" fontId="14" fillId="4" borderId="4" xfId="2" applyFont="1" applyFill="1" applyBorder="1" applyAlignment="1">
      <alignment horizontal="left" wrapText="1"/>
    </xf>
    <xf numFmtId="164" fontId="9" fillId="5" borderId="34" xfId="0" applyNumberFormat="1" applyFont="1" applyFill="1" applyBorder="1"/>
    <xf numFmtId="9" fontId="0" fillId="0" borderId="15" xfId="0" applyNumberFormat="1" applyBorder="1"/>
    <xf numFmtId="165" fontId="0" fillId="0" borderId="10" xfId="0" applyNumberFormat="1" applyBorder="1"/>
    <xf numFmtId="166" fontId="45" fillId="7" borderId="9" xfId="1" applyNumberFormat="1" applyFont="1" applyFill="1" applyBorder="1"/>
    <xf numFmtId="165" fontId="45" fillId="7" borderId="7" xfId="1" applyNumberFormat="1" applyFont="1" applyFill="1" applyBorder="1"/>
    <xf numFmtId="165" fontId="44" fillId="8" borderId="42" xfId="1" applyNumberFormat="1" applyFont="1" applyFill="1" applyBorder="1"/>
    <xf numFmtId="166" fontId="45" fillId="7" borderId="7" xfId="1" applyNumberFormat="1" applyFont="1" applyFill="1" applyBorder="1"/>
    <xf numFmtId="166" fontId="44" fillId="8" borderId="19" xfId="1" applyNumberFormat="1" applyFont="1" applyFill="1" applyBorder="1"/>
    <xf numFmtId="164" fontId="45" fillId="7" borderId="9" xfId="1" applyFont="1" applyFill="1" applyBorder="1"/>
    <xf numFmtId="164" fontId="45" fillId="7" borderId="10" xfId="1" applyFont="1" applyFill="1" applyBorder="1"/>
    <xf numFmtId="164" fontId="44" fillId="8" borderId="16" xfId="1" applyFont="1" applyFill="1" applyBorder="1"/>
    <xf numFmtId="164" fontId="44" fillId="8" borderId="19" xfId="1" applyFont="1" applyFill="1" applyBorder="1"/>
    <xf numFmtId="164" fontId="0" fillId="0" borderId="17" xfId="1" applyFont="1" applyFill="1" applyBorder="1"/>
    <xf numFmtId="164" fontId="44" fillId="8" borderId="42" xfId="1" applyFont="1" applyFill="1" applyBorder="1"/>
    <xf numFmtId="164" fontId="0" fillId="0" borderId="43" xfId="1" applyFont="1" applyBorder="1"/>
    <xf numFmtId="164" fontId="44" fillId="8" borderId="57" xfId="1" applyFont="1" applyFill="1" applyBorder="1"/>
    <xf numFmtId="164" fontId="0" fillId="0" borderId="31" xfId="1" applyFont="1" applyBorder="1"/>
    <xf numFmtId="164" fontId="0" fillId="0" borderId="32" xfId="1" applyFont="1" applyBorder="1"/>
    <xf numFmtId="164" fontId="44" fillId="8" borderId="9" xfId="1" applyFont="1" applyFill="1" applyBorder="1"/>
    <xf numFmtId="164" fontId="0" fillId="0" borderId="12" xfId="1" applyFont="1" applyBorder="1"/>
    <xf numFmtId="164" fontId="0" fillId="0" borderId="10" xfId="1" applyFont="1" applyBorder="1"/>
    <xf numFmtId="164" fontId="0" fillId="5" borderId="15" xfId="1" applyFont="1" applyFill="1" applyBorder="1"/>
    <xf numFmtId="166" fontId="44" fillId="8" borderId="9" xfId="1" applyNumberFormat="1" applyFont="1" applyFill="1" applyBorder="1" applyAlignment="1">
      <alignment wrapText="1"/>
    </xf>
    <xf numFmtId="164" fontId="0" fillId="5" borderId="12" xfId="1" applyFont="1" applyFill="1" applyBorder="1"/>
    <xf numFmtId="166" fontId="44" fillId="8" borderId="16" xfId="1" applyNumberFormat="1" applyFont="1" applyFill="1" applyBorder="1" applyAlignment="1">
      <alignment wrapText="1"/>
    </xf>
    <xf numFmtId="166" fontId="44" fillId="8" borderId="19" xfId="1" applyNumberFormat="1" applyFont="1" applyFill="1" applyBorder="1" applyAlignment="1">
      <alignment wrapText="1"/>
    </xf>
    <xf numFmtId="164" fontId="0" fillId="5" borderId="22" xfId="1" applyFont="1" applyFill="1" applyBorder="1"/>
    <xf numFmtId="165" fontId="44" fillId="8" borderId="16" xfId="1" applyNumberFormat="1" applyFont="1" applyFill="1" applyBorder="1" applyAlignment="1">
      <alignment wrapText="1"/>
    </xf>
    <xf numFmtId="165" fontId="0" fillId="0" borderId="15" xfId="1" applyNumberFormat="1" applyFont="1" applyFill="1" applyBorder="1" applyAlignment="1">
      <alignment wrapText="1"/>
    </xf>
    <xf numFmtId="165" fontId="0" fillId="0" borderId="17" xfId="1" applyNumberFormat="1" applyFont="1" applyFill="1" applyBorder="1" applyAlignment="1">
      <alignment wrapText="1"/>
    </xf>
    <xf numFmtId="165" fontId="44" fillId="8" borderId="19" xfId="1" applyNumberFormat="1" applyFont="1" applyFill="1" applyBorder="1" applyAlignment="1">
      <alignment wrapText="1"/>
    </xf>
    <xf numFmtId="165" fontId="0" fillId="0" borderId="22" xfId="1" applyNumberFormat="1" applyFont="1" applyBorder="1" applyAlignment="1">
      <alignment wrapText="1"/>
    </xf>
    <xf numFmtId="165" fontId="0" fillId="0" borderId="20" xfId="1" applyNumberFormat="1" applyFont="1" applyFill="1" applyBorder="1" applyAlignment="1">
      <alignment wrapText="1"/>
    </xf>
    <xf numFmtId="165" fontId="44" fillId="8" borderId="57" xfId="1" applyNumberFormat="1" applyFont="1" applyFill="1" applyBorder="1" applyAlignment="1">
      <alignment wrapText="1"/>
    </xf>
    <xf numFmtId="165" fontId="0" fillId="0" borderId="34" xfId="1" applyNumberFormat="1" applyFont="1" applyBorder="1" applyAlignment="1">
      <alignment wrapText="1"/>
    </xf>
    <xf numFmtId="165" fontId="0" fillId="0" borderId="32" xfId="1" applyNumberFormat="1" applyFont="1" applyFill="1" applyBorder="1" applyAlignment="1">
      <alignment wrapText="1"/>
    </xf>
    <xf numFmtId="165" fontId="44" fillId="8" borderId="4" xfId="1" applyNumberFormat="1" applyFont="1" applyFill="1" applyBorder="1" applyAlignment="1">
      <alignment wrapText="1"/>
    </xf>
    <xf numFmtId="165" fontId="0" fillId="0" borderId="3" xfId="1" applyNumberFormat="1" applyFont="1" applyBorder="1" applyAlignment="1">
      <alignment wrapText="1"/>
    </xf>
    <xf numFmtId="165" fontId="45" fillId="7" borderId="58" xfId="1" applyNumberFormat="1" applyFont="1" applyFill="1" applyBorder="1" applyAlignment="1">
      <alignment wrapText="1"/>
    </xf>
    <xf numFmtId="165" fontId="0" fillId="0" borderId="28" xfId="1" applyNumberFormat="1" applyFont="1" applyFill="1" applyBorder="1" applyAlignment="1">
      <alignment wrapText="1"/>
    </xf>
    <xf numFmtId="165" fontId="44" fillId="8" borderId="9" xfId="1" applyNumberFormat="1" applyFont="1" applyFill="1" applyBorder="1" applyAlignment="1">
      <alignment wrapText="1"/>
    </xf>
    <xf numFmtId="165" fontId="0" fillId="0" borderId="10" xfId="1" applyNumberFormat="1" applyFont="1" applyBorder="1" applyAlignment="1">
      <alignment wrapText="1"/>
    </xf>
    <xf numFmtId="165" fontId="0" fillId="0" borderId="17" xfId="1" applyNumberFormat="1" applyFont="1" applyBorder="1" applyAlignment="1">
      <alignment wrapText="1"/>
    </xf>
    <xf numFmtId="165" fontId="0" fillId="0" borderId="6" xfId="1" applyNumberFormat="1" applyFont="1" applyFill="1" applyBorder="1" applyAlignment="1">
      <alignment wrapText="1"/>
    </xf>
    <xf numFmtId="164" fontId="0" fillId="0" borderId="0" xfId="0" applyNumberFormat="1"/>
    <xf numFmtId="10" fontId="0" fillId="0" borderId="0" xfId="2" applyNumberFormat="1" applyFont="1"/>
    <xf numFmtId="10" fontId="0" fillId="0" borderId="0" xfId="0" applyNumberFormat="1"/>
    <xf numFmtId="9" fontId="0" fillId="0" borderId="15" xfId="2" applyFont="1" applyFill="1" applyBorder="1" applyAlignment="1">
      <alignment wrapText="1"/>
    </xf>
    <xf numFmtId="9" fontId="0" fillId="0" borderId="17" xfId="2" applyFont="1" applyFill="1" applyBorder="1" applyAlignment="1">
      <alignment wrapText="1"/>
    </xf>
    <xf numFmtId="9" fontId="0" fillId="0" borderId="17" xfId="2" applyFont="1" applyFill="1" applyBorder="1"/>
    <xf numFmtId="9" fontId="0" fillId="0" borderId="20" xfId="2" applyFont="1" applyFill="1" applyBorder="1"/>
    <xf numFmtId="165" fontId="13" fillId="3" borderId="17" xfId="1" applyNumberFormat="1" applyFont="1" applyFill="1" applyBorder="1" applyAlignment="1">
      <alignment wrapText="1"/>
    </xf>
    <xf numFmtId="165" fontId="13" fillId="3" borderId="16" xfId="1" applyNumberFormat="1" applyFont="1" applyFill="1" applyBorder="1" applyAlignment="1">
      <alignment wrapText="1"/>
    </xf>
    <xf numFmtId="166" fontId="0" fillId="0" borderId="9" xfId="1" applyNumberFormat="1" applyFont="1" applyBorder="1"/>
    <xf numFmtId="165" fontId="9" fillId="5" borderId="17" xfId="0" applyNumberFormat="1" applyFont="1" applyFill="1" applyBorder="1"/>
    <xf numFmtId="165" fontId="45" fillId="7" borderId="10" xfId="1" applyNumberFormat="1" applyFont="1" applyFill="1" applyBorder="1"/>
    <xf numFmtId="164" fontId="20" fillId="0" borderId="15" xfId="1" applyFont="1" applyBorder="1"/>
    <xf numFmtId="165" fontId="45" fillId="7" borderId="12" xfId="1" applyNumberFormat="1" applyFont="1" applyFill="1" applyBorder="1"/>
    <xf numFmtId="0" fontId="20" fillId="0" borderId="34" xfId="4" applyBorder="1"/>
    <xf numFmtId="166" fontId="0" fillId="0" borderId="14" xfId="1" applyNumberFormat="1" applyFont="1" applyBorder="1"/>
    <xf numFmtId="166" fontId="0" fillId="0" borderId="21" xfId="1" applyNumberFormat="1" applyFont="1" applyBorder="1"/>
    <xf numFmtId="164" fontId="20" fillId="0" borderId="15" xfId="1" applyFont="1" applyFill="1" applyBorder="1"/>
    <xf numFmtId="0" fontId="20" fillId="0" borderId="22" xfId="4" applyFill="1" applyBorder="1"/>
    <xf numFmtId="164" fontId="20" fillId="0" borderId="14" xfId="1" applyFont="1" applyFill="1" applyBorder="1"/>
    <xf numFmtId="0" fontId="13" fillId="3" borderId="9" xfId="0" applyFont="1" applyFill="1" applyBorder="1" applyAlignment="1">
      <alignment horizontal="center" vertical="center" wrapText="1"/>
    </xf>
    <xf numFmtId="164" fontId="0" fillId="0" borderId="17" xfId="1" applyFont="1" applyFill="1" applyBorder="1" applyAlignment="1">
      <alignment wrapText="1"/>
    </xf>
    <xf numFmtId="165" fontId="0" fillId="0" borderId="22" xfId="1" applyNumberFormat="1" applyFont="1" applyFill="1" applyBorder="1" applyAlignment="1">
      <alignment wrapText="1"/>
    </xf>
    <xf numFmtId="164" fontId="9" fillId="5" borderId="20" xfId="1" applyFont="1" applyFill="1" applyBorder="1" applyAlignment="1">
      <alignment wrapText="1"/>
    </xf>
    <xf numFmtId="0" fontId="20" fillId="0" borderId="30" xfId="4" applyBorder="1"/>
    <xf numFmtId="0" fontId="14" fillId="4" borderId="16" xfId="0" applyFont="1" applyFill="1" applyBorder="1" applyAlignment="1">
      <alignment wrapText="1"/>
    </xf>
    <xf numFmtId="0" fontId="14" fillId="4" borderId="19" xfId="0" applyFont="1" applyFill="1" applyBorder="1" applyAlignment="1">
      <alignment wrapText="1"/>
    </xf>
    <xf numFmtId="166" fontId="0" fillId="0" borderId="15" xfId="1" applyNumberFormat="1" applyFont="1" applyFill="1" applyBorder="1"/>
    <xf numFmtId="173" fontId="9" fillId="0" borderId="15" xfId="1" applyNumberFormat="1" applyFont="1" applyFill="1" applyBorder="1"/>
    <xf numFmtId="165" fontId="9" fillId="0" borderId="15" xfId="1" applyNumberFormat="1" applyFont="1" applyFill="1" applyBorder="1"/>
    <xf numFmtId="165" fontId="9" fillId="0" borderId="22" xfId="1" applyNumberFormat="1" applyFont="1" applyFill="1" applyBorder="1"/>
    <xf numFmtId="165" fontId="45" fillId="7" borderId="15" xfId="1" applyNumberFormat="1" applyFont="1" applyFill="1" applyBorder="1" applyAlignment="1">
      <alignment wrapText="1"/>
    </xf>
    <xf numFmtId="176" fontId="0" fillId="0" borderId="17" xfId="1" applyNumberFormat="1" applyFont="1" applyBorder="1" applyAlignment="1">
      <alignment wrapText="1"/>
    </xf>
    <xf numFmtId="173" fontId="9" fillId="5" borderId="22" xfId="1" applyNumberFormat="1" applyFont="1" applyFill="1" applyBorder="1" applyAlignment="1">
      <alignment wrapText="1"/>
    </xf>
    <xf numFmtId="173" fontId="9" fillId="5" borderId="20" xfId="1" applyNumberFormat="1" applyFont="1" applyFill="1" applyBorder="1" applyAlignment="1">
      <alignment wrapText="1"/>
    </xf>
    <xf numFmtId="164" fontId="44" fillId="8" borderId="19" xfId="1" applyFont="1" applyFill="1" applyBorder="1" applyAlignment="1">
      <alignment wrapText="1"/>
    </xf>
    <xf numFmtId="181" fontId="0" fillId="0" borderId="17" xfId="0" applyNumberFormat="1" applyBorder="1"/>
    <xf numFmtId="181" fontId="0" fillId="0" borderId="20" xfId="0" applyNumberFormat="1" applyBorder="1"/>
    <xf numFmtId="181" fontId="0" fillId="0" borderId="6" xfId="0" applyNumberFormat="1" applyBorder="1"/>
    <xf numFmtId="176" fontId="9" fillId="5" borderId="15" xfId="1" applyNumberFormat="1" applyFont="1" applyFill="1" applyBorder="1"/>
    <xf numFmtId="176" fontId="9" fillId="5" borderId="22" xfId="1" applyNumberFormat="1" applyFont="1" applyFill="1" applyBorder="1"/>
    <xf numFmtId="176" fontId="9" fillId="5" borderId="17" xfId="1" applyNumberFormat="1" applyFont="1" applyFill="1" applyBorder="1"/>
    <xf numFmtId="176" fontId="9" fillId="5" borderId="20" xfId="1" applyNumberFormat="1" applyFont="1" applyFill="1" applyBorder="1"/>
    <xf numFmtId="183" fontId="9" fillId="5" borderId="17" xfId="0" applyNumberFormat="1" applyFont="1" applyFill="1" applyBorder="1"/>
    <xf numFmtId="183" fontId="9" fillId="5" borderId="20" xfId="0" applyNumberFormat="1" applyFont="1" applyFill="1" applyBorder="1"/>
    <xf numFmtId="180" fontId="0" fillId="0" borderId="15" xfId="0" applyNumberFormat="1" applyBorder="1"/>
    <xf numFmtId="165" fontId="45" fillId="7" borderId="17" xfId="1" applyNumberFormat="1" applyFont="1" applyFill="1" applyBorder="1" applyAlignment="1">
      <alignment wrapText="1"/>
    </xf>
    <xf numFmtId="165" fontId="45" fillId="7" borderId="16" xfId="1" applyNumberFormat="1" applyFont="1" applyFill="1" applyBorder="1" applyAlignment="1">
      <alignment wrapText="1"/>
    </xf>
    <xf numFmtId="165" fontId="0" fillId="0" borderId="28" xfId="2" applyNumberFormat="1" applyFont="1" applyFill="1" applyBorder="1" applyAlignment="1">
      <alignment wrapText="1"/>
    </xf>
    <xf numFmtId="165" fontId="0" fillId="0" borderId="59" xfId="2" applyNumberFormat="1" applyFont="1" applyFill="1" applyBorder="1" applyAlignment="1">
      <alignment wrapText="1"/>
    </xf>
    <xf numFmtId="166" fontId="0" fillId="0" borderId="42" xfId="1" applyNumberFormat="1" applyFont="1" applyBorder="1"/>
    <xf numFmtId="173" fontId="0" fillId="0" borderId="0" xfId="0" applyNumberFormat="1"/>
    <xf numFmtId="165" fontId="44" fillId="8" borderId="75" xfId="1" applyNumberFormat="1" applyFont="1" applyFill="1" applyBorder="1" applyAlignment="1">
      <alignment horizontal="right" vertical="center" wrapText="1" indent="1"/>
    </xf>
    <xf numFmtId="165" fontId="9" fillId="5" borderId="64" xfId="0" applyNumberFormat="1" applyFont="1" applyFill="1" applyBorder="1"/>
    <xf numFmtId="165" fontId="9" fillId="5" borderId="5" xfId="0" applyNumberFormat="1" applyFont="1" applyFill="1" applyBorder="1"/>
    <xf numFmtId="165" fontId="9" fillId="5" borderId="6" xfId="0" applyNumberFormat="1" applyFont="1" applyFill="1" applyBorder="1"/>
    <xf numFmtId="166" fontId="9" fillId="5" borderId="17" xfId="1" applyNumberFormat="1" applyFont="1" applyFill="1" applyBorder="1"/>
    <xf numFmtId="166" fontId="9" fillId="5" borderId="51" xfId="1" applyNumberFormat="1" applyFont="1" applyFill="1" applyBorder="1"/>
    <xf numFmtId="1" fontId="0" fillId="0" borderId="22" xfId="1" applyNumberFormat="1" applyFont="1" applyBorder="1"/>
    <xf numFmtId="10" fontId="20" fillId="0" borderId="0" xfId="4" applyNumberFormat="1"/>
    <xf numFmtId="9" fontId="0" fillId="0" borderId="17" xfId="0" applyNumberFormat="1" applyBorder="1" applyAlignment="1">
      <alignment vertical="center" wrapText="1"/>
    </xf>
    <xf numFmtId="9" fontId="9" fillId="0" borderId="17" xfId="0" applyNumberFormat="1" applyFont="1" applyBorder="1" applyAlignment="1">
      <alignment vertical="center" wrapText="1"/>
    </xf>
    <xf numFmtId="171" fontId="9" fillId="0" borderId="20" xfId="2" applyNumberFormat="1" applyFont="1" applyBorder="1"/>
    <xf numFmtId="165" fontId="9" fillId="0" borderId="15" xfId="1" applyNumberFormat="1" applyFont="1" applyBorder="1"/>
    <xf numFmtId="165" fontId="53" fillId="8" borderId="16" xfId="1" applyNumberFormat="1" applyFont="1" applyFill="1" applyBorder="1" applyAlignment="1">
      <alignment horizontal="left" wrapText="1" indent="2"/>
    </xf>
    <xf numFmtId="165" fontId="44" fillId="8" borderId="42" xfId="1" applyNumberFormat="1" applyFont="1" applyFill="1" applyBorder="1" applyAlignment="1">
      <alignment wrapText="1"/>
    </xf>
    <xf numFmtId="0" fontId="0" fillId="0" borderId="51" xfId="0" applyBorder="1"/>
    <xf numFmtId="185" fontId="0" fillId="0" borderId="15" xfId="0" applyNumberFormat="1" applyBorder="1"/>
    <xf numFmtId="165" fontId="53" fillId="8" borderId="19" xfId="1" applyNumberFormat="1" applyFont="1" applyFill="1" applyBorder="1" applyAlignment="1">
      <alignment horizontal="left" wrapText="1" indent="2"/>
    </xf>
    <xf numFmtId="185" fontId="0" fillId="0" borderId="22" xfId="0" applyNumberFormat="1" applyBorder="1"/>
    <xf numFmtId="0" fontId="9" fillId="0" borderId="0" xfId="0" applyFont="1" applyAlignment="1">
      <alignment horizontal="center" vertical="center" wrapText="1"/>
    </xf>
    <xf numFmtId="0" fontId="20" fillId="0" borderId="20" xfId="4" applyBorder="1" applyAlignment="1">
      <alignment horizontal="center" vertical="center" wrapText="1"/>
    </xf>
    <xf numFmtId="185" fontId="0" fillId="5" borderId="15" xfId="0" applyNumberFormat="1" applyFill="1" applyBorder="1"/>
    <xf numFmtId="0" fontId="0" fillId="0" borderId="15" xfId="0" applyBorder="1" applyAlignment="1">
      <alignment vertical="center" wrapText="1"/>
    </xf>
    <xf numFmtId="171" fontId="0" fillId="0" borderId="51" xfId="2" applyNumberFormat="1" applyFont="1" applyBorder="1"/>
    <xf numFmtId="185" fontId="0" fillId="0" borderId="6" xfId="0" applyNumberFormat="1" applyBorder="1"/>
    <xf numFmtId="165" fontId="20" fillId="0" borderId="17" xfId="4" applyNumberFormat="1" applyBorder="1"/>
    <xf numFmtId="165" fontId="44" fillId="8" borderId="19" xfId="1" applyNumberFormat="1" applyFont="1" applyFill="1" applyBorder="1" applyAlignment="1">
      <alignment horizontal="center" vertical="center" wrapText="1"/>
    </xf>
    <xf numFmtId="9" fontId="45" fillId="7" borderId="9" xfId="2" applyFont="1" applyFill="1" applyBorder="1" applyAlignment="1">
      <alignment wrapText="1"/>
    </xf>
    <xf numFmtId="9" fontId="45" fillId="7" borderId="12" xfId="2" applyFont="1" applyFill="1" applyBorder="1" applyAlignment="1">
      <alignment wrapText="1"/>
    </xf>
    <xf numFmtId="9" fontId="45" fillId="7" borderId="10" xfId="2" applyFont="1" applyFill="1" applyBorder="1" applyAlignment="1">
      <alignment wrapText="1"/>
    </xf>
    <xf numFmtId="9" fontId="44" fillId="8" borderId="16" xfId="2" applyFont="1" applyFill="1" applyBorder="1" applyAlignment="1">
      <alignment wrapText="1"/>
    </xf>
    <xf numFmtId="9" fontId="44" fillId="8" borderId="19" xfId="2" applyFont="1" applyFill="1" applyBorder="1" applyAlignment="1">
      <alignment wrapText="1"/>
    </xf>
    <xf numFmtId="9" fontId="0" fillId="0" borderId="22" xfId="2" applyFont="1" applyFill="1" applyBorder="1" applyAlignment="1">
      <alignment wrapText="1"/>
    </xf>
    <xf numFmtId="165" fontId="0" fillId="0" borderId="4" xfId="0" applyNumberFormat="1" applyBorder="1"/>
    <xf numFmtId="165" fontId="0" fillId="0" borderId="5" xfId="0" applyNumberFormat="1" applyBorder="1"/>
    <xf numFmtId="165" fontId="44" fillId="8" borderId="75" xfId="1" applyNumberFormat="1" applyFont="1" applyFill="1" applyBorder="1"/>
    <xf numFmtId="166" fontId="0" fillId="0" borderId="43" xfId="0" applyNumberFormat="1" applyBorder="1"/>
    <xf numFmtId="165" fontId="0" fillId="5" borderId="17" xfId="0" applyNumberFormat="1" applyFill="1" applyBorder="1"/>
    <xf numFmtId="0" fontId="55" fillId="10" borderId="0" xfId="0" applyFont="1" applyFill="1" applyAlignment="1">
      <alignment wrapText="1"/>
    </xf>
    <xf numFmtId="165" fontId="0" fillId="0" borderId="35" xfId="1" applyNumberFormat="1" applyFont="1" applyBorder="1"/>
    <xf numFmtId="164" fontId="45" fillId="7" borderId="9" xfId="1" applyFont="1" applyFill="1" applyBorder="1" applyAlignment="1">
      <alignment wrapText="1"/>
    </xf>
    <xf numFmtId="164" fontId="45" fillId="7" borderId="12" xfId="1" applyFont="1" applyFill="1" applyBorder="1" applyAlignment="1">
      <alignment wrapText="1"/>
    </xf>
    <xf numFmtId="164" fontId="45" fillId="7" borderId="10" xfId="1" applyFont="1" applyFill="1" applyBorder="1" applyAlignment="1">
      <alignment wrapText="1"/>
    </xf>
    <xf numFmtId="164" fontId="44" fillId="8" borderId="16" xfId="1" applyFont="1" applyFill="1" applyBorder="1" applyAlignment="1">
      <alignment wrapText="1"/>
    </xf>
    <xf numFmtId="164" fontId="0" fillId="0" borderId="15" xfId="1" applyFont="1" applyBorder="1" applyAlignment="1">
      <alignment wrapText="1"/>
    </xf>
    <xf numFmtId="164" fontId="0" fillId="0" borderId="17" xfId="1" applyFont="1" applyBorder="1" applyAlignment="1">
      <alignment wrapText="1"/>
    </xf>
    <xf numFmtId="164" fontId="0" fillId="0" borderId="22" xfId="1" applyFont="1" applyBorder="1" applyAlignment="1">
      <alignment wrapText="1"/>
    </xf>
    <xf numFmtId="164" fontId="0" fillId="0" borderId="20" xfId="1" applyFont="1" applyBorder="1" applyAlignment="1">
      <alignment wrapText="1"/>
    </xf>
    <xf numFmtId="164" fontId="9" fillId="5" borderId="22" xfId="1" applyFont="1" applyFill="1" applyBorder="1" applyAlignment="1">
      <alignment wrapText="1"/>
    </xf>
    <xf numFmtId="0" fontId="18" fillId="0" borderId="0" xfId="0" applyFont="1"/>
    <xf numFmtId="164" fontId="9" fillId="5" borderId="6" xfId="0" applyNumberFormat="1" applyFont="1" applyFill="1" applyBorder="1"/>
    <xf numFmtId="164" fontId="0" fillId="0" borderId="22" xfId="0" applyNumberFormat="1" applyBorder="1"/>
    <xf numFmtId="174" fontId="9" fillId="5" borderId="17" xfId="0" applyNumberFormat="1" applyFont="1" applyFill="1" applyBorder="1"/>
    <xf numFmtId="174" fontId="9" fillId="5" borderId="20" xfId="0" applyNumberFormat="1" applyFont="1" applyFill="1" applyBorder="1"/>
    <xf numFmtId="0" fontId="0" fillId="0" borderId="17" xfId="0" quotePrefix="1" applyBorder="1" applyAlignment="1">
      <alignment wrapText="1"/>
    </xf>
    <xf numFmtId="166" fontId="9" fillId="5" borderId="20" xfId="1" applyNumberFormat="1" applyFont="1" applyFill="1" applyBorder="1"/>
    <xf numFmtId="10" fontId="0" fillId="0" borderId="20" xfId="2" applyNumberFormat="1" applyFont="1" applyBorder="1"/>
    <xf numFmtId="171" fontId="13" fillId="3" borderId="42" xfId="1" applyNumberFormat="1" applyFont="1" applyFill="1" applyBorder="1" applyAlignment="1">
      <alignment wrapText="1"/>
    </xf>
    <xf numFmtId="171" fontId="13" fillId="3" borderId="43" xfId="1" applyNumberFormat="1" applyFont="1" applyFill="1" applyBorder="1" applyAlignment="1">
      <alignment wrapText="1"/>
    </xf>
    <xf numFmtId="171" fontId="13" fillId="3" borderId="51" xfId="1" applyNumberFormat="1" applyFont="1" applyFill="1" applyBorder="1" applyAlignment="1">
      <alignment wrapText="1"/>
    </xf>
    <xf numFmtId="164" fontId="0" fillId="0" borderId="9" xfId="1" applyFont="1" applyBorder="1"/>
    <xf numFmtId="164" fontId="0" fillId="0" borderId="16" xfId="1" applyFont="1" applyBorder="1"/>
    <xf numFmtId="164" fontId="0" fillId="0" borderId="19" xfId="1" applyFont="1" applyBorder="1"/>
    <xf numFmtId="164" fontId="9" fillId="5" borderId="10" xfId="0" applyNumberFormat="1" applyFont="1" applyFill="1" applyBorder="1"/>
    <xf numFmtId="164" fontId="9" fillId="5" borderId="17" xfId="0" applyNumberFormat="1" applyFont="1" applyFill="1" applyBorder="1"/>
    <xf numFmtId="165" fontId="45" fillId="7" borderId="12" xfId="1" applyNumberFormat="1" applyFont="1" applyFill="1" applyBorder="1" applyAlignment="1">
      <alignment horizontal="center" wrapText="1"/>
    </xf>
    <xf numFmtId="165" fontId="45" fillId="7" borderId="10" xfId="1" applyNumberFormat="1" applyFont="1" applyFill="1" applyBorder="1" applyAlignment="1">
      <alignment horizontal="center" wrapText="1"/>
    </xf>
    <xf numFmtId="165" fontId="9" fillId="0" borderId="17" xfId="1" applyNumberFormat="1" applyFont="1" applyFill="1" applyBorder="1" applyAlignment="1">
      <alignment wrapText="1"/>
    </xf>
    <xf numFmtId="165" fontId="9" fillId="0" borderId="20" xfId="1" applyNumberFormat="1" applyFont="1" applyFill="1" applyBorder="1" applyAlignment="1">
      <alignment wrapText="1"/>
    </xf>
    <xf numFmtId="165" fontId="45" fillId="7" borderId="12" xfId="1" applyNumberFormat="1" applyFont="1" applyFill="1" applyBorder="1" applyAlignment="1">
      <alignment horizontal="center" vertical="top" wrapText="1"/>
    </xf>
    <xf numFmtId="165" fontId="45" fillId="7" borderId="10" xfId="1" applyNumberFormat="1" applyFont="1" applyFill="1" applyBorder="1" applyAlignment="1">
      <alignment horizontal="center" vertical="top" wrapText="1"/>
    </xf>
    <xf numFmtId="9" fontId="0" fillId="0" borderId="21" xfId="2" applyFont="1" applyBorder="1"/>
    <xf numFmtId="168" fontId="0" fillId="0" borderId="16" xfId="0" applyNumberFormat="1" applyBorder="1"/>
    <xf numFmtId="168" fontId="0" fillId="0" borderId="17" xfId="0" applyNumberFormat="1" applyBorder="1"/>
    <xf numFmtId="168" fontId="0" fillId="0" borderId="19" xfId="0" applyNumberFormat="1" applyBorder="1"/>
    <xf numFmtId="168" fontId="0" fillId="0" borderId="20" xfId="0" applyNumberFormat="1" applyBorder="1"/>
    <xf numFmtId="168" fontId="0" fillId="0" borderId="0" xfId="0" applyNumberFormat="1"/>
    <xf numFmtId="171" fontId="9" fillId="5" borderId="22" xfId="2" applyNumberFormat="1" applyFont="1" applyFill="1" applyBorder="1"/>
    <xf numFmtId="171" fontId="0" fillId="0" borderId="30" xfId="0" applyNumberFormat="1" applyBorder="1"/>
    <xf numFmtId="164" fontId="0" fillId="0" borderId="20" xfId="1" applyFont="1" applyFill="1" applyBorder="1"/>
    <xf numFmtId="164" fontId="9" fillId="5" borderId="5" xfId="1" applyFont="1" applyFill="1" applyBorder="1" applyAlignment="1">
      <alignment wrapText="1"/>
    </xf>
    <xf numFmtId="164" fontId="9" fillId="5" borderId="35" xfId="0" applyNumberFormat="1" applyFont="1" applyFill="1" applyBorder="1"/>
    <xf numFmtId="165" fontId="0" fillId="0" borderId="22" xfId="2" applyNumberFormat="1" applyFont="1" applyBorder="1"/>
    <xf numFmtId="183" fontId="0" fillId="0" borderId="0" xfId="0" applyNumberFormat="1"/>
    <xf numFmtId="168" fontId="0" fillId="0" borderId="15" xfId="0" applyNumberFormat="1" applyBorder="1" applyAlignment="1">
      <alignment wrapText="1"/>
    </xf>
    <xf numFmtId="168" fontId="0" fillId="0" borderId="22" xfId="0" applyNumberFormat="1" applyBorder="1" applyAlignment="1">
      <alignment wrapText="1"/>
    </xf>
    <xf numFmtId="171" fontId="0" fillId="0" borderId="69" xfId="2" applyNumberFormat="1" applyFont="1" applyFill="1" applyBorder="1"/>
    <xf numFmtId="10" fontId="0" fillId="0" borderId="69" xfId="2" applyNumberFormat="1" applyFont="1" applyFill="1" applyBorder="1"/>
    <xf numFmtId="186" fontId="0" fillId="0" borderId="69" xfId="2" applyNumberFormat="1" applyFont="1" applyFill="1" applyBorder="1"/>
    <xf numFmtId="166" fontId="0" fillId="0" borderId="22" xfId="1" applyNumberFormat="1" applyFont="1" applyFill="1" applyBorder="1"/>
    <xf numFmtId="173" fontId="9" fillId="5" borderId="20" xfId="0" applyNumberFormat="1" applyFont="1" applyFill="1" applyBorder="1"/>
    <xf numFmtId="164" fontId="9" fillId="5" borderId="32" xfId="1" applyFont="1" applyFill="1" applyBorder="1"/>
    <xf numFmtId="165" fontId="0" fillId="0" borderId="22" xfId="1" applyNumberFormat="1" applyFont="1" applyFill="1" applyBorder="1"/>
    <xf numFmtId="174" fontId="0" fillId="0" borderId="15" xfId="0" applyNumberFormat="1" applyBorder="1" applyAlignment="1">
      <alignment vertical="center" wrapText="1"/>
    </xf>
    <xf numFmtId="174" fontId="0" fillId="0" borderId="22" xfId="0" applyNumberFormat="1" applyBorder="1" applyAlignment="1">
      <alignment vertical="center" wrapText="1"/>
    </xf>
    <xf numFmtId="0" fontId="44" fillId="8" borderId="4" xfId="0" applyFont="1" applyFill="1" applyBorder="1" applyAlignment="1">
      <alignment horizontal="left"/>
    </xf>
    <xf numFmtId="0" fontId="62" fillId="0" borderId="0" xfId="0" applyFont="1" applyAlignment="1">
      <alignment horizontal="left"/>
    </xf>
    <xf numFmtId="0" fontId="44" fillId="8" borderId="15" xfId="0" applyFont="1" applyFill="1" applyBorder="1" applyAlignment="1">
      <alignment horizontal="left" wrapText="1"/>
    </xf>
    <xf numFmtId="165" fontId="9" fillId="5" borderId="15" xfId="1" applyNumberFormat="1" applyFont="1" applyFill="1" applyBorder="1"/>
    <xf numFmtId="171" fontId="0" fillId="0" borderId="17" xfId="2" applyNumberFormat="1" applyFont="1" applyFill="1" applyBorder="1"/>
    <xf numFmtId="171" fontId="0" fillId="0" borderId="20" xfId="2" applyNumberFormat="1" applyFont="1" applyFill="1" applyBorder="1"/>
    <xf numFmtId="0" fontId="0" fillId="0" borderId="5" xfId="0" applyBorder="1"/>
    <xf numFmtId="0" fontId="20" fillId="0" borderId="34" xfId="4" applyFill="1" applyBorder="1"/>
    <xf numFmtId="165" fontId="0" fillId="0" borderId="51" xfId="1" applyNumberFormat="1" applyFont="1" applyBorder="1" applyAlignment="1">
      <alignment wrapText="1"/>
    </xf>
    <xf numFmtId="164" fontId="44" fillId="8" borderId="4" xfId="1" applyFont="1" applyFill="1" applyBorder="1"/>
    <xf numFmtId="165" fontId="0" fillId="0" borderId="6" xfId="1" applyNumberFormat="1" applyFont="1" applyBorder="1" applyAlignment="1">
      <alignment wrapText="1"/>
    </xf>
    <xf numFmtId="164" fontId="0" fillId="0" borderId="5" xfId="0" applyNumberFormat="1" applyBorder="1"/>
    <xf numFmtId="164" fontId="0" fillId="0" borderId="6" xfId="1" applyFont="1" applyBorder="1"/>
    <xf numFmtId="166" fontId="0" fillId="0" borderId="28" xfId="1" applyNumberFormat="1" applyFont="1" applyBorder="1"/>
    <xf numFmtId="166" fontId="0" fillId="0" borderId="59" xfId="1" applyNumberFormat="1" applyFont="1" applyBorder="1"/>
    <xf numFmtId="0" fontId="13" fillId="3" borderId="9" xfId="0" applyFont="1" applyFill="1" applyBorder="1" applyAlignment="1">
      <alignment vertical="center"/>
    </xf>
    <xf numFmtId="0" fontId="13" fillId="3" borderId="12" xfId="0" applyFont="1" applyFill="1" applyBorder="1" applyAlignment="1">
      <alignment vertical="center" wrapText="1"/>
    </xf>
    <xf numFmtId="0" fontId="13" fillId="3" borderId="10" xfId="0" applyFont="1" applyFill="1" applyBorder="1" applyAlignment="1">
      <alignment vertical="center" wrapText="1"/>
    </xf>
    <xf numFmtId="164" fontId="9" fillId="5" borderId="3" xfId="0" applyNumberFormat="1" applyFont="1" applyFill="1" applyBorder="1"/>
    <xf numFmtId="165" fontId="44" fillId="8" borderId="27" xfId="1" applyNumberFormat="1" applyFont="1" applyFill="1" applyBorder="1" applyAlignment="1">
      <alignment wrapText="1"/>
    </xf>
    <xf numFmtId="165" fontId="44" fillId="8" borderId="39" xfId="1" applyNumberFormat="1" applyFont="1" applyFill="1" applyBorder="1" applyAlignment="1">
      <alignment wrapText="1"/>
    </xf>
    <xf numFmtId="164" fontId="0" fillId="0" borderId="14" xfId="1" applyFont="1" applyBorder="1"/>
    <xf numFmtId="164" fontId="0" fillId="0" borderId="21" xfId="1" applyFont="1" applyBorder="1"/>
    <xf numFmtId="171" fontId="13" fillId="3" borderId="14" xfId="1" applyNumberFormat="1" applyFont="1" applyFill="1" applyBorder="1" applyAlignment="1">
      <alignment wrapText="1"/>
    </xf>
    <xf numFmtId="166" fontId="9" fillId="5" borderId="31" xfId="1" applyNumberFormat="1" applyFont="1" applyFill="1" applyBorder="1"/>
    <xf numFmtId="165" fontId="45" fillId="7" borderId="24" xfId="1" applyNumberFormat="1" applyFont="1" applyFill="1" applyBorder="1" applyAlignment="1">
      <alignment horizontal="center" vertical="top" wrapText="1"/>
    </xf>
    <xf numFmtId="166" fontId="0" fillId="0" borderId="12" xfId="0" applyNumberFormat="1" applyBorder="1"/>
    <xf numFmtId="164" fontId="0" fillId="0" borderId="12" xfId="0" applyNumberFormat="1" applyBorder="1"/>
    <xf numFmtId="164" fontId="0" fillId="0" borderId="43" xfId="0" applyNumberFormat="1" applyBorder="1"/>
    <xf numFmtId="166" fontId="9" fillId="0" borderId="4" xfId="0" applyNumberFormat="1" applyFont="1" applyBorder="1"/>
    <xf numFmtId="166" fontId="9" fillId="0" borderId="5" xfId="0" applyNumberFormat="1" applyFont="1" applyBorder="1"/>
    <xf numFmtId="165" fontId="44" fillId="8" borderId="75" xfId="1" applyNumberFormat="1" applyFont="1" applyFill="1" applyBorder="1" applyAlignment="1">
      <alignment wrapText="1"/>
    </xf>
    <xf numFmtId="166" fontId="0" fillId="0" borderId="58" xfId="0" applyNumberFormat="1" applyBorder="1"/>
    <xf numFmtId="166" fontId="0" fillId="0" borderId="28" xfId="0" applyNumberFormat="1" applyBorder="1"/>
    <xf numFmtId="166" fontId="0" fillId="0" borderId="50" xfId="0" applyNumberFormat="1" applyBorder="1"/>
    <xf numFmtId="166" fontId="9" fillId="0" borderId="54" xfId="0" applyNumberFormat="1" applyFont="1" applyBorder="1"/>
    <xf numFmtId="166" fontId="9" fillId="0" borderId="7" xfId="0" applyNumberFormat="1" applyFont="1" applyBorder="1"/>
    <xf numFmtId="166" fontId="9" fillId="0" borderId="13" xfId="0" applyNumberFormat="1" applyFont="1" applyBorder="1"/>
    <xf numFmtId="166" fontId="9" fillId="5" borderId="75" xfId="0" applyNumberFormat="1" applyFont="1" applyFill="1" applyBorder="1"/>
    <xf numFmtId="164" fontId="9" fillId="0" borderId="46" xfId="0" applyNumberFormat="1" applyFont="1" applyBorder="1"/>
    <xf numFmtId="164" fontId="45" fillId="7" borderId="24" xfId="1" applyFont="1" applyFill="1" applyBorder="1"/>
    <xf numFmtId="0" fontId="56" fillId="0" borderId="0" xfId="0" applyFont="1"/>
    <xf numFmtId="165" fontId="0" fillId="0" borderId="0" xfId="1" applyNumberFormat="1" applyFont="1" applyFill="1" applyBorder="1"/>
    <xf numFmtId="165" fontId="9" fillId="0" borderId="0" xfId="0" applyNumberFormat="1" applyFont="1"/>
    <xf numFmtId="173" fontId="0" fillId="0" borderId="43" xfId="1" applyNumberFormat="1" applyFont="1" applyBorder="1"/>
    <xf numFmtId="0" fontId="0" fillId="0" borderId="10" xfId="0" applyBorder="1"/>
    <xf numFmtId="0" fontId="65" fillId="0" borderId="0" xfId="0" applyFont="1" applyAlignment="1">
      <alignment horizontal="left" vertical="center" wrapText="1" indent="1"/>
    </xf>
    <xf numFmtId="9" fontId="65" fillId="0" borderId="0" xfId="2" applyFont="1" applyAlignment="1">
      <alignment horizontal="left" vertical="center" wrapText="1" indent="1"/>
    </xf>
    <xf numFmtId="9" fontId="45" fillId="7" borderId="9" xfId="2" applyFont="1" applyFill="1" applyBorder="1"/>
    <xf numFmtId="9" fontId="45" fillId="7" borderId="12" xfId="2" applyFont="1" applyFill="1" applyBorder="1"/>
    <xf numFmtId="9" fontId="45" fillId="7" borderId="10" xfId="2" applyFont="1" applyFill="1" applyBorder="1"/>
    <xf numFmtId="9" fontId="44" fillId="8" borderId="16" xfId="2" applyFont="1" applyFill="1" applyBorder="1" applyAlignment="1">
      <alignment horizontal="left" wrapText="1"/>
    </xf>
    <xf numFmtId="174" fontId="0" fillId="0" borderId="5" xfId="0" applyNumberFormat="1" applyBorder="1"/>
    <xf numFmtId="174" fontId="0" fillId="0" borderId="15" xfId="0" applyNumberFormat="1" applyBorder="1" applyAlignment="1">
      <alignment wrapText="1"/>
    </xf>
    <xf numFmtId="164" fontId="0" fillId="0" borderId="43" xfId="1" applyFont="1" applyBorder="1" applyAlignment="1">
      <alignment wrapText="1"/>
    </xf>
    <xf numFmtId="167" fontId="0" fillId="0" borderId="43" xfId="0" applyNumberFormat="1" applyBorder="1" applyAlignment="1">
      <alignment wrapText="1"/>
    </xf>
    <xf numFmtId="0" fontId="0" fillId="0" borderId="43" xfId="0" applyBorder="1" applyAlignment="1">
      <alignment wrapText="1"/>
    </xf>
    <xf numFmtId="165" fontId="44" fillId="8" borderId="9" xfId="1" applyNumberFormat="1" applyFont="1" applyFill="1" applyBorder="1"/>
    <xf numFmtId="165" fontId="0" fillId="0" borderId="12" xfId="1" applyNumberFormat="1" applyFont="1" applyBorder="1"/>
    <xf numFmtId="174" fontId="9" fillId="5" borderId="6" xfId="0" applyNumberFormat="1" applyFont="1" applyFill="1" applyBorder="1"/>
    <xf numFmtId="164" fontId="0" fillId="0" borderId="5" xfId="1" applyFont="1" applyBorder="1"/>
    <xf numFmtId="174" fontId="9" fillId="5" borderId="5" xfId="0" applyNumberFormat="1" applyFont="1" applyFill="1" applyBorder="1"/>
    <xf numFmtId="166" fontId="45" fillId="7" borderId="10" xfId="1" applyNumberFormat="1" applyFont="1" applyFill="1" applyBorder="1"/>
    <xf numFmtId="165" fontId="9" fillId="0" borderId="12" xfId="1" applyNumberFormat="1" applyFont="1" applyBorder="1"/>
    <xf numFmtId="165" fontId="9" fillId="0" borderId="10" xfId="1" applyNumberFormat="1" applyFont="1" applyBorder="1"/>
    <xf numFmtId="165" fontId="9" fillId="0" borderId="5" xfId="1" applyNumberFormat="1" applyFont="1" applyBorder="1"/>
    <xf numFmtId="165" fontId="9" fillId="0" borderId="6" xfId="1" applyNumberFormat="1" applyFont="1" applyBorder="1"/>
    <xf numFmtId="167" fontId="0" fillId="6" borderId="15" xfId="0" applyNumberFormat="1" applyFill="1" applyBorder="1"/>
    <xf numFmtId="167" fontId="0" fillId="0" borderId="43" xfId="0" applyNumberFormat="1" applyBorder="1"/>
    <xf numFmtId="0" fontId="44" fillId="8" borderId="55" xfId="0" applyFont="1" applyFill="1" applyBorder="1" applyAlignment="1">
      <alignment horizontal="left" wrapText="1"/>
    </xf>
    <xf numFmtId="167" fontId="0" fillId="0" borderId="47" xfId="0" applyNumberFormat="1" applyBorder="1"/>
    <xf numFmtId="0" fontId="0" fillId="0" borderId="47" xfId="0" applyBorder="1" applyAlignment="1">
      <alignment wrapText="1"/>
    </xf>
    <xf numFmtId="165" fontId="0" fillId="0" borderId="47" xfId="1" applyNumberFormat="1" applyFont="1" applyBorder="1" applyAlignment="1">
      <alignment wrapText="1"/>
    </xf>
    <xf numFmtId="165" fontId="0" fillId="0" borderId="48" xfId="1" applyNumberFormat="1" applyFont="1" applyBorder="1" applyAlignment="1">
      <alignment wrapText="1"/>
    </xf>
    <xf numFmtId="167" fontId="9" fillId="0" borderId="5" xfId="0" applyNumberFormat="1" applyFont="1" applyBorder="1"/>
    <xf numFmtId="167" fontId="9" fillId="5" borderId="5" xfId="0" applyNumberFormat="1" applyFont="1" applyFill="1" applyBorder="1"/>
    <xf numFmtId="167" fontId="9" fillId="5" borderId="6" xfId="0" applyNumberFormat="1" applyFont="1" applyFill="1" applyBorder="1"/>
    <xf numFmtId="0" fontId="0" fillId="6" borderId="15" xfId="0" applyFill="1" applyBorder="1"/>
    <xf numFmtId="0" fontId="59" fillId="0" borderId="43" xfId="0" applyFont="1" applyBorder="1" applyAlignment="1">
      <alignment vertical="center"/>
    </xf>
    <xf numFmtId="164" fontId="0" fillId="0" borderId="47" xfId="1" applyFont="1" applyBorder="1"/>
    <xf numFmtId="165" fontId="0" fillId="0" borderId="47" xfId="1" applyNumberFormat="1" applyFont="1" applyBorder="1"/>
    <xf numFmtId="167" fontId="9" fillId="5" borderId="15" xfId="0" applyNumberFormat="1" applyFont="1" applyFill="1" applyBorder="1"/>
    <xf numFmtId="167" fontId="9" fillId="5" borderId="17" xfId="0" applyNumberFormat="1" applyFont="1" applyFill="1" applyBorder="1"/>
    <xf numFmtId="167" fontId="9" fillId="5" borderId="22" xfId="0" applyNumberFormat="1" applyFont="1" applyFill="1" applyBorder="1"/>
    <xf numFmtId="167" fontId="9" fillId="5" borderId="20" xfId="0" applyNumberFormat="1" applyFont="1" applyFill="1" applyBorder="1"/>
    <xf numFmtId="165" fontId="0" fillId="0" borderId="17" xfId="1" applyNumberFormat="1" applyFont="1" applyFill="1" applyBorder="1"/>
    <xf numFmtId="165" fontId="0" fillId="0" borderId="43" xfId="1" applyNumberFormat="1" applyFont="1" applyFill="1" applyBorder="1"/>
    <xf numFmtId="165" fontId="0" fillId="0" borderId="51" xfId="1" applyNumberFormat="1" applyFont="1" applyFill="1" applyBorder="1"/>
    <xf numFmtId="165" fontId="0" fillId="0" borderId="47" xfId="1" applyNumberFormat="1" applyFont="1" applyFill="1" applyBorder="1"/>
    <xf numFmtId="165" fontId="0" fillId="0" borderId="48" xfId="1" applyNumberFormat="1" applyFont="1" applyFill="1" applyBorder="1"/>
    <xf numFmtId="166" fontId="0" fillId="0" borderId="0" xfId="1" applyNumberFormat="1" applyFont="1"/>
    <xf numFmtId="43" fontId="9" fillId="0" borderId="5" xfId="0" applyNumberFormat="1" applyFont="1" applyBorder="1"/>
    <xf numFmtId="165" fontId="0" fillId="6" borderId="15" xfId="1" applyNumberFormat="1" applyFont="1" applyFill="1" applyBorder="1" applyAlignment="1">
      <alignment wrapText="1"/>
    </xf>
    <xf numFmtId="0" fontId="44" fillId="6" borderId="16" xfId="0" applyFont="1" applyFill="1" applyBorder="1" applyAlignment="1">
      <alignment horizontal="left" wrapText="1"/>
    </xf>
    <xf numFmtId="165" fontId="20" fillId="0" borderId="0" xfId="4" applyNumberFormat="1"/>
    <xf numFmtId="165" fontId="9" fillId="0" borderId="22" xfId="1" applyNumberFormat="1" applyFont="1" applyFill="1" applyBorder="1" applyAlignment="1">
      <alignment wrapText="1"/>
    </xf>
    <xf numFmtId="165" fontId="20" fillId="0" borderId="20" xfId="4" applyNumberFormat="1" applyBorder="1"/>
    <xf numFmtId="165" fontId="44" fillId="8" borderId="15" xfId="1" applyNumberFormat="1" applyFont="1" applyFill="1" applyBorder="1"/>
    <xf numFmtId="165" fontId="44" fillId="8" borderId="22" xfId="1" applyNumberFormat="1" applyFont="1" applyFill="1" applyBorder="1"/>
    <xf numFmtId="165" fontId="45" fillId="7" borderId="53" xfId="1" applyNumberFormat="1" applyFont="1" applyFill="1" applyBorder="1" applyAlignment="1">
      <alignment wrapText="1"/>
    </xf>
    <xf numFmtId="165" fontId="45" fillId="7" borderId="23" xfId="1" applyNumberFormat="1" applyFont="1" applyFill="1" applyBorder="1" applyAlignment="1">
      <alignment wrapText="1"/>
    </xf>
    <xf numFmtId="165" fontId="45" fillId="7" borderId="24" xfId="1" applyNumberFormat="1" applyFont="1" applyFill="1" applyBorder="1" applyAlignment="1">
      <alignment wrapText="1"/>
    </xf>
    <xf numFmtId="165" fontId="44" fillId="8" borderId="47" xfId="1" applyNumberFormat="1" applyFont="1" applyFill="1" applyBorder="1"/>
    <xf numFmtId="0" fontId="0" fillId="0" borderId="48" xfId="0" applyBorder="1"/>
    <xf numFmtId="165" fontId="44" fillId="8" borderId="12" xfId="1" applyNumberFormat="1" applyFont="1" applyFill="1" applyBorder="1"/>
    <xf numFmtId="1" fontId="0" fillId="0" borderId="0" xfId="0" applyNumberFormat="1"/>
    <xf numFmtId="0" fontId="44" fillId="8" borderId="16" xfId="0" applyFont="1" applyFill="1" applyBorder="1" applyAlignment="1">
      <alignment horizontal="left" indent="1"/>
    </xf>
    <xf numFmtId="166" fontId="44" fillId="8" borderId="4" xfId="1" applyNumberFormat="1" applyFont="1" applyFill="1" applyBorder="1" applyAlignment="1">
      <alignment wrapText="1"/>
    </xf>
    <xf numFmtId="164" fontId="0" fillId="5" borderId="5" xfId="1" applyFont="1" applyFill="1" applyBorder="1"/>
    <xf numFmtId="0" fontId="44" fillId="8" borderId="19" xfId="0" applyFont="1" applyFill="1" applyBorder="1" applyAlignment="1">
      <alignment horizontal="left" indent="1"/>
    </xf>
    <xf numFmtId="166" fontId="45" fillId="7" borderId="7" xfId="1" applyNumberFormat="1" applyFont="1" applyFill="1" applyBorder="1" applyAlignment="1">
      <alignment wrapText="1"/>
    </xf>
    <xf numFmtId="164" fontId="0" fillId="0" borderId="17" xfId="0" applyNumberFormat="1" applyBorder="1"/>
    <xf numFmtId="164" fontId="9" fillId="0" borderId="0" xfId="1" applyFont="1"/>
    <xf numFmtId="0" fontId="66" fillId="0" borderId="0" xfId="0" applyFont="1" applyAlignment="1">
      <alignment horizontal="left" vertical="center" indent="1"/>
    </xf>
    <xf numFmtId="0" fontId="19" fillId="0" borderId="15" xfId="0" applyFont="1" applyBorder="1" applyAlignment="1">
      <alignment wrapText="1"/>
    </xf>
    <xf numFmtId="166" fontId="0" fillId="0" borderId="15" xfId="1" applyNumberFormat="1" applyFont="1" applyFill="1" applyBorder="1" applyAlignment="1">
      <alignment wrapText="1"/>
    </xf>
    <xf numFmtId="0" fontId="19" fillId="0" borderId="15" xfId="0" applyFont="1" applyBorder="1" applyAlignment="1">
      <alignment horizontal="left" vertical="center" wrapText="1"/>
    </xf>
    <xf numFmtId="0" fontId="66" fillId="0" borderId="15" xfId="0" applyFont="1" applyBorder="1" applyAlignment="1">
      <alignment horizontal="left" vertical="center" wrapText="1"/>
    </xf>
    <xf numFmtId="0" fontId="66" fillId="0" borderId="22" xfId="0" applyFont="1" applyBorder="1" applyAlignment="1">
      <alignment horizontal="left" vertical="center" wrapText="1"/>
    </xf>
    <xf numFmtId="166" fontId="0" fillId="0" borderId="22" xfId="1" applyNumberFormat="1" applyFont="1" applyFill="1" applyBorder="1" applyAlignment="1">
      <alignment wrapText="1"/>
    </xf>
    <xf numFmtId="165" fontId="0" fillId="0" borderId="20" xfId="1" applyNumberFormat="1" applyFont="1" applyFill="1" applyBorder="1"/>
    <xf numFmtId="165" fontId="9" fillId="0" borderId="20" xfId="1" applyNumberFormat="1" applyFont="1" applyFill="1" applyBorder="1"/>
    <xf numFmtId="166" fontId="9" fillId="0" borderId="17" xfId="1" applyNumberFormat="1" applyFont="1" applyFill="1" applyBorder="1"/>
    <xf numFmtId="9" fontId="0" fillId="0" borderId="15" xfId="2" applyFont="1" applyFill="1" applyBorder="1"/>
    <xf numFmtId="165" fontId="0" fillId="0" borderId="15" xfId="2" applyNumberFormat="1" applyFont="1" applyFill="1" applyBorder="1"/>
    <xf numFmtId="165" fontId="0" fillId="0" borderId="22" xfId="2" applyNumberFormat="1" applyFont="1" applyFill="1" applyBorder="1"/>
    <xf numFmtId="166" fontId="9" fillId="0" borderId="20" xfId="0" applyNumberFormat="1" applyFont="1" applyBorder="1"/>
    <xf numFmtId="164" fontId="14" fillId="4" borderId="4" xfId="1" applyFont="1" applyFill="1" applyBorder="1"/>
    <xf numFmtId="164" fontId="0" fillId="0" borderId="6" xfId="1" applyFont="1" applyFill="1" applyBorder="1"/>
    <xf numFmtId="166" fontId="9" fillId="0" borderId="20" xfId="1" applyNumberFormat="1" applyFont="1" applyFill="1" applyBorder="1"/>
    <xf numFmtId="0" fontId="20" fillId="0" borderId="49" xfId="4" applyBorder="1"/>
    <xf numFmtId="0" fontId="0" fillId="0" borderId="13" xfId="0" applyBorder="1"/>
    <xf numFmtId="165" fontId="0" fillId="0" borderId="13" xfId="1" applyNumberFormat="1" applyFont="1" applyBorder="1"/>
    <xf numFmtId="0" fontId="19" fillId="0" borderId="28" xfId="0" applyFont="1" applyBorder="1"/>
    <xf numFmtId="0" fontId="68" fillId="8" borderId="16" xfId="0" applyFont="1" applyFill="1" applyBorder="1"/>
    <xf numFmtId="0" fontId="68" fillId="8" borderId="19" xfId="0" applyFont="1" applyFill="1" applyBorder="1"/>
    <xf numFmtId="0" fontId="68" fillId="8" borderId="9" xfId="0" applyFont="1" applyFill="1" applyBorder="1"/>
    <xf numFmtId="164" fontId="62" fillId="0" borderId="58" xfId="1" applyFont="1" applyFill="1" applyBorder="1"/>
    <xf numFmtId="164" fontId="62" fillId="0" borderId="28" xfId="1" applyFont="1" applyFill="1" applyBorder="1"/>
    <xf numFmtId="164" fontId="62" fillId="0" borderId="59" xfId="1" applyFont="1" applyFill="1" applyBorder="1"/>
    <xf numFmtId="165" fontId="62" fillId="0" borderId="13" xfId="1" applyNumberFormat="1" applyFont="1" applyFill="1" applyBorder="1"/>
    <xf numFmtId="0" fontId="67" fillId="12" borderId="9" xfId="0" applyFont="1" applyFill="1" applyBorder="1" applyAlignment="1">
      <alignment wrapText="1"/>
    </xf>
    <xf numFmtId="0" fontId="67" fillId="12" borderId="12" xfId="0" applyFont="1" applyFill="1" applyBorder="1" applyAlignment="1">
      <alignment wrapText="1"/>
    </xf>
    <xf numFmtId="0" fontId="67" fillId="12" borderId="10" xfId="0" applyFont="1" applyFill="1" applyBorder="1" applyAlignment="1">
      <alignment wrapText="1"/>
    </xf>
    <xf numFmtId="0" fontId="67" fillId="12" borderId="58" xfId="0" applyFont="1" applyFill="1" applyBorder="1" applyAlignment="1">
      <alignment wrapText="1"/>
    </xf>
    <xf numFmtId="0" fontId="67" fillId="12" borderId="36" xfId="0" applyFont="1" applyFill="1" applyBorder="1" applyAlignment="1">
      <alignment wrapText="1"/>
    </xf>
    <xf numFmtId="0" fontId="67" fillId="12" borderId="7" xfId="0" applyFont="1" applyFill="1" applyBorder="1" applyAlignment="1">
      <alignment wrapText="1"/>
    </xf>
    <xf numFmtId="0" fontId="0" fillId="0" borderId="3" xfId="0" applyBorder="1"/>
    <xf numFmtId="165" fontId="9" fillId="5" borderId="2" xfId="0" applyNumberFormat="1" applyFont="1" applyFill="1" applyBorder="1"/>
    <xf numFmtId="0" fontId="9" fillId="5" borderId="3" xfId="0" applyFont="1" applyFill="1" applyBorder="1"/>
    <xf numFmtId="174" fontId="9" fillId="5" borderId="35" xfId="0" applyNumberFormat="1" applyFont="1" applyFill="1" applyBorder="1"/>
    <xf numFmtId="173" fontId="9" fillId="5" borderId="12" xfId="1" applyNumberFormat="1" applyFont="1" applyFill="1" applyBorder="1"/>
    <xf numFmtId="164" fontId="0" fillId="0" borderId="0" xfId="1" applyFont="1" applyBorder="1"/>
    <xf numFmtId="164" fontId="9" fillId="5" borderId="2" xfId="1" applyFont="1" applyFill="1" applyBorder="1"/>
    <xf numFmtId="172" fontId="0" fillId="0" borderId="22" xfId="0" applyNumberFormat="1" applyBorder="1"/>
    <xf numFmtId="166" fontId="9" fillId="5" borderId="32" xfId="0" applyNumberFormat="1" applyFont="1" applyFill="1" applyBorder="1"/>
    <xf numFmtId="164" fontId="9" fillId="5" borderId="75" xfId="1" applyFont="1" applyFill="1" applyBorder="1"/>
    <xf numFmtId="9" fontId="0" fillId="0" borderId="3" xfId="0" applyNumberFormat="1" applyBorder="1"/>
    <xf numFmtId="9" fontId="14" fillId="4" borderId="42" xfId="2" applyFont="1" applyFill="1" applyBorder="1" applyAlignment="1">
      <alignment horizontal="left" wrapText="1"/>
    </xf>
    <xf numFmtId="9" fontId="0" fillId="0" borderId="43" xfId="2" applyFont="1" applyBorder="1"/>
    <xf numFmtId="9" fontId="0" fillId="0" borderId="5" xfId="0" applyNumberFormat="1" applyBorder="1"/>
    <xf numFmtId="9" fontId="0" fillId="0" borderId="6" xfId="0" applyNumberFormat="1" applyBorder="1"/>
    <xf numFmtId="166" fontId="9" fillId="5" borderId="20" xfId="0" applyNumberFormat="1" applyFont="1" applyFill="1" applyBorder="1"/>
    <xf numFmtId="165" fontId="45" fillId="7" borderId="36" xfId="1" applyNumberFormat="1" applyFont="1" applyFill="1" applyBorder="1"/>
    <xf numFmtId="165" fontId="44" fillId="8" borderId="27" xfId="1" applyNumberFormat="1" applyFont="1" applyFill="1" applyBorder="1"/>
    <xf numFmtId="166" fontId="45" fillId="7" borderId="11" xfId="1" applyNumberFormat="1" applyFont="1" applyFill="1" applyBorder="1" applyAlignment="1">
      <alignment wrapText="1"/>
    </xf>
    <xf numFmtId="164" fontId="0" fillId="0" borderId="14" xfId="0" applyNumberFormat="1" applyBorder="1"/>
    <xf numFmtId="166" fontId="0" fillId="0" borderId="14" xfId="0" applyNumberFormat="1" applyBorder="1"/>
    <xf numFmtId="164" fontId="9" fillId="0" borderId="13" xfId="0" applyNumberFormat="1" applyFont="1" applyBorder="1"/>
    <xf numFmtId="165" fontId="44" fillId="8" borderId="78" xfId="1" applyNumberFormat="1" applyFont="1" applyFill="1" applyBorder="1"/>
    <xf numFmtId="166" fontId="0" fillId="0" borderId="74" xfId="0" applyNumberFormat="1" applyBorder="1"/>
    <xf numFmtId="165" fontId="44" fillId="8" borderId="1" xfId="1" applyNumberFormat="1" applyFont="1" applyFill="1" applyBorder="1"/>
    <xf numFmtId="164" fontId="9" fillId="0" borderId="64" xfId="0" applyNumberFormat="1" applyFont="1" applyBorder="1"/>
    <xf numFmtId="164" fontId="9" fillId="0" borderId="5" xfId="0" applyNumberFormat="1" applyFont="1" applyBorder="1"/>
    <xf numFmtId="164" fontId="9" fillId="0" borderId="6" xfId="0" applyNumberFormat="1" applyFont="1" applyBorder="1"/>
    <xf numFmtId="164" fontId="9" fillId="5" borderId="75" xfId="0" applyNumberFormat="1" applyFont="1" applyFill="1" applyBorder="1"/>
    <xf numFmtId="1" fontId="19" fillId="0" borderId="17" xfId="1" applyNumberFormat="1" applyFont="1" applyBorder="1"/>
    <xf numFmtId="1" fontId="19" fillId="0" borderId="20" xfId="1" applyNumberFormat="1" applyFont="1" applyBorder="1"/>
    <xf numFmtId="0" fontId="19" fillId="0" borderId="15" xfId="0" applyFont="1" applyBorder="1"/>
    <xf numFmtId="0" fontId="19" fillId="0" borderId="22" xfId="0" applyFont="1" applyBorder="1"/>
    <xf numFmtId="165" fontId="19" fillId="0" borderId="15" xfId="0" applyNumberFormat="1" applyFont="1" applyBorder="1"/>
    <xf numFmtId="165" fontId="19" fillId="0" borderId="15" xfId="1" applyNumberFormat="1" applyFont="1" applyFill="1" applyBorder="1"/>
    <xf numFmtId="165" fontId="19" fillId="0" borderId="22" xfId="1" applyNumberFormat="1" applyFont="1" applyFill="1" applyBorder="1"/>
    <xf numFmtId="1" fontId="19" fillId="0" borderId="15" xfId="0" applyNumberFormat="1" applyFont="1" applyBorder="1"/>
    <xf numFmtId="165" fontId="19" fillId="0" borderId="17" xfId="0" applyNumberFormat="1" applyFont="1" applyBorder="1"/>
    <xf numFmtId="0" fontId="68" fillId="8" borderId="4" xfId="0" applyFont="1" applyFill="1" applyBorder="1"/>
    <xf numFmtId="165" fontId="0" fillId="0" borderId="2" xfId="0" applyNumberFormat="1" applyBorder="1"/>
    <xf numFmtId="165" fontId="19" fillId="0" borderId="22" xfId="0" applyNumberFormat="1" applyFont="1" applyBorder="1"/>
    <xf numFmtId="165" fontId="19" fillId="0" borderId="20" xfId="0" applyNumberFormat="1" applyFont="1" applyBorder="1"/>
    <xf numFmtId="166" fontId="62" fillId="0" borderId="13" xfId="1" applyNumberFormat="1" applyFont="1" applyFill="1" applyBorder="1"/>
    <xf numFmtId="165" fontId="19" fillId="0" borderId="17" xfId="1" applyNumberFormat="1" applyFont="1" applyFill="1" applyBorder="1"/>
    <xf numFmtId="164" fontId="9" fillId="5" borderId="17" xfId="1" applyFont="1" applyFill="1" applyBorder="1"/>
    <xf numFmtId="166" fontId="19" fillId="0" borderId="15" xfId="0" applyNumberFormat="1" applyFont="1" applyBorder="1"/>
    <xf numFmtId="164" fontId="19" fillId="0" borderId="15" xfId="0" applyNumberFormat="1" applyFont="1" applyBorder="1"/>
    <xf numFmtId="164" fontId="19" fillId="0" borderId="15" xfId="1" applyFont="1" applyFill="1" applyBorder="1"/>
    <xf numFmtId="173" fontId="19" fillId="0" borderId="15" xfId="0" applyNumberFormat="1" applyFont="1" applyBorder="1"/>
    <xf numFmtId="10" fontId="0" fillId="0" borderId="17" xfId="0" applyNumberFormat="1" applyBorder="1"/>
    <xf numFmtId="164" fontId="67" fillId="12" borderId="12" xfId="1" applyFont="1" applyFill="1" applyBorder="1" applyAlignment="1">
      <alignment wrapText="1"/>
    </xf>
    <xf numFmtId="164" fontId="67" fillId="12" borderId="10" xfId="1" applyFont="1" applyFill="1" applyBorder="1" applyAlignment="1">
      <alignment wrapText="1"/>
    </xf>
    <xf numFmtId="164" fontId="67" fillId="12" borderId="9" xfId="1" applyFont="1" applyFill="1" applyBorder="1"/>
    <xf numFmtId="164" fontId="67" fillId="12" borderId="10" xfId="1" applyFont="1" applyFill="1" applyBorder="1"/>
    <xf numFmtId="164" fontId="68" fillId="8" borderId="16" xfId="1" applyFont="1" applyFill="1" applyBorder="1"/>
    <xf numFmtId="164" fontId="68" fillId="8" borderId="19" xfId="1" applyFont="1" applyFill="1" applyBorder="1"/>
    <xf numFmtId="164" fontId="68" fillId="8" borderId="57" xfId="1" applyFont="1" applyFill="1" applyBorder="1"/>
    <xf numFmtId="164" fontId="0" fillId="0" borderId="32" xfId="1" applyFont="1" applyFill="1" applyBorder="1"/>
    <xf numFmtId="164" fontId="9" fillId="5" borderId="34" xfId="1" applyFont="1" applyFill="1" applyBorder="1"/>
    <xf numFmtId="164" fontId="68" fillId="8" borderId="4" xfId="1" applyFont="1" applyFill="1" applyBorder="1"/>
    <xf numFmtId="165" fontId="0" fillId="5" borderId="22" xfId="1" applyNumberFormat="1" applyFont="1" applyFill="1" applyBorder="1"/>
    <xf numFmtId="9" fontId="13" fillId="3" borderId="15" xfId="2" applyFont="1" applyFill="1" applyBorder="1" applyAlignment="1">
      <alignment wrapText="1"/>
    </xf>
    <xf numFmtId="9" fontId="13" fillId="3" borderId="9" xfId="2" applyFont="1" applyFill="1" applyBorder="1" applyAlignment="1">
      <alignment wrapText="1"/>
    </xf>
    <xf numFmtId="0" fontId="69" fillId="0" borderId="0" xfId="0" applyFont="1" applyAlignment="1">
      <alignment vertical="center"/>
    </xf>
    <xf numFmtId="9" fontId="13" fillId="3" borderId="12" xfId="2" applyFont="1" applyFill="1" applyBorder="1" applyAlignment="1"/>
    <xf numFmtId="0" fontId="70" fillId="0" borderId="44" xfId="0" applyFont="1" applyBorder="1"/>
    <xf numFmtId="0" fontId="68" fillId="8" borderId="42" xfId="0" applyFont="1" applyFill="1" applyBorder="1"/>
    <xf numFmtId="166" fontId="19" fillId="0" borderId="43" xfId="0" applyNumberFormat="1" applyFont="1" applyBorder="1"/>
    <xf numFmtId="166" fontId="9" fillId="0" borderId="13" xfId="1" applyNumberFormat="1" applyFont="1" applyBorder="1"/>
    <xf numFmtId="166" fontId="9" fillId="0" borderId="46" xfId="1" applyNumberFormat="1" applyFont="1" applyBorder="1"/>
    <xf numFmtId="166" fontId="22" fillId="0" borderId="5" xfId="0" applyNumberFormat="1" applyFont="1" applyBorder="1"/>
    <xf numFmtId="166" fontId="22" fillId="0" borderId="6" xfId="0" applyNumberFormat="1" applyFont="1" applyBorder="1"/>
    <xf numFmtId="9" fontId="13" fillId="3" borderId="17" xfId="2" applyFont="1" applyFill="1" applyBorder="1" applyAlignment="1">
      <alignment wrapText="1"/>
    </xf>
    <xf numFmtId="9" fontId="0" fillId="0" borderId="0" xfId="2" applyFont="1" applyBorder="1"/>
    <xf numFmtId="9" fontId="15" fillId="0" borderId="0" xfId="2" applyFont="1" applyFill="1" applyBorder="1"/>
    <xf numFmtId="172" fontId="0" fillId="0" borderId="30" xfId="0" applyNumberFormat="1" applyBorder="1"/>
    <xf numFmtId="172" fontId="0" fillId="0" borderId="35" xfId="0" applyNumberFormat="1" applyBorder="1"/>
    <xf numFmtId="166" fontId="9" fillId="0" borderId="41" xfId="0" applyNumberFormat="1" applyFont="1" applyBorder="1"/>
    <xf numFmtId="165" fontId="14" fillId="4" borderId="27" xfId="1" applyNumberFormat="1" applyFont="1" applyFill="1" applyBorder="1" applyAlignment="1">
      <alignment wrapText="1"/>
    </xf>
    <xf numFmtId="165" fontId="14" fillId="4" borderId="39" xfId="1" applyNumberFormat="1" applyFont="1" applyFill="1" applyBorder="1" applyAlignment="1">
      <alignment wrapText="1"/>
    </xf>
    <xf numFmtId="164" fontId="9" fillId="0" borderId="5" xfId="1" applyFont="1" applyBorder="1"/>
    <xf numFmtId="165" fontId="14" fillId="4" borderId="1" xfId="1" applyNumberFormat="1" applyFont="1" applyFill="1" applyBorder="1" applyAlignment="1">
      <alignment wrapText="1"/>
    </xf>
    <xf numFmtId="165" fontId="14" fillId="4" borderId="78" xfId="1" applyNumberFormat="1" applyFont="1" applyFill="1" applyBorder="1" applyAlignment="1">
      <alignment wrapText="1"/>
    </xf>
    <xf numFmtId="166" fontId="9" fillId="0" borderId="15" xfId="1" applyNumberFormat="1" applyFont="1" applyFill="1" applyBorder="1"/>
    <xf numFmtId="166" fontId="9" fillId="0" borderId="22" xfId="1" applyNumberFormat="1" applyFont="1" applyFill="1" applyBorder="1"/>
    <xf numFmtId="0" fontId="14" fillId="4" borderId="33" xfId="0" applyFont="1" applyFill="1" applyBorder="1" applyAlignment="1">
      <alignment horizontal="left" wrapText="1"/>
    </xf>
    <xf numFmtId="0" fontId="9" fillId="0" borderId="3" xfId="0" applyFont="1" applyBorder="1"/>
    <xf numFmtId="0" fontId="9" fillId="5" borderId="2" xfId="0" applyFont="1" applyFill="1" applyBorder="1"/>
    <xf numFmtId="0" fontId="14" fillId="4" borderId="4" xfId="0" applyFont="1" applyFill="1" applyBorder="1" applyAlignment="1">
      <alignment horizontal="left"/>
    </xf>
    <xf numFmtId="0" fontId="14" fillId="4" borderId="16" xfId="0" applyFont="1" applyFill="1" applyBorder="1" applyAlignment="1">
      <alignment horizontal="center" vertical="center" wrapText="1"/>
    </xf>
    <xf numFmtId="165" fontId="0" fillId="0" borderId="10" xfId="1" applyNumberFormat="1" applyFont="1" applyFill="1" applyBorder="1"/>
    <xf numFmtId="9" fontId="0" fillId="0" borderId="22" xfId="2" applyFont="1" applyFill="1" applyBorder="1"/>
    <xf numFmtId="9" fontId="0" fillId="0" borderId="6" xfId="2" applyFont="1" applyBorder="1"/>
    <xf numFmtId="173" fontId="0" fillId="0" borderId="15" xfId="2" applyNumberFormat="1" applyFont="1" applyFill="1" applyBorder="1"/>
    <xf numFmtId="173" fontId="9" fillId="5" borderId="6" xfId="1" applyNumberFormat="1" applyFont="1" applyFill="1" applyBorder="1"/>
    <xf numFmtId="173" fontId="0" fillId="0" borderId="16" xfId="2" applyNumberFormat="1" applyFont="1" applyFill="1" applyBorder="1"/>
    <xf numFmtId="173" fontId="0" fillId="0" borderId="19" xfId="2" applyNumberFormat="1" applyFont="1" applyFill="1" applyBorder="1"/>
    <xf numFmtId="173" fontId="0" fillId="0" borderId="22" xfId="2" applyNumberFormat="1" applyFont="1" applyFill="1" applyBorder="1"/>
    <xf numFmtId="171" fontId="13" fillId="3" borderId="28" xfId="1" applyNumberFormat="1" applyFont="1" applyFill="1" applyBorder="1" applyAlignment="1">
      <alignment wrapText="1"/>
    </xf>
    <xf numFmtId="173" fontId="0" fillId="0" borderId="28" xfId="1" applyNumberFormat="1" applyFont="1" applyFill="1" applyBorder="1"/>
    <xf numFmtId="173" fontId="0" fillId="0" borderId="59" xfId="1" applyNumberFormat="1" applyFont="1" applyFill="1" applyBorder="1"/>
    <xf numFmtId="173" fontId="0" fillId="0" borderId="28" xfId="2" applyNumberFormat="1" applyFont="1" applyFill="1" applyBorder="1"/>
    <xf numFmtId="173" fontId="0" fillId="0" borderId="59" xfId="2" applyNumberFormat="1" applyFont="1" applyFill="1" applyBorder="1"/>
    <xf numFmtId="166" fontId="9" fillId="5" borderId="18" xfId="0" applyNumberFormat="1" applyFont="1" applyFill="1" applyBorder="1"/>
    <xf numFmtId="164" fontId="9" fillId="0" borderId="75" xfId="1" applyFont="1" applyFill="1" applyBorder="1"/>
    <xf numFmtId="164" fontId="9" fillId="0" borderId="1" xfId="1" applyFont="1" applyFill="1" applyBorder="1"/>
    <xf numFmtId="9" fontId="0" fillId="0" borderId="0" xfId="2" applyFont="1" applyFill="1" applyBorder="1"/>
    <xf numFmtId="0" fontId="13" fillId="3" borderId="58" xfId="0" applyFont="1" applyFill="1" applyBorder="1" applyAlignment="1">
      <alignment horizontal="left" wrapText="1"/>
    </xf>
    <xf numFmtId="165" fontId="9" fillId="0" borderId="28" xfId="1" applyNumberFormat="1" applyFont="1" applyBorder="1"/>
    <xf numFmtId="173" fontId="0" fillId="0" borderId="15" xfId="0" applyNumberFormat="1" applyBorder="1"/>
    <xf numFmtId="166" fontId="0" fillId="0" borderId="16" xfId="0" applyNumberFormat="1" applyBorder="1"/>
    <xf numFmtId="165" fontId="9" fillId="0" borderId="50" xfId="1" applyNumberFormat="1" applyFont="1" applyBorder="1"/>
    <xf numFmtId="166" fontId="0" fillId="0" borderId="42" xfId="0" applyNumberFormat="1" applyBorder="1"/>
    <xf numFmtId="173" fontId="0" fillId="0" borderId="43" xfId="0" applyNumberFormat="1" applyBorder="1"/>
    <xf numFmtId="166" fontId="0" fillId="0" borderId="51" xfId="0" applyNumberFormat="1" applyBorder="1"/>
    <xf numFmtId="166" fontId="9" fillId="0" borderId="6" xfId="0" applyNumberFormat="1" applyFont="1" applyBorder="1"/>
    <xf numFmtId="166" fontId="9" fillId="5" borderId="5" xfId="0" applyNumberFormat="1" applyFont="1" applyFill="1" applyBorder="1"/>
    <xf numFmtId="10" fontId="0" fillId="0" borderId="0" xfId="2" applyNumberFormat="1" applyFont="1" applyFill="1" applyBorder="1"/>
    <xf numFmtId="164" fontId="9" fillId="0" borderId="13" xfId="1" applyFont="1" applyFill="1" applyBorder="1"/>
    <xf numFmtId="165" fontId="0" fillId="0" borderId="34" xfId="0" applyNumberFormat="1" applyBorder="1"/>
    <xf numFmtId="168" fontId="0" fillId="0" borderId="22" xfId="1" applyNumberFormat="1" applyFont="1" applyBorder="1" applyAlignment="1">
      <alignment wrapText="1"/>
    </xf>
    <xf numFmtId="168" fontId="9" fillId="5" borderId="22" xfId="0" applyNumberFormat="1" applyFont="1" applyFill="1" applyBorder="1" applyAlignment="1">
      <alignment wrapText="1"/>
    </xf>
    <xf numFmtId="168" fontId="9" fillId="5" borderId="20" xfId="0" applyNumberFormat="1" applyFont="1" applyFill="1" applyBorder="1" applyAlignment="1">
      <alignment wrapText="1"/>
    </xf>
    <xf numFmtId="0" fontId="20" fillId="0" borderId="17" xfId="4" applyBorder="1" applyAlignment="1">
      <alignment vertical="center"/>
    </xf>
    <xf numFmtId="0" fontId="20" fillId="0" borderId="20" xfId="4" applyBorder="1" applyAlignment="1">
      <alignment vertical="center"/>
    </xf>
    <xf numFmtId="165" fontId="13" fillId="3" borderId="28" xfId="1" applyNumberFormat="1" applyFont="1" applyFill="1" applyBorder="1" applyAlignment="1">
      <alignment wrapText="1"/>
    </xf>
    <xf numFmtId="0" fontId="71" fillId="0" borderId="0" xfId="0" applyFont="1" applyAlignment="1">
      <alignment horizontal="left" wrapText="1"/>
    </xf>
    <xf numFmtId="164" fontId="0" fillId="0" borderId="0" xfId="1" applyFont="1" applyFill="1" applyBorder="1"/>
    <xf numFmtId="0" fontId="73" fillId="0" borderId="0" xfId="0" applyFont="1" applyAlignment="1">
      <alignment vertical="center" wrapText="1"/>
    </xf>
    <xf numFmtId="164" fontId="72" fillId="0" borderId="35" xfId="1" applyFont="1" applyBorder="1"/>
    <xf numFmtId="164" fontId="74" fillId="0" borderId="35" xfId="1" applyFont="1" applyBorder="1"/>
    <xf numFmtId="164" fontId="75" fillId="0" borderId="35" xfId="1" applyFont="1" applyBorder="1"/>
    <xf numFmtId="179" fontId="0" fillId="0" borderId="0" xfId="0" applyNumberFormat="1"/>
    <xf numFmtId="168" fontId="0" fillId="0" borderId="15" xfId="1" applyNumberFormat="1" applyFont="1" applyBorder="1"/>
    <xf numFmtId="0" fontId="14" fillId="4" borderId="0" xfId="0" applyFont="1" applyFill="1" applyAlignment="1">
      <alignment horizontal="left" wrapText="1"/>
    </xf>
    <xf numFmtId="172" fontId="9" fillId="5" borderId="22" xfId="1" applyNumberFormat="1" applyFont="1" applyFill="1" applyBorder="1"/>
    <xf numFmtId="173" fontId="14" fillId="4" borderId="1" xfId="1" applyNumberFormat="1" applyFont="1" applyFill="1" applyBorder="1" applyAlignment="1">
      <alignment wrapText="1"/>
    </xf>
    <xf numFmtId="9" fontId="9" fillId="0" borderId="6" xfId="2" applyFont="1" applyFill="1" applyBorder="1"/>
    <xf numFmtId="0" fontId="14" fillId="4" borderId="53" xfId="0" applyFont="1" applyFill="1" applyBorder="1" applyAlignment="1">
      <alignment horizontal="left" wrapText="1"/>
    </xf>
    <xf numFmtId="164" fontId="9" fillId="5" borderId="23" xfId="1" applyFont="1" applyFill="1" applyBorder="1" applyAlignment="1">
      <alignment wrapText="1"/>
    </xf>
    <xf numFmtId="9" fontId="9" fillId="0" borderId="10" xfId="2" applyFont="1" applyFill="1" applyBorder="1" applyAlignment="1">
      <alignment wrapText="1"/>
    </xf>
    <xf numFmtId="9" fontId="9" fillId="0" borderId="20" xfId="2" applyFont="1" applyFill="1" applyBorder="1" applyAlignment="1">
      <alignment wrapText="1"/>
    </xf>
    <xf numFmtId="9" fontId="13" fillId="3" borderId="16" xfId="2" applyFont="1" applyFill="1" applyBorder="1" applyAlignment="1">
      <alignment wrapText="1"/>
    </xf>
    <xf numFmtId="43" fontId="0" fillId="0" borderId="0" xfId="0" applyNumberFormat="1"/>
    <xf numFmtId="164" fontId="9" fillId="5" borderId="15" xfId="1" applyFont="1" applyFill="1" applyBorder="1" applyAlignment="1">
      <alignment wrapText="1"/>
    </xf>
    <xf numFmtId="164" fontId="9" fillId="5" borderId="17" xfId="1" applyFont="1" applyFill="1" applyBorder="1" applyAlignment="1">
      <alignment wrapText="1"/>
    </xf>
    <xf numFmtId="0" fontId="56" fillId="0" borderId="0" xfId="0" quotePrefix="1" applyFont="1"/>
    <xf numFmtId="165" fontId="44" fillId="8" borderId="1" xfId="1" applyNumberFormat="1" applyFont="1" applyFill="1" applyBorder="1" applyAlignment="1">
      <alignment wrapText="1"/>
    </xf>
    <xf numFmtId="0" fontId="13" fillId="3" borderId="7" xfId="0" applyFont="1" applyFill="1" applyBorder="1" applyAlignment="1">
      <alignment horizontal="left"/>
    </xf>
    <xf numFmtId="0" fontId="14" fillId="4" borderId="18" xfId="0" applyFont="1" applyFill="1" applyBorder="1" applyAlignment="1">
      <alignment horizontal="left" wrapText="1"/>
    </xf>
    <xf numFmtId="166" fontId="68" fillId="8" borderId="16" xfId="1" applyNumberFormat="1" applyFont="1" applyFill="1" applyBorder="1"/>
    <xf numFmtId="166" fontId="68" fillId="8" borderId="19" xfId="1" applyNumberFormat="1" applyFont="1" applyFill="1" applyBorder="1"/>
    <xf numFmtId="9" fontId="0" fillId="5" borderId="17" xfId="0" applyNumberFormat="1" applyFill="1" applyBorder="1"/>
    <xf numFmtId="174" fontId="0" fillId="0" borderId="15" xfId="1" applyNumberFormat="1" applyFont="1" applyBorder="1"/>
    <xf numFmtId="174" fontId="9" fillId="0" borderId="13" xfId="1" applyNumberFormat="1" applyFont="1" applyBorder="1"/>
    <xf numFmtId="174" fontId="9" fillId="0" borderId="18" xfId="1" applyNumberFormat="1" applyFont="1" applyBorder="1"/>
    <xf numFmtId="164" fontId="9" fillId="0" borderId="6" xfId="1" applyFont="1" applyFill="1" applyBorder="1"/>
    <xf numFmtId="166" fontId="9" fillId="5" borderId="3" xfId="1" applyNumberFormat="1" applyFont="1" applyFill="1" applyBorder="1"/>
    <xf numFmtId="0" fontId="44" fillId="8" borderId="27" xfId="0" applyFont="1" applyFill="1" applyBorder="1" applyAlignment="1">
      <alignment horizontal="left" wrapText="1"/>
    </xf>
    <xf numFmtId="0" fontId="44" fillId="8" borderId="39" xfId="0" applyFont="1" applyFill="1" applyBorder="1" applyAlignment="1">
      <alignment horizontal="left" wrapText="1"/>
    </xf>
    <xf numFmtId="164" fontId="9" fillId="5" borderId="35" xfId="1" applyFont="1" applyFill="1" applyBorder="1"/>
    <xf numFmtId="166" fontId="9" fillId="5" borderId="28" xfId="1" applyNumberFormat="1" applyFont="1" applyFill="1" applyBorder="1"/>
    <xf numFmtId="166" fontId="45" fillId="7" borderId="58" xfId="1" applyNumberFormat="1" applyFont="1" applyFill="1" applyBorder="1" applyAlignment="1">
      <alignment wrapText="1"/>
    </xf>
    <xf numFmtId="164" fontId="0" fillId="0" borderId="51" xfId="0" applyNumberFormat="1" applyBorder="1"/>
    <xf numFmtId="166" fontId="9" fillId="5" borderId="54" xfId="1" applyNumberFormat="1" applyFont="1" applyFill="1" applyBorder="1"/>
    <xf numFmtId="166" fontId="9" fillId="0" borderId="4" xfId="1" applyNumberFormat="1" applyFont="1" applyBorder="1"/>
    <xf numFmtId="0" fontId="20" fillId="0" borderId="0" xfId="4" applyFill="1" applyBorder="1"/>
    <xf numFmtId="166" fontId="0" fillId="0" borderId="6" xfId="1" applyNumberFormat="1" applyFont="1" applyBorder="1"/>
    <xf numFmtId="174" fontId="0" fillId="0" borderId="19" xfId="0" applyNumberFormat="1" applyBorder="1"/>
    <xf numFmtId="0" fontId="14" fillId="4" borderId="56" xfId="0" applyFont="1" applyFill="1" applyBorder="1" applyAlignment="1">
      <alignment horizontal="left" wrapText="1"/>
    </xf>
    <xf numFmtId="166" fontId="0" fillId="0" borderId="67" xfId="1" applyNumberFormat="1" applyFont="1" applyBorder="1"/>
    <xf numFmtId="0" fontId="68" fillId="8" borderId="56" xfId="0" applyFont="1" applyFill="1" applyBorder="1"/>
    <xf numFmtId="166" fontId="9" fillId="5" borderId="32" xfId="1" applyNumberFormat="1" applyFont="1" applyFill="1" applyBorder="1"/>
    <xf numFmtId="9" fontId="9" fillId="5" borderId="31" xfId="2" applyFont="1" applyFill="1" applyBorder="1" applyAlignment="1">
      <alignment wrapText="1"/>
    </xf>
    <xf numFmtId="165" fontId="9" fillId="5" borderId="3" xfId="1" applyNumberFormat="1" applyFont="1" applyFill="1" applyBorder="1"/>
    <xf numFmtId="165" fontId="45" fillId="7" borderId="58" xfId="1" applyNumberFormat="1" applyFont="1" applyFill="1" applyBorder="1" applyAlignment="1">
      <alignment horizontal="center" vertical="top" wrapText="1"/>
    </xf>
    <xf numFmtId="165" fontId="9" fillId="5" borderId="2" xfId="1" applyNumberFormat="1" applyFont="1" applyFill="1" applyBorder="1"/>
    <xf numFmtId="165" fontId="45" fillId="7" borderId="7" xfId="1" applyNumberFormat="1" applyFont="1" applyFill="1" applyBorder="1" applyAlignment="1">
      <alignment horizontal="center" vertical="top" wrapText="1"/>
    </xf>
    <xf numFmtId="165" fontId="0" fillId="0" borderId="18" xfId="1" applyNumberFormat="1" applyFont="1" applyBorder="1"/>
    <xf numFmtId="165" fontId="9" fillId="5" borderId="75" xfId="1" applyNumberFormat="1" applyFont="1" applyFill="1" applyBorder="1"/>
    <xf numFmtId="165" fontId="0" fillId="0" borderId="51" xfId="1" applyNumberFormat="1" applyFont="1" applyBorder="1"/>
    <xf numFmtId="165" fontId="14" fillId="4" borderId="9" xfId="1" applyNumberFormat="1" applyFont="1" applyFill="1" applyBorder="1" applyAlignment="1">
      <alignment wrapText="1"/>
    </xf>
    <xf numFmtId="9" fontId="0" fillId="0" borderId="10" xfId="2" applyFont="1" applyBorder="1" applyAlignment="1">
      <alignment wrapText="1"/>
    </xf>
    <xf numFmtId="9" fontId="0" fillId="0" borderId="20" xfId="2" applyFont="1" applyBorder="1" applyAlignment="1">
      <alignment wrapText="1"/>
    </xf>
    <xf numFmtId="9" fontId="9" fillId="5" borderId="20" xfId="2" applyFont="1" applyFill="1" applyBorder="1" applyAlignment="1">
      <alignment wrapText="1"/>
    </xf>
    <xf numFmtId="171" fontId="13" fillId="3" borderId="36" xfId="1" applyNumberFormat="1" applyFont="1" applyFill="1" applyBorder="1" applyAlignment="1">
      <alignment wrapText="1"/>
    </xf>
    <xf numFmtId="164" fontId="0" fillId="0" borderId="27" xfId="0" applyNumberFormat="1" applyBorder="1"/>
    <xf numFmtId="164" fontId="0" fillId="0" borderId="78" xfId="0" applyNumberFormat="1" applyBorder="1"/>
    <xf numFmtId="164" fontId="9" fillId="5" borderId="1" xfId="0" applyNumberFormat="1" applyFont="1" applyFill="1" applyBorder="1"/>
    <xf numFmtId="164" fontId="9" fillId="0" borderId="4" xfId="1" applyFont="1" applyBorder="1"/>
    <xf numFmtId="164" fontId="9" fillId="0" borderId="5" xfId="1" applyFont="1" applyFill="1" applyBorder="1"/>
    <xf numFmtId="168" fontId="0" fillId="0" borderId="17" xfId="1" applyNumberFormat="1" applyFont="1" applyBorder="1"/>
    <xf numFmtId="168" fontId="0" fillId="0" borderId="20" xfId="1" applyNumberFormat="1" applyFont="1" applyBorder="1"/>
    <xf numFmtId="0" fontId="26" fillId="0" borderId="0" xfId="0" applyFont="1" applyAlignment="1">
      <alignment wrapText="1"/>
    </xf>
    <xf numFmtId="0" fontId="76" fillId="3" borderId="53" xfId="0" applyFont="1" applyFill="1" applyBorder="1" applyAlignment="1">
      <alignment horizontal="left" wrapText="1"/>
    </xf>
    <xf numFmtId="0" fontId="76" fillId="3" borderId="24" xfId="0" applyFont="1" applyFill="1" applyBorder="1" applyAlignment="1">
      <alignment horizontal="left" wrapText="1"/>
    </xf>
    <xf numFmtId="9" fontId="76" fillId="3" borderId="63" xfId="2" applyFont="1" applyFill="1" applyBorder="1" applyAlignment="1">
      <alignment horizontal="left" wrapText="1"/>
    </xf>
    <xf numFmtId="9" fontId="76" fillId="3" borderId="23" xfId="2" applyFont="1" applyFill="1" applyBorder="1" applyAlignment="1">
      <alignment horizontal="left" wrapText="1"/>
    </xf>
    <xf numFmtId="9" fontId="76" fillId="3" borderId="24" xfId="2" applyFont="1" applyFill="1" applyBorder="1" applyAlignment="1">
      <alignment horizontal="left" wrapText="1"/>
    </xf>
    <xf numFmtId="0" fontId="76" fillId="3" borderId="26" xfId="0" applyFont="1" applyFill="1" applyBorder="1" applyAlignment="1">
      <alignment horizontal="left" wrapText="1"/>
    </xf>
    <xf numFmtId="0" fontId="76" fillId="3" borderId="45" xfId="0" applyFont="1" applyFill="1" applyBorder="1" applyAlignment="1">
      <alignment horizontal="left" wrapText="1"/>
    </xf>
    <xf numFmtId="0" fontId="77" fillId="0" borderId="10" xfId="0" applyFont="1" applyBorder="1" applyAlignment="1">
      <alignment horizontal="left" wrapText="1"/>
    </xf>
    <xf numFmtId="9" fontId="26" fillId="0" borderId="26" xfId="2" applyFont="1" applyBorder="1" applyAlignment="1">
      <alignment wrapText="1"/>
    </xf>
    <xf numFmtId="9" fontId="26" fillId="0" borderId="45" xfId="2" applyFont="1" applyBorder="1" applyAlignment="1">
      <alignment wrapText="1"/>
    </xf>
    <xf numFmtId="9" fontId="26" fillId="0" borderId="44" xfId="2" applyFont="1" applyBorder="1" applyAlignment="1">
      <alignment wrapText="1"/>
    </xf>
    <xf numFmtId="0" fontId="26" fillId="0" borderId="36" xfId="0" applyFont="1" applyBorder="1" applyAlignment="1">
      <alignment wrapText="1"/>
    </xf>
    <xf numFmtId="0" fontId="78" fillId="0" borderId="44" xfId="0" applyFont="1" applyBorder="1" applyAlignment="1">
      <alignment wrapText="1"/>
    </xf>
    <xf numFmtId="0" fontId="78" fillId="0" borderId="45" xfId="0" applyFont="1" applyBorder="1" applyAlignment="1">
      <alignment wrapText="1"/>
    </xf>
    <xf numFmtId="0" fontId="78" fillId="0" borderId="0" xfId="0" applyFont="1" applyAlignment="1">
      <alignment wrapText="1"/>
    </xf>
    <xf numFmtId="0" fontId="26" fillId="5" borderId="0" xfId="0" applyFont="1" applyFill="1" applyAlignment="1">
      <alignment wrapText="1"/>
    </xf>
    <xf numFmtId="0" fontId="79" fillId="0" borderId="0" xfId="0" applyFont="1" applyAlignment="1">
      <alignment wrapText="1"/>
    </xf>
    <xf numFmtId="0" fontId="77" fillId="0" borderId="17" xfId="0" applyFont="1" applyBorder="1" applyAlignment="1">
      <alignment horizontal="left" wrapText="1"/>
    </xf>
    <xf numFmtId="9" fontId="26" fillId="0" borderId="30" xfId="2" applyFont="1" applyBorder="1" applyAlignment="1">
      <alignment wrapText="1"/>
    </xf>
    <xf numFmtId="9" fontId="26" fillId="0" borderId="76" xfId="2" applyFont="1" applyBorder="1" applyAlignment="1">
      <alignment wrapText="1"/>
    </xf>
    <xf numFmtId="9" fontId="26" fillId="0" borderId="49" xfId="2" applyFont="1" applyBorder="1" applyAlignment="1">
      <alignment wrapText="1"/>
    </xf>
    <xf numFmtId="0" fontId="26" fillId="0" borderId="27" xfId="0" applyFont="1" applyBorder="1" applyAlignment="1">
      <alignment wrapText="1"/>
    </xf>
    <xf numFmtId="0" fontId="78" fillId="0" borderId="49" xfId="0" applyFont="1" applyBorder="1" applyAlignment="1">
      <alignment wrapText="1"/>
    </xf>
    <xf numFmtId="0" fontId="78" fillId="0" borderId="76" xfId="0" applyFont="1" applyBorder="1" applyAlignment="1">
      <alignment wrapText="1"/>
    </xf>
    <xf numFmtId="9" fontId="78" fillId="0" borderId="30" xfId="2" applyFont="1" applyBorder="1" applyAlignment="1">
      <alignment wrapText="1"/>
    </xf>
    <xf numFmtId="9" fontId="78" fillId="0" borderId="76" xfId="2" applyFont="1" applyBorder="1" applyAlignment="1">
      <alignment wrapText="1"/>
    </xf>
    <xf numFmtId="9" fontId="78" fillId="0" borderId="49" xfId="2" applyFont="1" applyBorder="1" applyAlignment="1">
      <alignment wrapText="1"/>
    </xf>
    <xf numFmtId="0" fontId="78" fillId="0" borderId="27" xfId="0" applyFont="1" applyBorder="1" applyAlignment="1">
      <alignment wrapText="1"/>
    </xf>
    <xf numFmtId="0" fontId="78" fillId="13" borderId="0" xfId="0" applyFont="1" applyFill="1" applyAlignment="1">
      <alignment wrapText="1"/>
    </xf>
    <xf numFmtId="0" fontId="78" fillId="13" borderId="76" xfId="0" applyFont="1" applyFill="1" applyBorder="1" applyAlignment="1">
      <alignment wrapText="1"/>
    </xf>
    <xf numFmtId="0" fontId="78" fillId="6" borderId="0" xfId="0" applyFont="1" applyFill="1" applyAlignment="1">
      <alignment wrapText="1"/>
    </xf>
    <xf numFmtId="0" fontId="56" fillId="6" borderId="78" xfId="0" applyFont="1" applyFill="1" applyBorder="1" applyAlignment="1">
      <alignment wrapText="1"/>
    </xf>
    <xf numFmtId="0" fontId="77" fillId="0" borderId="20" xfId="0" applyFont="1" applyBorder="1" applyAlignment="1">
      <alignment horizontal="left" wrapText="1"/>
    </xf>
    <xf numFmtId="9" fontId="78" fillId="0" borderId="35" xfId="2" applyFont="1" applyBorder="1" applyAlignment="1">
      <alignment wrapText="1"/>
    </xf>
    <xf numFmtId="9" fontId="78" fillId="0" borderId="71" xfId="2" applyFont="1" applyBorder="1" applyAlignment="1">
      <alignment wrapText="1"/>
    </xf>
    <xf numFmtId="9" fontId="78" fillId="0" borderId="33" xfId="2" applyFont="1" applyBorder="1" applyAlignment="1">
      <alignment wrapText="1"/>
    </xf>
    <xf numFmtId="0" fontId="78" fillId="0" borderId="39" xfId="0" applyFont="1" applyBorder="1" applyAlignment="1">
      <alignment wrapText="1"/>
    </xf>
    <xf numFmtId="0" fontId="78" fillId="0" borderId="33" xfId="0" applyFont="1" applyBorder="1" applyAlignment="1">
      <alignment wrapText="1"/>
    </xf>
    <xf numFmtId="0" fontId="78" fillId="11" borderId="71" xfId="0" applyFont="1" applyFill="1" applyBorder="1" applyAlignment="1">
      <alignment wrapText="1"/>
    </xf>
    <xf numFmtId="0" fontId="78" fillId="11" borderId="0" xfId="0" applyFont="1" applyFill="1" applyAlignment="1">
      <alignment wrapText="1"/>
    </xf>
    <xf numFmtId="9" fontId="78" fillId="0" borderId="26" xfId="2" applyFont="1" applyBorder="1" applyAlignment="1">
      <alignment wrapText="1"/>
    </xf>
    <xf numFmtId="9" fontId="78" fillId="0" borderId="45" xfId="2" applyFont="1" applyBorder="1" applyAlignment="1">
      <alignment wrapText="1"/>
    </xf>
    <xf numFmtId="9" fontId="78" fillId="0" borderId="44" xfId="2" applyFont="1" applyBorder="1" applyAlignment="1">
      <alignment wrapText="1"/>
    </xf>
    <xf numFmtId="0" fontId="78" fillId="6" borderId="7" xfId="0" applyFont="1" applyFill="1" applyBorder="1" applyAlignment="1">
      <alignment wrapText="1"/>
    </xf>
    <xf numFmtId="0" fontId="78" fillId="0" borderId="13" xfId="0" applyFont="1" applyBorder="1" applyAlignment="1">
      <alignment wrapText="1"/>
    </xf>
    <xf numFmtId="0" fontId="78" fillId="0" borderId="7" xfId="0" applyFont="1" applyBorder="1" applyAlignment="1">
      <alignment wrapText="1"/>
    </xf>
    <xf numFmtId="0" fontId="78" fillId="6" borderId="13" xfId="0" applyFont="1" applyFill="1" applyBorder="1" applyAlignment="1">
      <alignment wrapText="1"/>
    </xf>
    <xf numFmtId="0" fontId="78" fillId="0" borderId="18" xfId="0" applyFont="1" applyBorder="1" applyAlignment="1">
      <alignment wrapText="1"/>
    </xf>
    <xf numFmtId="0" fontId="78" fillId="0" borderId="71" xfId="0" applyFont="1" applyBorder="1" applyAlignment="1">
      <alignment wrapText="1"/>
    </xf>
    <xf numFmtId="0" fontId="78" fillId="9" borderId="45" xfId="0" applyFont="1" applyFill="1" applyBorder="1" applyAlignment="1">
      <alignment wrapText="1"/>
    </xf>
    <xf numFmtId="0" fontId="77" fillId="0" borderId="51" xfId="0" applyFont="1" applyBorder="1" applyAlignment="1">
      <alignment horizontal="left" wrapText="1"/>
    </xf>
    <xf numFmtId="0" fontId="78" fillId="0" borderId="46" xfId="0" applyFont="1" applyBorder="1" applyAlignment="1">
      <alignment wrapText="1"/>
    </xf>
    <xf numFmtId="0" fontId="24" fillId="4" borderId="57" xfId="0" applyFont="1" applyFill="1" applyBorder="1" applyAlignment="1">
      <alignment horizontal="center" vertical="center" wrapText="1"/>
    </xf>
    <xf numFmtId="0" fontId="77" fillId="0" borderId="32" xfId="0" applyFont="1" applyBorder="1" applyAlignment="1">
      <alignment horizontal="left" wrapText="1"/>
    </xf>
    <xf numFmtId="0" fontId="76" fillId="3" borderId="45" xfId="0" applyFont="1" applyFill="1" applyBorder="1" applyAlignment="1">
      <alignment horizontal="left" vertical="center" wrapText="1"/>
    </xf>
    <xf numFmtId="0" fontId="78" fillId="13" borderId="71" xfId="0" applyFont="1" applyFill="1" applyBorder="1" applyAlignment="1">
      <alignment wrapText="1"/>
    </xf>
    <xf numFmtId="2" fontId="0" fillId="0" borderId="15" xfId="1" applyNumberFormat="1" applyFont="1" applyBorder="1"/>
    <xf numFmtId="2" fontId="0" fillId="0" borderId="17" xfId="1" applyNumberFormat="1" applyFont="1" applyBorder="1"/>
    <xf numFmtId="168" fontId="0" fillId="0" borderId="43" xfId="1" applyNumberFormat="1" applyFont="1" applyBorder="1"/>
    <xf numFmtId="168" fontId="0" fillId="0" borderId="51" xfId="1" applyNumberFormat="1" applyFont="1" applyBorder="1"/>
    <xf numFmtId="2" fontId="0" fillId="0" borderId="22" xfId="1" applyNumberFormat="1" applyFont="1" applyBorder="1"/>
    <xf numFmtId="2" fontId="0" fillId="0" borderId="20" xfId="1" applyNumberFormat="1" applyFont="1" applyBorder="1"/>
    <xf numFmtId="168" fontId="0" fillId="0" borderId="28" xfId="1" applyNumberFormat="1" applyFont="1" applyBorder="1"/>
    <xf numFmtId="168" fontId="0" fillId="0" borderId="9" xfId="1" applyNumberFormat="1" applyFont="1" applyFill="1" applyBorder="1"/>
    <xf numFmtId="168" fontId="0" fillId="0" borderId="12" xfId="1" applyNumberFormat="1" applyFont="1" applyFill="1" applyBorder="1"/>
    <xf numFmtId="168" fontId="0" fillId="0" borderId="10" xfId="1" applyNumberFormat="1" applyFont="1" applyFill="1" applyBorder="1"/>
    <xf numFmtId="168" fontId="0" fillId="0" borderId="16" xfId="1" applyNumberFormat="1" applyFont="1" applyBorder="1"/>
    <xf numFmtId="168" fontId="0" fillId="0" borderId="22" xfId="1" applyNumberFormat="1" applyFont="1" applyBorder="1"/>
    <xf numFmtId="168" fontId="0" fillId="0" borderId="59" xfId="1" applyNumberFormat="1" applyFont="1" applyBorder="1"/>
    <xf numFmtId="168" fontId="0" fillId="0" borderId="19" xfId="1" applyNumberFormat="1" applyFont="1" applyBorder="1"/>
    <xf numFmtId="165" fontId="9" fillId="5" borderId="43" xfId="0" applyNumberFormat="1" applyFont="1" applyFill="1" applyBorder="1"/>
    <xf numFmtId="168" fontId="0" fillId="0" borderId="17" xfId="0" applyNumberFormat="1" applyBorder="1" applyAlignment="1">
      <alignment wrapText="1"/>
    </xf>
    <xf numFmtId="168" fontId="0" fillId="0" borderId="20" xfId="0" applyNumberFormat="1" applyBorder="1" applyAlignment="1">
      <alignment wrapText="1"/>
    </xf>
    <xf numFmtId="184" fontId="9" fillId="5" borderId="5" xfId="1" applyNumberFormat="1" applyFont="1" applyFill="1" applyBorder="1"/>
    <xf numFmtId="164" fontId="44" fillId="8" borderId="16" xfId="1" applyFont="1" applyFill="1" applyBorder="1" applyAlignment="1">
      <alignment horizontal="left" indent="2"/>
    </xf>
    <xf numFmtId="173" fontId="0" fillId="0" borderId="5" xfId="1" applyNumberFormat="1" applyFont="1" applyBorder="1"/>
    <xf numFmtId="0" fontId="14" fillId="4" borderId="16" xfId="0" applyFont="1" applyFill="1" applyBorder="1" applyAlignment="1">
      <alignment horizontal="left" wrapText="1" indent="1"/>
    </xf>
    <xf numFmtId="164" fontId="80" fillId="0" borderId="35" xfId="1" applyFont="1" applyBorder="1"/>
    <xf numFmtId="171" fontId="13" fillId="3" borderId="11" xfId="1" applyNumberFormat="1" applyFont="1" applyFill="1" applyBorder="1" applyAlignment="1">
      <alignment wrapText="1"/>
    </xf>
    <xf numFmtId="0" fontId="14" fillId="4" borderId="19" xfId="0" applyFont="1" applyFill="1" applyBorder="1" applyAlignment="1">
      <alignment horizontal="left" wrapText="1" indent="1"/>
    </xf>
    <xf numFmtId="168" fontId="0" fillId="0" borderId="15" xfId="1" applyNumberFormat="1" applyFont="1" applyFill="1" applyBorder="1"/>
    <xf numFmtId="172" fontId="0" fillId="0" borderId="17" xfId="0" applyNumberFormat="1" applyBorder="1"/>
    <xf numFmtId="166" fontId="0" fillId="0" borderId="17" xfId="1" applyNumberFormat="1" applyFont="1" applyFill="1" applyBorder="1"/>
    <xf numFmtId="0" fontId="23" fillId="0" borderId="0" xfId="0" applyFont="1"/>
    <xf numFmtId="171" fontId="13" fillId="3" borderId="53" xfId="1" applyNumberFormat="1" applyFont="1" applyFill="1" applyBorder="1" applyAlignment="1">
      <alignment wrapText="1"/>
    </xf>
    <xf numFmtId="1" fontId="0" fillId="0" borderId="15" xfId="1" applyNumberFormat="1" applyFont="1" applyFill="1" applyBorder="1"/>
    <xf numFmtId="168" fontId="0" fillId="0" borderId="17" xfId="1" applyNumberFormat="1" applyFont="1" applyFill="1" applyBorder="1"/>
    <xf numFmtId="1" fontId="0" fillId="0" borderId="22" xfId="1" applyNumberFormat="1" applyFont="1" applyFill="1" applyBorder="1"/>
    <xf numFmtId="168" fontId="0" fillId="0" borderId="22" xfId="1" applyNumberFormat="1" applyFont="1" applyFill="1" applyBorder="1"/>
    <xf numFmtId="168" fontId="0" fillId="0" borderId="20" xfId="1" applyNumberFormat="1" applyFont="1" applyFill="1" applyBorder="1"/>
    <xf numFmtId="9" fontId="13" fillId="3" borderId="14" xfId="2" applyFont="1" applyFill="1" applyBorder="1" applyAlignment="1">
      <alignment wrapText="1"/>
    </xf>
    <xf numFmtId="9" fontId="0" fillId="0" borderId="14" xfId="2" applyFont="1" applyBorder="1"/>
    <xf numFmtId="9" fontId="0" fillId="0" borderId="14" xfId="0" applyNumberFormat="1" applyBorder="1"/>
    <xf numFmtId="9" fontId="0" fillId="0" borderId="16" xfId="0" applyNumberFormat="1" applyBorder="1"/>
    <xf numFmtId="9" fontId="0" fillId="0" borderId="19" xfId="0" applyNumberFormat="1" applyBorder="1"/>
    <xf numFmtId="0" fontId="9" fillId="0" borderId="2" xfId="0" applyFont="1" applyBorder="1"/>
    <xf numFmtId="0" fontId="14" fillId="4" borderId="39" xfId="0" applyFont="1" applyFill="1" applyBorder="1" applyAlignment="1">
      <alignment horizontal="left"/>
    </xf>
    <xf numFmtId="165" fontId="0" fillId="0" borderId="4" xfId="1" applyNumberFormat="1" applyFont="1" applyBorder="1"/>
    <xf numFmtId="1" fontId="0" fillId="0" borderId="15" xfId="0" applyNumberFormat="1" applyBorder="1"/>
    <xf numFmtId="1" fontId="0" fillId="0" borderId="17" xfId="0" applyNumberFormat="1" applyBorder="1"/>
    <xf numFmtId="1" fontId="0" fillId="0" borderId="20" xfId="0" applyNumberFormat="1" applyBorder="1"/>
    <xf numFmtId="166" fontId="0" fillId="0" borderId="54" xfId="1" applyNumberFormat="1" applyFont="1" applyBorder="1"/>
    <xf numFmtId="165" fontId="9" fillId="5" borderId="17" xfId="1" applyNumberFormat="1" applyFont="1" applyFill="1" applyBorder="1" applyAlignment="1">
      <alignment wrapText="1"/>
    </xf>
    <xf numFmtId="165" fontId="9" fillId="5" borderId="20" xfId="1" applyNumberFormat="1" applyFont="1" applyFill="1" applyBorder="1" applyAlignment="1">
      <alignment wrapText="1"/>
    </xf>
    <xf numFmtId="164" fontId="20" fillId="0" borderId="17" xfId="1" applyFont="1" applyFill="1" applyBorder="1"/>
    <xf numFmtId="0" fontId="20" fillId="0" borderId="21" xfId="4" applyFill="1" applyBorder="1"/>
    <xf numFmtId="0" fontId="19" fillId="0" borderId="50" xfId="0" applyFont="1" applyBorder="1"/>
    <xf numFmtId="0" fontId="0" fillId="0" borderId="46" xfId="0" applyBorder="1"/>
    <xf numFmtId="0" fontId="68" fillId="8" borderId="57" xfId="0" applyFont="1" applyFill="1" applyBorder="1"/>
    <xf numFmtId="165" fontId="0" fillId="0" borderId="7" xfId="1" applyNumberFormat="1" applyFont="1" applyBorder="1"/>
    <xf numFmtId="165" fontId="62" fillId="0" borderId="18" xfId="1" applyNumberFormat="1" applyFont="1" applyFill="1" applyBorder="1"/>
    <xf numFmtId="165" fontId="9" fillId="0" borderId="35" xfId="0" applyNumberFormat="1" applyFont="1" applyBorder="1"/>
    <xf numFmtId="0" fontId="68" fillId="8" borderId="1" xfId="0" applyFont="1" applyFill="1" applyBorder="1"/>
    <xf numFmtId="165" fontId="19" fillId="0" borderId="2" xfId="1" applyNumberFormat="1" applyFont="1" applyFill="1" applyBorder="1"/>
    <xf numFmtId="0" fontId="19" fillId="0" borderId="64" xfId="0" applyFont="1" applyBorder="1"/>
    <xf numFmtId="165" fontId="19" fillId="0" borderId="2" xfId="0" applyNumberFormat="1" applyFont="1" applyBorder="1"/>
    <xf numFmtId="165" fontId="19" fillId="0" borderId="64" xfId="0" applyNumberFormat="1" applyFont="1" applyBorder="1"/>
    <xf numFmtId="165" fontId="19" fillId="0" borderId="3" xfId="0" applyNumberFormat="1" applyFont="1" applyBorder="1"/>
    <xf numFmtId="9" fontId="0" fillId="5" borderId="15" xfId="0" applyNumberFormat="1" applyFill="1" applyBorder="1"/>
    <xf numFmtId="9" fontId="19" fillId="5" borderId="15" xfId="2" applyFont="1" applyFill="1" applyBorder="1"/>
    <xf numFmtId="9" fontId="0" fillId="5" borderId="15" xfId="2" applyFont="1" applyFill="1" applyBorder="1"/>
    <xf numFmtId="171" fontId="0" fillId="0" borderId="15" xfId="2" applyNumberFormat="1" applyFont="1" applyFill="1" applyBorder="1" applyAlignment="1"/>
    <xf numFmtId="171" fontId="0" fillId="0" borderId="22" xfId="2" applyNumberFormat="1" applyFont="1" applyFill="1" applyBorder="1" applyAlignment="1"/>
    <xf numFmtId="166" fontId="0" fillId="0" borderId="19" xfId="0" applyNumberFormat="1" applyBorder="1"/>
    <xf numFmtId="167" fontId="0" fillId="0" borderId="30" xfId="1" applyNumberFormat="1" applyFont="1" applyBorder="1"/>
    <xf numFmtId="0" fontId="44" fillId="8" borderId="42" xfId="0" applyFont="1" applyFill="1" applyBorder="1" applyAlignment="1">
      <alignment horizontal="left" indent="2"/>
    </xf>
    <xf numFmtId="0" fontId="44" fillId="8" borderId="9" xfId="0" applyFont="1" applyFill="1" applyBorder="1" applyAlignment="1">
      <alignment horizontal="left"/>
    </xf>
    <xf numFmtId="0" fontId="44" fillId="8" borderId="15" xfId="0" applyFont="1" applyFill="1" applyBorder="1" applyAlignment="1">
      <alignment horizontal="left"/>
    </xf>
    <xf numFmtId="0" fontId="44" fillId="8" borderId="52" xfId="0" applyFont="1" applyFill="1" applyBorder="1" applyAlignment="1">
      <alignment horizontal="left" wrapText="1"/>
    </xf>
    <xf numFmtId="174" fontId="0" fillId="0" borderId="48" xfId="0" applyNumberFormat="1" applyBorder="1"/>
    <xf numFmtId="0" fontId="45" fillId="7" borderId="19" xfId="0" applyFont="1" applyFill="1" applyBorder="1" applyAlignment="1">
      <alignment wrapText="1"/>
    </xf>
    <xf numFmtId="165" fontId="45" fillId="7" borderId="22" xfId="1" applyNumberFormat="1" applyFont="1" applyFill="1" applyBorder="1" applyAlignment="1">
      <alignment wrapText="1"/>
    </xf>
    <xf numFmtId="165" fontId="45" fillId="7" borderId="20" xfId="1" applyNumberFormat="1" applyFont="1" applyFill="1" applyBorder="1" applyAlignment="1">
      <alignment wrapText="1"/>
    </xf>
    <xf numFmtId="0" fontId="44" fillId="8" borderId="1" xfId="0" applyFont="1" applyFill="1" applyBorder="1" applyAlignment="1">
      <alignment horizontal="left" wrapText="1"/>
    </xf>
    <xf numFmtId="0" fontId="44" fillId="8" borderId="71" xfId="0" applyFont="1" applyFill="1" applyBorder="1" applyAlignment="1">
      <alignment horizontal="left" wrapText="1"/>
    </xf>
    <xf numFmtId="167" fontId="0" fillId="0" borderId="3" xfId="0" applyNumberFormat="1" applyBorder="1"/>
    <xf numFmtId="167" fontId="9" fillId="5" borderId="3" xfId="0" applyNumberFormat="1" applyFont="1" applyFill="1" applyBorder="1"/>
    <xf numFmtId="164" fontId="9" fillId="0" borderId="0" xfId="1" applyFont="1" applyFill="1"/>
    <xf numFmtId="165" fontId="14" fillId="4" borderId="55" xfId="1" applyNumberFormat="1" applyFont="1" applyFill="1" applyBorder="1"/>
    <xf numFmtId="174" fontId="9" fillId="5" borderId="48" xfId="0" applyNumberFormat="1" applyFont="1" applyFill="1" applyBorder="1"/>
    <xf numFmtId="165" fontId="14" fillId="4" borderId="9" xfId="1" applyNumberFormat="1" applyFont="1" applyFill="1" applyBorder="1"/>
    <xf numFmtId="174" fontId="9" fillId="5" borderId="10" xfId="0" applyNumberFormat="1" applyFont="1" applyFill="1" applyBorder="1"/>
    <xf numFmtId="168" fontId="0" fillId="0" borderId="28" xfId="0" applyNumberFormat="1" applyBorder="1"/>
    <xf numFmtId="168" fontId="0" fillId="0" borderId="59" xfId="0" applyNumberFormat="1" applyBorder="1"/>
    <xf numFmtId="0" fontId="20" fillId="0" borderId="0" xfId="4" applyFill="1"/>
    <xf numFmtId="165" fontId="0" fillId="0" borderId="5" xfId="1" applyNumberFormat="1" applyFont="1" applyBorder="1"/>
    <xf numFmtId="173" fontId="13" fillId="3" borderId="12" xfId="1" applyNumberFormat="1" applyFont="1" applyFill="1" applyBorder="1"/>
    <xf numFmtId="9" fontId="14" fillId="4" borderId="16" xfId="2" applyFont="1" applyFill="1" applyBorder="1" applyAlignment="1">
      <alignment wrapText="1"/>
    </xf>
    <xf numFmtId="9" fontId="14" fillId="4" borderId="19" xfId="2" applyFont="1" applyFill="1" applyBorder="1" applyAlignment="1">
      <alignment wrapText="1"/>
    </xf>
    <xf numFmtId="165" fontId="9" fillId="5" borderId="19" xfId="0" applyNumberFormat="1" applyFont="1" applyFill="1" applyBorder="1"/>
    <xf numFmtId="0" fontId="81" fillId="0" borderId="0" xfId="0" applyFont="1" applyAlignment="1">
      <alignment horizontal="left" vertical="center" wrapText="1"/>
    </xf>
    <xf numFmtId="0" fontId="81" fillId="0" borderId="0" xfId="0" applyFont="1" applyAlignment="1">
      <alignment wrapText="1"/>
    </xf>
    <xf numFmtId="0" fontId="17" fillId="0" borderId="0" xfId="0" applyFont="1"/>
    <xf numFmtId="0" fontId="18" fillId="0" borderId="0" xfId="0" applyFont="1" applyAlignment="1">
      <alignment wrapText="1"/>
    </xf>
    <xf numFmtId="0" fontId="44" fillId="8" borderId="22" xfId="0" applyFont="1" applyFill="1" applyBorder="1" applyAlignment="1">
      <alignment horizontal="left"/>
    </xf>
    <xf numFmtId="165" fontId="44" fillId="8" borderId="57" xfId="1" applyNumberFormat="1" applyFont="1" applyFill="1" applyBorder="1"/>
    <xf numFmtId="165" fontId="0" fillId="14" borderId="15" xfId="1" applyNumberFormat="1" applyFont="1" applyFill="1" applyBorder="1"/>
    <xf numFmtId="165" fontId="0" fillId="14" borderId="17" xfId="1" applyNumberFormat="1" applyFont="1" applyFill="1" applyBorder="1"/>
    <xf numFmtId="0" fontId="63" fillId="0" borderId="0" xfId="0" applyFont="1" applyAlignment="1">
      <alignment vertical="center" wrapText="1"/>
    </xf>
    <xf numFmtId="165" fontId="62" fillId="0" borderId="15" xfId="1" applyNumberFormat="1" applyFont="1" applyFill="1" applyBorder="1"/>
    <xf numFmtId="166" fontId="62" fillId="0" borderId="22" xfId="1" applyNumberFormat="1" applyFont="1" applyFill="1" applyBorder="1"/>
    <xf numFmtId="166" fontId="9" fillId="5" borderId="50" xfId="1" applyNumberFormat="1" applyFont="1" applyFill="1" applyBorder="1"/>
    <xf numFmtId="164" fontId="0" fillId="0" borderId="38" xfId="1" applyFont="1" applyBorder="1"/>
    <xf numFmtId="164" fontId="0" fillId="0" borderId="29" xfId="1" applyFont="1" applyBorder="1"/>
    <xf numFmtId="164" fontId="0" fillId="0" borderId="29" xfId="1" applyFont="1" applyFill="1" applyBorder="1"/>
    <xf numFmtId="164" fontId="0" fillId="0" borderId="30" xfId="1" applyFont="1" applyBorder="1"/>
    <xf numFmtId="164" fontId="0" fillId="0" borderId="16" xfId="1" applyFont="1" applyFill="1" applyBorder="1"/>
    <xf numFmtId="0" fontId="84" fillId="15" borderId="75" xfId="0" applyFont="1" applyFill="1" applyBorder="1" applyAlignment="1">
      <alignment vertical="top" wrapText="1"/>
    </xf>
    <xf numFmtId="0" fontId="84" fillId="15" borderId="45" xfId="0" applyFont="1" applyFill="1" applyBorder="1" applyAlignment="1">
      <alignment vertical="top" wrapText="1"/>
    </xf>
    <xf numFmtId="0" fontId="84" fillId="15" borderId="71" xfId="0" applyFont="1" applyFill="1" applyBorder="1" applyAlignment="1">
      <alignment vertical="top" wrapText="1"/>
    </xf>
    <xf numFmtId="0" fontId="84" fillId="15" borderId="76" xfId="0" applyFont="1" applyFill="1" applyBorder="1" applyAlignment="1">
      <alignment vertical="top" wrapText="1"/>
    </xf>
    <xf numFmtId="0" fontId="85" fillId="15" borderId="0" xfId="0" applyFont="1" applyFill="1" applyAlignment="1">
      <alignment wrapText="1"/>
    </xf>
    <xf numFmtId="0" fontId="84" fillId="15" borderId="75" xfId="0" applyFont="1" applyFill="1" applyBorder="1" applyAlignment="1">
      <alignment vertical="center" wrapText="1"/>
    </xf>
    <xf numFmtId="0" fontId="84" fillId="15" borderId="0" xfId="0" applyFont="1" applyFill="1" applyAlignment="1">
      <alignment vertical="top" wrapText="1"/>
    </xf>
    <xf numFmtId="0" fontId="84" fillId="15" borderId="30" xfId="0" applyFont="1" applyFill="1" applyBorder="1" applyAlignment="1">
      <alignment wrapText="1"/>
    </xf>
    <xf numFmtId="0" fontId="36" fillId="0" borderId="0" xfId="0" applyFont="1" applyAlignment="1">
      <alignment wrapText="1"/>
    </xf>
    <xf numFmtId="0" fontId="36" fillId="0" borderId="30" xfId="0" applyFont="1" applyBorder="1" applyAlignment="1">
      <alignment wrapText="1"/>
    </xf>
    <xf numFmtId="0" fontId="85" fillId="0" borderId="0" xfId="0" applyFont="1" applyAlignment="1">
      <alignment wrapText="1"/>
    </xf>
    <xf numFmtId="0" fontId="84" fillId="0" borderId="0" xfId="0" applyFont="1" applyAlignment="1">
      <alignment wrapText="1"/>
    </xf>
    <xf numFmtId="0" fontId="82" fillId="0" borderId="0" xfId="0" applyFont="1" applyAlignment="1">
      <alignment vertical="center" wrapText="1"/>
    </xf>
    <xf numFmtId="0" fontId="84" fillId="0" borderId="0" xfId="0" applyFont="1" applyAlignment="1">
      <alignment vertical="top" wrapText="1"/>
    </xf>
    <xf numFmtId="0" fontId="91" fillId="0" borderId="0" xfId="0" applyFont="1"/>
    <xf numFmtId="0" fontId="92" fillId="0" borderId="0" xfId="0" applyFont="1"/>
    <xf numFmtId="0" fontId="93" fillId="19" borderId="3" xfId="0" applyFont="1" applyFill="1" applyBorder="1" applyAlignment="1">
      <alignment horizontal="center" vertical="center" wrapText="1"/>
    </xf>
    <xf numFmtId="0" fontId="93" fillId="20" borderId="3" xfId="0" applyFont="1" applyFill="1" applyBorder="1" applyAlignment="1">
      <alignment horizontal="center" vertical="center" wrapText="1"/>
    </xf>
    <xf numFmtId="0" fontId="3" fillId="0" borderId="0" xfId="0" applyFont="1"/>
    <xf numFmtId="0" fontId="93" fillId="21" borderId="3" xfId="0" applyFont="1" applyFill="1" applyBorder="1" applyAlignment="1">
      <alignment horizontal="center" vertical="center" wrapText="1"/>
    </xf>
    <xf numFmtId="0" fontId="93" fillId="22" borderId="3" xfId="0" applyFont="1" applyFill="1" applyBorder="1" applyAlignment="1">
      <alignment horizontal="center" vertical="center" wrapText="1"/>
    </xf>
    <xf numFmtId="0" fontId="93" fillId="24" borderId="3" xfId="0" applyFont="1" applyFill="1" applyBorder="1" applyAlignment="1">
      <alignment horizontal="center" vertical="center" wrapText="1"/>
    </xf>
    <xf numFmtId="0" fontId="93" fillId="25" borderId="3" xfId="0" applyFont="1" applyFill="1" applyBorder="1" applyAlignment="1">
      <alignment horizontal="center" vertical="center" wrapText="1"/>
    </xf>
    <xf numFmtId="0" fontId="0" fillId="0" borderId="30" xfId="0" applyBorder="1" applyAlignment="1">
      <alignment wrapText="1"/>
    </xf>
    <xf numFmtId="0" fontId="93" fillId="23" borderId="75" xfId="0" applyFont="1" applyFill="1" applyBorder="1" applyAlignment="1">
      <alignment horizontal="center" vertical="center" wrapText="1"/>
    </xf>
    <xf numFmtId="0" fontId="84" fillId="15" borderId="75" xfId="0" applyFont="1" applyFill="1" applyBorder="1" applyAlignment="1">
      <alignment horizontal="left" vertical="top" wrapText="1"/>
    </xf>
    <xf numFmtId="0" fontId="83" fillId="9" borderId="3" xfId="0" applyFont="1" applyFill="1" applyBorder="1" applyAlignment="1">
      <alignment horizontal="center" vertical="center" wrapText="1"/>
    </xf>
    <xf numFmtId="0" fontId="83" fillId="16" borderId="3" xfId="0" applyFont="1" applyFill="1" applyBorder="1" applyAlignment="1">
      <alignment horizontal="center" vertical="center" wrapText="1"/>
    </xf>
    <xf numFmtId="0" fontId="83" fillId="8" borderId="3" xfId="0" applyFont="1" applyFill="1" applyBorder="1" applyAlignment="1">
      <alignment horizontal="center" vertical="center" wrapText="1"/>
    </xf>
    <xf numFmtId="0" fontId="3" fillId="0" borderId="6" xfId="0" applyFont="1" applyBorder="1" applyAlignment="1">
      <alignment wrapText="1"/>
    </xf>
    <xf numFmtId="0" fontId="9" fillId="5" borderId="5" xfId="0" applyFont="1" applyFill="1" applyBorder="1" applyAlignment="1">
      <alignment wrapText="1"/>
    </xf>
    <xf numFmtId="0" fontId="93" fillId="7" borderId="3" xfId="0" applyFont="1" applyFill="1" applyBorder="1" applyAlignment="1">
      <alignment horizontal="center" vertical="center" wrapText="1"/>
    </xf>
    <xf numFmtId="164" fontId="3" fillId="0" borderId="20" xfId="1" applyFont="1" applyBorder="1"/>
    <xf numFmtId="0" fontId="3" fillId="0" borderId="15" xfId="0" applyFont="1" applyBorder="1"/>
    <xf numFmtId="0" fontId="3" fillId="0" borderId="22" xfId="0" applyFont="1" applyBorder="1"/>
    <xf numFmtId="166" fontId="3" fillId="0" borderId="17" xfId="1" applyNumberFormat="1" applyFont="1" applyFill="1" applyBorder="1"/>
    <xf numFmtId="166" fontId="3" fillId="0" borderId="20" xfId="1" applyNumberFormat="1" applyFont="1" applyFill="1" applyBorder="1"/>
    <xf numFmtId="164" fontId="3" fillId="0" borderId="30" xfId="1" applyFont="1" applyBorder="1"/>
    <xf numFmtId="164" fontId="3" fillId="0" borderId="35" xfId="1" applyFont="1" applyBorder="1"/>
    <xf numFmtId="168" fontId="3" fillId="0" borderId="17" xfId="1" applyNumberFormat="1" applyFont="1" applyFill="1" applyBorder="1"/>
    <xf numFmtId="168" fontId="3" fillId="0" borderId="20" xfId="1" applyNumberFormat="1" applyFont="1" applyFill="1" applyBorder="1"/>
    <xf numFmtId="0" fontId="3" fillId="0" borderId="0" xfId="0" quotePrefix="1" applyFont="1"/>
    <xf numFmtId="165" fontId="3" fillId="0" borderId="17" xfId="1" applyNumberFormat="1" applyFont="1" applyFill="1" applyBorder="1"/>
    <xf numFmtId="165" fontId="3" fillId="0" borderId="20" xfId="1" applyNumberFormat="1" applyFont="1" applyFill="1" applyBorder="1"/>
    <xf numFmtId="165" fontId="3" fillId="0" borderId="17" xfId="1" applyNumberFormat="1" applyFont="1" applyBorder="1"/>
    <xf numFmtId="9" fontId="9" fillId="0" borderId="20" xfId="0" applyNumberFormat="1" applyFont="1" applyBorder="1" applyAlignment="1">
      <alignment vertical="center" wrapText="1"/>
    </xf>
    <xf numFmtId="0" fontId="3" fillId="0" borderId="15" xfId="0" applyFont="1" applyBorder="1" applyAlignment="1">
      <alignment vertical="center" wrapText="1"/>
    </xf>
    <xf numFmtId="3" fontId="3" fillId="0" borderId="0" xfId="0" applyNumberFormat="1" applyFont="1" applyAlignment="1">
      <alignment vertical="center" wrapText="1"/>
    </xf>
    <xf numFmtId="0" fontId="3" fillId="0" borderId="0" xfId="0" applyFont="1" applyAlignment="1">
      <alignment vertical="center" wrapText="1"/>
    </xf>
    <xf numFmtId="0" fontId="3" fillId="0" borderId="22" xfId="0" applyFont="1" applyBorder="1" applyAlignment="1">
      <alignment vertical="center" wrapText="1"/>
    </xf>
    <xf numFmtId="0" fontId="3" fillId="0" borderId="17" xfId="0" applyFont="1" applyBorder="1"/>
    <xf numFmtId="0" fontId="3" fillId="0" borderId="43" xfId="0" applyFont="1" applyBorder="1"/>
    <xf numFmtId="0" fontId="3" fillId="0" borderId="20" xfId="0" applyFont="1" applyBorder="1"/>
    <xf numFmtId="164" fontId="3" fillId="0" borderId="17" xfId="1" applyFont="1" applyBorder="1" applyAlignment="1">
      <alignment wrapText="1"/>
    </xf>
    <xf numFmtId="164" fontId="3" fillId="0" borderId="20" xfId="1" applyFont="1" applyBorder="1" applyAlignment="1">
      <alignment wrapText="1"/>
    </xf>
    <xf numFmtId="164" fontId="3" fillId="0" borderId="15" xfId="1" applyFont="1" applyFill="1" applyBorder="1" applyAlignment="1">
      <alignment wrapText="1"/>
    </xf>
    <xf numFmtId="164" fontId="3" fillId="0" borderId="0" xfId="1" applyFont="1"/>
    <xf numFmtId="164" fontId="3" fillId="0" borderId="17" xfId="1" applyFont="1" applyFill="1" applyBorder="1" applyAlignment="1">
      <alignment wrapText="1"/>
    </xf>
    <xf numFmtId="166" fontId="3" fillId="0" borderId="6" xfId="1" applyNumberFormat="1" applyFont="1" applyBorder="1"/>
    <xf numFmtId="164" fontId="3" fillId="0" borderId="22" xfId="1" applyFont="1" applyFill="1" applyBorder="1" applyAlignment="1">
      <alignment wrapText="1"/>
    </xf>
    <xf numFmtId="164" fontId="3" fillId="0" borderId="20" xfId="1" applyFont="1" applyFill="1" applyBorder="1" applyAlignment="1">
      <alignment wrapText="1"/>
    </xf>
    <xf numFmtId="173" fontId="3" fillId="0" borderId="15" xfId="1" applyNumberFormat="1" applyFont="1" applyBorder="1"/>
    <xf numFmtId="173" fontId="3" fillId="0" borderId="17" xfId="1" applyNumberFormat="1" applyFont="1" applyBorder="1"/>
    <xf numFmtId="173" fontId="3" fillId="0" borderId="22" xfId="1" applyNumberFormat="1" applyFont="1" applyBorder="1"/>
    <xf numFmtId="173" fontId="3" fillId="0" borderId="20" xfId="1" applyNumberFormat="1" applyFont="1" applyBorder="1"/>
    <xf numFmtId="164" fontId="3" fillId="0" borderId="15" xfId="1" applyFont="1" applyBorder="1"/>
    <xf numFmtId="164" fontId="3" fillId="0" borderId="22" xfId="1" applyFont="1" applyFill="1" applyBorder="1"/>
    <xf numFmtId="164" fontId="3" fillId="0" borderId="20" xfId="1" applyFont="1" applyFill="1" applyBorder="1"/>
    <xf numFmtId="164" fontId="3" fillId="0" borderId="17" xfId="1" applyFont="1" applyBorder="1"/>
    <xf numFmtId="164" fontId="3" fillId="0" borderId="15" xfId="1" applyFont="1" applyFill="1" applyBorder="1"/>
    <xf numFmtId="164" fontId="3" fillId="0" borderId="17" xfId="1" applyFont="1" applyFill="1" applyBorder="1"/>
    <xf numFmtId="0" fontId="3" fillId="0" borderId="44" xfId="0" applyFont="1" applyBorder="1"/>
    <xf numFmtId="0" fontId="3" fillId="0" borderId="6" xfId="0" applyFont="1" applyBorder="1"/>
    <xf numFmtId="0" fontId="3" fillId="0" borderId="33" xfId="0" applyFont="1" applyBorder="1"/>
    <xf numFmtId="165" fontId="3" fillId="0" borderId="15" xfId="1" applyNumberFormat="1" applyFont="1" applyBorder="1"/>
    <xf numFmtId="171" fontId="3" fillId="0" borderId="15" xfId="2" applyNumberFormat="1" applyFont="1" applyFill="1" applyBorder="1" applyAlignment="1"/>
    <xf numFmtId="171" fontId="3" fillId="0" borderId="22" xfId="2" applyNumberFormat="1" applyFont="1" applyFill="1" applyBorder="1" applyAlignment="1"/>
    <xf numFmtId="10" fontId="3" fillId="0" borderId="0" xfId="2" applyNumberFormat="1" applyFont="1" applyFill="1" applyBorder="1"/>
    <xf numFmtId="0" fontId="3" fillId="0" borderId="20" xfId="0" quotePrefix="1" applyFont="1" applyBorder="1" applyAlignment="1">
      <alignment wrapText="1"/>
    </xf>
    <xf numFmtId="9" fontId="3" fillId="0" borderId="15" xfId="2" applyFont="1" applyBorder="1" applyAlignment="1">
      <alignment vertical="center" wrapText="1"/>
    </xf>
    <xf numFmtId="9" fontId="3" fillId="0" borderId="17" xfId="2" applyFont="1" applyBorder="1" applyAlignment="1">
      <alignment vertical="center" wrapText="1"/>
    </xf>
    <xf numFmtId="9" fontId="3" fillId="0" borderId="22" xfId="2" applyFont="1" applyBorder="1" applyAlignment="1">
      <alignment vertical="center" wrapText="1"/>
    </xf>
    <xf numFmtId="9" fontId="3" fillId="0" borderId="20" xfId="2" applyFont="1" applyBorder="1" applyAlignment="1">
      <alignment vertical="center" wrapText="1"/>
    </xf>
    <xf numFmtId="9" fontId="3" fillId="0" borderId="0" xfId="2" applyFont="1"/>
    <xf numFmtId="0" fontId="3" fillId="6" borderId="0" xfId="0" applyFont="1" applyFill="1"/>
    <xf numFmtId="9" fontId="3" fillId="0" borderId="15" xfId="2" applyFont="1" applyBorder="1"/>
    <xf numFmtId="165" fontId="3" fillId="0" borderId="43" xfId="1" applyNumberFormat="1" applyFont="1" applyBorder="1"/>
    <xf numFmtId="0" fontId="3" fillId="0" borderId="3" xfId="0" applyFont="1" applyBorder="1"/>
    <xf numFmtId="0" fontId="3" fillId="0" borderId="15" xfId="0" applyFont="1" applyBorder="1" applyAlignment="1">
      <alignment wrapText="1"/>
    </xf>
    <xf numFmtId="166" fontId="3" fillId="0" borderId="15" xfId="1" applyNumberFormat="1" applyFont="1" applyFill="1" applyBorder="1"/>
    <xf numFmtId="164" fontId="3" fillId="0" borderId="15" xfId="0" applyNumberFormat="1" applyFont="1" applyBorder="1"/>
    <xf numFmtId="164" fontId="3" fillId="0" borderId="22" xfId="0" applyNumberFormat="1" applyFont="1" applyBorder="1"/>
    <xf numFmtId="166" fontId="3" fillId="0" borderId="22" xfId="1" applyNumberFormat="1" applyFont="1" applyFill="1" applyBorder="1"/>
    <xf numFmtId="0" fontId="3" fillId="0" borderId="20" xfId="0" quotePrefix="1" applyFont="1" applyBorder="1"/>
    <xf numFmtId="164" fontId="3" fillId="0" borderId="22" xfId="1" applyFont="1" applyBorder="1"/>
    <xf numFmtId="164" fontId="3" fillId="0" borderId="17" xfId="2" applyNumberFormat="1" applyFont="1" applyBorder="1"/>
    <xf numFmtId="167" fontId="3" fillId="0" borderId="17" xfId="0" applyNumberFormat="1" applyFont="1" applyBorder="1"/>
    <xf numFmtId="165" fontId="3" fillId="0" borderId="22" xfId="1" applyNumberFormat="1" applyFont="1" applyBorder="1"/>
    <xf numFmtId="165" fontId="3" fillId="0" borderId="15" xfId="1" applyNumberFormat="1" applyFont="1" applyBorder="1" applyAlignment="1">
      <alignment wrapText="1"/>
    </xf>
    <xf numFmtId="9" fontId="3" fillId="0" borderId="0" xfId="2" applyFont="1" applyAlignment="1">
      <alignment horizontal="left" vertical="center" wrapText="1" indent="1"/>
    </xf>
    <xf numFmtId="174" fontId="3" fillId="0" borderId="6" xfId="0" applyNumberFormat="1" applyFont="1" applyBorder="1"/>
    <xf numFmtId="165" fontId="3" fillId="0" borderId="20" xfId="1" applyNumberFormat="1" applyFont="1" applyBorder="1"/>
    <xf numFmtId="0" fontId="3" fillId="0" borderId="0" xfId="0" applyFont="1" applyAlignment="1">
      <alignment wrapText="1"/>
    </xf>
    <xf numFmtId="166" fontId="3" fillId="0" borderId="17" xfId="1" applyNumberFormat="1" applyFont="1" applyBorder="1"/>
    <xf numFmtId="166" fontId="3" fillId="0" borderId="20" xfId="1" applyNumberFormat="1" applyFont="1" applyBorder="1"/>
    <xf numFmtId="164" fontId="3" fillId="0" borderId="5" xfId="1" applyFont="1" applyBorder="1"/>
    <xf numFmtId="165" fontId="3" fillId="0" borderId="12" xfId="1" applyNumberFormat="1" applyFont="1" applyBorder="1"/>
    <xf numFmtId="0" fontId="3" fillId="0" borderId="10" xfId="0" applyFont="1" applyBorder="1"/>
    <xf numFmtId="165" fontId="3" fillId="0" borderId="15" xfId="1" applyNumberFormat="1" applyFont="1" applyFill="1" applyBorder="1" applyAlignment="1">
      <alignment wrapText="1"/>
    </xf>
    <xf numFmtId="0" fontId="3" fillId="0" borderId="0" xfId="0" applyFont="1" applyAlignment="1">
      <alignment horizontal="left" indent="2"/>
    </xf>
    <xf numFmtId="0" fontId="3" fillId="0" borderId="0" xfId="0" applyFont="1" applyAlignment="1">
      <alignment horizontal="left"/>
    </xf>
    <xf numFmtId="164" fontId="3" fillId="0" borderId="29" xfId="1" applyFont="1" applyBorder="1"/>
    <xf numFmtId="1" fontId="3" fillId="5" borderId="15" xfId="1" applyNumberFormat="1" applyFont="1" applyFill="1" applyBorder="1"/>
    <xf numFmtId="166" fontId="3" fillId="0" borderId="15" xfId="1" applyNumberFormat="1" applyFont="1" applyBorder="1"/>
    <xf numFmtId="167" fontId="3" fillId="0" borderId="0" xfId="0" applyNumberFormat="1" applyFont="1"/>
    <xf numFmtId="0" fontId="3" fillId="0" borderId="17" xfId="0" applyFont="1" applyBorder="1" applyAlignment="1">
      <alignment vertical="center"/>
    </xf>
    <xf numFmtId="0" fontId="3" fillId="0" borderId="20" xfId="0" applyFont="1" applyBorder="1" applyAlignment="1">
      <alignment vertical="center"/>
    </xf>
    <xf numFmtId="166" fontId="3" fillId="0" borderId="5" xfId="1" applyNumberFormat="1" applyFont="1" applyBorder="1"/>
    <xf numFmtId="166" fontId="3" fillId="0" borderId="22" xfId="1" applyNumberFormat="1" applyFont="1" applyBorder="1"/>
    <xf numFmtId="9" fontId="3" fillId="0" borderId="10" xfId="2" applyFont="1" applyFill="1" applyBorder="1"/>
    <xf numFmtId="9" fontId="3" fillId="0" borderId="20" xfId="2" applyFont="1" applyFill="1" applyBorder="1"/>
    <xf numFmtId="165" fontId="3" fillId="0" borderId="15" xfId="1" applyNumberFormat="1" applyFont="1" applyFill="1" applyBorder="1"/>
    <xf numFmtId="165" fontId="3" fillId="0" borderId="22" xfId="1" applyNumberFormat="1" applyFont="1" applyFill="1" applyBorder="1"/>
    <xf numFmtId="165" fontId="3" fillId="0" borderId="2" xfId="0" applyNumberFormat="1" applyFont="1" applyBorder="1"/>
    <xf numFmtId="165" fontId="3" fillId="0" borderId="6" xfId="1" applyNumberFormat="1" applyFont="1" applyFill="1" applyBorder="1"/>
    <xf numFmtId="171" fontId="3" fillId="0" borderId="15" xfId="2" applyNumberFormat="1" applyFont="1" applyBorder="1"/>
    <xf numFmtId="171" fontId="3" fillId="0" borderId="22" xfId="2" applyNumberFormat="1" applyFont="1" applyBorder="1"/>
    <xf numFmtId="0" fontId="3" fillId="0" borderId="12" xfId="0" applyFont="1" applyBorder="1"/>
    <xf numFmtId="9" fontId="3" fillId="0" borderId="6" xfId="2" applyFont="1" applyBorder="1"/>
    <xf numFmtId="0" fontId="3" fillId="0" borderId="48" xfId="0" applyFont="1" applyBorder="1"/>
    <xf numFmtId="0" fontId="3" fillId="0" borderId="5" xfId="0" applyFont="1" applyBorder="1"/>
    <xf numFmtId="164" fontId="3" fillId="0" borderId="0" xfId="1" applyFont="1" applyFill="1" applyBorder="1"/>
    <xf numFmtId="165" fontId="3" fillId="0" borderId="10" xfId="1" applyNumberFormat="1" applyFont="1" applyBorder="1"/>
    <xf numFmtId="9" fontId="3" fillId="0" borderId="6" xfId="2" applyFont="1" applyBorder="1" applyAlignment="1">
      <alignment vertical="center" wrapText="1"/>
    </xf>
    <xf numFmtId="43" fontId="3" fillId="0" borderId="55" xfId="0" applyNumberFormat="1" applyFont="1" applyBorder="1" applyAlignment="1">
      <alignment wrapText="1"/>
    </xf>
    <xf numFmtId="43" fontId="3" fillId="0" borderId="47" xfId="0" applyNumberFormat="1" applyFont="1" applyBorder="1" applyAlignment="1">
      <alignment wrapText="1"/>
    </xf>
    <xf numFmtId="0" fontId="3" fillId="0" borderId="47" xfId="0" applyFont="1" applyBorder="1"/>
    <xf numFmtId="43" fontId="3" fillId="0" borderId="79" xfId="0" applyNumberFormat="1" applyFont="1" applyBorder="1" applyAlignment="1">
      <alignment wrapText="1"/>
    </xf>
    <xf numFmtId="164" fontId="3" fillId="0" borderId="47" xfId="1" applyFont="1" applyFill="1" applyBorder="1"/>
    <xf numFmtId="43" fontId="3" fillId="0" borderId="48" xfId="0" applyNumberFormat="1" applyFont="1" applyBorder="1" applyAlignment="1">
      <alignment wrapText="1"/>
    </xf>
    <xf numFmtId="164" fontId="3" fillId="0" borderId="7" xfId="1" applyFont="1" applyBorder="1"/>
    <xf numFmtId="43" fontId="3" fillId="0" borderId="16" xfId="0" applyNumberFormat="1" applyFont="1" applyBorder="1" applyAlignment="1">
      <alignment wrapText="1"/>
    </xf>
    <xf numFmtId="43" fontId="3" fillId="0" borderId="15" xfId="0" applyNumberFormat="1" applyFont="1" applyBorder="1" applyAlignment="1">
      <alignment wrapText="1"/>
    </xf>
    <xf numFmtId="180" fontId="3" fillId="0" borderId="15" xfId="0" applyNumberFormat="1" applyFont="1" applyBorder="1"/>
    <xf numFmtId="43" fontId="3" fillId="0" borderId="14" xfId="0" applyNumberFormat="1" applyFont="1" applyBorder="1" applyAlignment="1">
      <alignment wrapText="1"/>
    </xf>
    <xf numFmtId="43" fontId="3" fillId="0" borderId="17" xfId="0" applyNumberFormat="1" applyFont="1" applyBorder="1" applyAlignment="1">
      <alignment wrapText="1"/>
    </xf>
    <xf numFmtId="164" fontId="3" fillId="0" borderId="13" xfId="1" applyFont="1" applyBorder="1"/>
    <xf numFmtId="182" fontId="3" fillId="0" borderId="15" xfId="0" applyNumberFormat="1" applyFont="1" applyBorder="1" applyAlignment="1">
      <alignment wrapText="1"/>
    </xf>
    <xf numFmtId="164" fontId="3" fillId="0" borderId="16" xfId="0" applyNumberFormat="1" applyFont="1" applyBorder="1"/>
    <xf numFmtId="182" fontId="3" fillId="0" borderId="15" xfId="0" applyNumberFormat="1" applyFont="1" applyBorder="1"/>
    <xf numFmtId="164" fontId="3" fillId="0" borderId="14" xfId="0" applyNumberFormat="1" applyFont="1" applyBorder="1"/>
    <xf numFmtId="164" fontId="3" fillId="0" borderId="17" xfId="0" applyNumberFormat="1" applyFont="1" applyBorder="1"/>
    <xf numFmtId="164" fontId="3" fillId="0" borderId="19" xfId="0" applyNumberFormat="1" applyFont="1" applyBorder="1"/>
    <xf numFmtId="182" fontId="3" fillId="0" borderId="22" xfId="0" applyNumberFormat="1" applyFont="1" applyBorder="1"/>
    <xf numFmtId="164" fontId="3" fillId="0" borderId="74" xfId="0" applyNumberFormat="1" applyFont="1" applyBorder="1"/>
    <xf numFmtId="164" fontId="3" fillId="0" borderId="43" xfId="0" applyNumberFormat="1" applyFont="1" applyBorder="1"/>
    <xf numFmtId="164" fontId="3" fillId="0" borderId="51" xfId="0" applyNumberFormat="1" applyFont="1" applyBorder="1"/>
    <xf numFmtId="164" fontId="3" fillId="0" borderId="0" xfId="0" applyNumberFormat="1" applyFont="1"/>
    <xf numFmtId="164" fontId="3" fillId="0" borderId="4" xfId="0" applyNumberFormat="1" applyFont="1" applyBorder="1"/>
    <xf numFmtId="164" fontId="3" fillId="0" borderId="5" xfId="0" applyNumberFormat="1" applyFont="1" applyBorder="1"/>
    <xf numFmtId="164" fontId="3" fillId="0" borderId="6" xfId="0" applyNumberFormat="1" applyFont="1" applyBorder="1"/>
    <xf numFmtId="164" fontId="3" fillId="0" borderId="35" xfId="1" applyFont="1" applyFill="1" applyBorder="1"/>
    <xf numFmtId="43" fontId="3" fillId="0" borderId="15" xfId="0" applyNumberFormat="1" applyFont="1" applyBorder="1"/>
    <xf numFmtId="43" fontId="3" fillId="0" borderId="17" xfId="0" applyNumberFormat="1" applyFont="1" applyBorder="1"/>
    <xf numFmtId="168" fontId="3" fillId="0" borderId="15" xfId="0" applyNumberFormat="1" applyFont="1" applyBorder="1" applyAlignment="1">
      <alignment wrapText="1"/>
    </xf>
    <xf numFmtId="168" fontId="3" fillId="0" borderId="17" xfId="0" applyNumberFormat="1" applyFont="1" applyBorder="1" applyAlignment="1">
      <alignment wrapText="1"/>
    </xf>
    <xf numFmtId="43" fontId="3" fillId="0" borderId="22" xfId="0" applyNumberFormat="1" applyFont="1" applyBorder="1"/>
    <xf numFmtId="43" fontId="3" fillId="0" borderId="20" xfId="0" applyNumberFormat="1" applyFont="1" applyBorder="1"/>
    <xf numFmtId="168" fontId="3" fillId="0" borderId="22" xfId="0" applyNumberFormat="1" applyFont="1" applyBorder="1" applyAlignment="1">
      <alignment wrapText="1"/>
    </xf>
    <xf numFmtId="168" fontId="3" fillId="0" borderId="20" xfId="0" applyNumberFormat="1" applyFont="1" applyBorder="1" applyAlignment="1">
      <alignment wrapText="1"/>
    </xf>
    <xf numFmtId="167" fontId="3" fillId="0" borderId="15" xfId="0" applyNumberFormat="1" applyFont="1" applyBorder="1" applyAlignment="1">
      <alignment wrapText="1"/>
    </xf>
    <xf numFmtId="167" fontId="3" fillId="0" borderId="22" xfId="0" applyNumberFormat="1" applyFont="1" applyBorder="1" applyAlignment="1">
      <alignment wrapText="1"/>
    </xf>
    <xf numFmtId="0" fontId="3" fillId="0" borderId="22" xfId="0" applyFont="1" applyBorder="1" applyAlignment="1">
      <alignment wrapText="1"/>
    </xf>
    <xf numFmtId="0" fontId="3" fillId="0" borderId="0" xfId="0" applyFont="1" applyAlignment="1">
      <alignment horizontal="left" vertical="center" indent="1"/>
    </xf>
    <xf numFmtId="0" fontId="3" fillId="0" borderId="0" xfId="0" applyFont="1" applyAlignment="1">
      <alignment horizontal="left" vertical="center"/>
    </xf>
    <xf numFmtId="167" fontId="3" fillId="0" borderId="15" xfId="1" applyNumberFormat="1" applyFont="1" applyFill="1" applyBorder="1"/>
    <xf numFmtId="167" fontId="3" fillId="0" borderId="17" xfId="1" applyNumberFormat="1" applyFont="1" applyBorder="1"/>
    <xf numFmtId="9" fontId="3" fillId="0" borderId="22" xfId="2" applyFont="1" applyBorder="1"/>
    <xf numFmtId="165" fontId="3" fillId="0" borderId="51" xfId="1" applyNumberFormat="1" applyFont="1" applyBorder="1"/>
    <xf numFmtId="168" fontId="3" fillId="0" borderId="15" xfId="1" applyNumberFormat="1" applyFont="1" applyBorder="1"/>
    <xf numFmtId="164" fontId="3" fillId="0" borderId="43" xfId="1" applyFont="1" applyBorder="1"/>
    <xf numFmtId="164" fontId="3" fillId="0" borderId="10" xfId="1" applyFont="1" applyBorder="1"/>
    <xf numFmtId="164" fontId="3" fillId="0" borderId="6" xfId="1" applyFont="1" applyBorder="1"/>
    <xf numFmtId="166" fontId="3" fillId="0" borderId="22" xfId="1" applyNumberFormat="1" applyFont="1" applyBorder="1" applyAlignment="1">
      <alignment wrapText="1"/>
    </xf>
    <xf numFmtId="0" fontId="3" fillId="0" borderId="17" xfId="0" applyFont="1" applyBorder="1" applyAlignment="1">
      <alignment vertical="center" wrapText="1"/>
    </xf>
    <xf numFmtId="165" fontId="3" fillId="0" borderId="22" xfId="1" applyNumberFormat="1" applyFont="1" applyBorder="1" applyAlignment="1">
      <alignment wrapText="1"/>
    </xf>
    <xf numFmtId="0" fontId="3" fillId="0" borderId="20" xfId="0" applyFont="1" applyBorder="1" applyAlignment="1">
      <alignment vertical="center" wrapText="1"/>
    </xf>
    <xf numFmtId="164" fontId="3" fillId="0" borderId="15" xfId="1" applyFont="1" applyBorder="1" applyAlignment="1">
      <alignment wrapText="1"/>
    </xf>
    <xf numFmtId="164" fontId="3" fillId="0" borderId="22" xfId="1" applyFont="1" applyBorder="1" applyAlignment="1">
      <alignment wrapText="1"/>
    </xf>
    <xf numFmtId="3" fontId="3" fillId="0" borderId="20" xfId="0" applyNumberFormat="1" applyFont="1" applyBorder="1" applyAlignment="1">
      <alignment vertical="center" wrapText="1"/>
    </xf>
    <xf numFmtId="167" fontId="3" fillId="0" borderId="15" xfId="0" applyNumberFormat="1" applyFont="1" applyBorder="1"/>
    <xf numFmtId="167" fontId="3" fillId="0" borderId="22" xfId="0" applyNumberFormat="1" applyFont="1" applyBorder="1"/>
    <xf numFmtId="167" fontId="3" fillId="0" borderId="20" xfId="0" applyNumberFormat="1" applyFont="1" applyBorder="1"/>
    <xf numFmtId="0" fontId="3" fillId="0" borderId="51" xfId="0" applyFont="1" applyBorder="1"/>
    <xf numFmtId="2" fontId="3" fillId="0" borderId="15" xfId="0" applyNumberFormat="1" applyFont="1" applyBorder="1"/>
    <xf numFmtId="0" fontId="3" fillId="0" borderId="67" xfId="0" applyFont="1" applyBorder="1"/>
    <xf numFmtId="165" fontId="3" fillId="0" borderId="17" xfId="0" applyNumberFormat="1" applyFont="1" applyBorder="1"/>
    <xf numFmtId="165" fontId="3" fillId="0" borderId="20" xfId="0" applyNumberFormat="1" applyFont="1" applyBorder="1"/>
    <xf numFmtId="165" fontId="3" fillId="0" borderId="15" xfId="0" applyNumberFormat="1" applyFont="1" applyBorder="1"/>
    <xf numFmtId="165" fontId="3" fillId="6" borderId="15" xfId="0" applyNumberFormat="1" applyFont="1" applyFill="1" applyBorder="1"/>
    <xf numFmtId="166" fontId="3" fillId="0" borderId="15" xfId="0" applyNumberFormat="1" applyFont="1" applyBorder="1"/>
    <xf numFmtId="165" fontId="3" fillId="0" borderId="22" xfId="0" applyNumberFormat="1" applyFont="1" applyBorder="1"/>
    <xf numFmtId="171" fontId="3" fillId="0" borderId="15" xfId="2" applyNumberFormat="1" applyFont="1" applyBorder="1" applyAlignment="1"/>
    <xf numFmtId="171" fontId="3" fillId="0" borderId="22" xfId="2" applyNumberFormat="1" applyFont="1" applyBorder="1" applyAlignment="1"/>
    <xf numFmtId="0" fontId="3" fillId="0" borderId="38" xfId="0" applyFont="1" applyBorder="1"/>
    <xf numFmtId="0" fontId="3" fillId="0" borderId="41" xfId="0" applyFont="1" applyBorder="1"/>
    <xf numFmtId="9" fontId="3" fillId="0" borderId="15" xfId="2" applyFont="1" applyBorder="1" applyAlignment="1"/>
    <xf numFmtId="0" fontId="3" fillId="0" borderId="4" xfId="0" applyFont="1" applyBorder="1"/>
    <xf numFmtId="0" fontId="3" fillId="0" borderId="16" xfId="0" applyFont="1" applyBorder="1"/>
    <xf numFmtId="0" fontId="3" fillId="0" borderId="19" xfId="0" applyFont="1" applyBorder="1"/>
    <xf numFmtId="165" fontId="3" fillId="0" borderId="27" xfId="1" applyNumberFormat="1" applyFont="1" applyBorder="1"/>
    <xf numFmtId="0" fontId="3" fillId="0" borderId="78" xfId="0" applyFont="1" applyBorder="1"/>
    <xf numFmtId="165" fontId="3" fillId="0" borderId="36" xfId="1" applyNumberFormat="1" applyFont="1" applyBorder="1"/>
    <xf numFmtId="9" fontId="3" fillId="0" borderId="36" xfId="2" applyFont="1" applyBorder="1"/>
    <xf numFmtId="9" fontId="3" fillId="0" borderId="27" xfId="2" applyFont="1" applyBorder="1"/>
    <xf numFmtId="165" fontId="3" fillId="0" borderId="39" xfId="1" applyNumberFormat="1" applyFont="1" applyBorder="1"/>
    <xf numFmtId="9" fontId="3" fillId="0" borderId="39" xfId="2" applyFont="1" applyBorder="1"/>
    <xf numFmtId="0" fontId="3" fillId="0" borderId="49" xfId="0" applyFont="1" applyBorder="1"/>
    <xf numFmtId="9" fontId="3" fillId="0" borderId="0" xfId="0" applyNumberFormat="1" applyFont="1"/>
    <xf numFmtId="9" fontId="3" fillId="0" borderId="17" xfId="2" applyFont="1" applyBorder="1"/>
    <xf numFmtId="9" fontId="3" fillId="0" borderId="20" xfId="2" applyFont="1" applyBorder="1"/>
    <xf numFmtId="0" fontId="3" fillId="0" borderId="0" xfId="0" applyFont="1" applyAlignment="1">
      <alignment vertical="center"/>
    </xf>
    <xf numFmtId="167" fontId="3" fillId="0" borderId="10" xfId="0" applyNumberFormat="1" applyFont="1" applyBorder="1"/>
    <xf numFmtId="167" fontId="3" fillId="0" borderId="51" xfId="0" applyNumberFormat="1" applyFont="1" applyBorder="1"/>
    <xf numFmtId="0" fontId="3" fillId="0" borderId="17" xfId="0" applyFont="1" applyBorder="1" applyAlignment="1">
      <alignment wrapText="1"/>
    </xf>
    <xf numFmtId="0" fontId="3" fillId="0" borderId="17" xfId="0" quotePrefix="1" applyFont="1" applyBorder="1"/>
    <xf numFmtId="165" fontId="3" fillId="0" borderId="28" xfId="1" applyNumberFormat="1" applyFont="1" applyFill="1" applyBorder="1" applyAlignment="1">
      <alignment wrapText="1"/>
    </xf>
    <xf numFmtId="166" fontId="3" fillId="0" borderId="6" xfId="1" applyNumberFormat="1" applyFont="1" applyBorder="1" applyAlignment="1">
      <alignment vertical="center" wrapText="1"/>
    </xf>
    <xf numFmtId="9" fontId="3" fillId="0" borderId="22" xfId="0" applyNumberFormat="1" applyFont="1" applyBorder="1"/>
    <xf numFmtId="9" fontId="3" fillId="0" borderId="21" xfId="0" applyNumberFormat="1" applyFont="1" applyBorder="1"/>
    <xf numFmtId="167" fontId="3" fillId="0" borderId="47" xfId="0" applyNumberFormat="1" applyFont="1" applyBorder="1"/>
    <xf numFmtId="0" fontId="3" fillId="0" borderId="16" xfId="0" applyFont="1" applyBorder="1" applyAlignment="1">
      <alignment horizontal="left" indent="1"/>
    </xf>
    <xf numFmtId="0" fontId="3" fillId="0" borderId="28" xfId="0" applyFont="1" applyBorder="1" applyAlignment="1">
      <alignment wrapText="1"/>
    </xf>
    <xf numFmtId="0" fontId="3" fillId="0" borderId="13" xfId="0" applyFont="1" applyBorder="1" applyAlignment="1">
      <alignment wrapText="1"/>
    </xf>
    <xf numFmtId="0" fontId="3" fillId="0" borderId="20" xfId="0" applyFont="1" applyBorder="1" applyAlignment="1">
      <alignment wrapText="1"/>
    </xf>
    <xf numFmtId="2" fontId="3" fillId="0" borderId="15" xfId="1" applyNumberFormat="1" applyFont="1" applyBorder="1"/>
    <xf numFmtId="49" fontId="3" fillId="0" borderId="17" xfId="1" applyNumberFormat="1" applyFont="1" applyBorder="1" applyAlignment="1">
      <alignment vertical="center" wrapText="1"/>
    </xf>
    <xf numFmtId="175" fontId="3" fillId="0" borderId="0" xfId="0" applyNumberFormat="1" applyFont="1"/>
    <xf numFmtId="173" fontId="3" fillId="0" borderId="15" xfId="1" applyNumberFormat="1" applyFont="1" applyFill="1" applyBorder="1"/>
    <xf numFmtId="171" fontId="3" fillId="0" borderId="22" xfId="2" applyNumberFormat="1" applyFont="1" applyFill="1" applyBorder="1"/>
    <xf numFmtId="168" fontId="3" fillId="0" borderId="17" xfId="1" applyNumberFormat="1" applyFont="1" applyBorder="1"/>
    <xf numFmtId="2" fontId="3" fillId="0" borderId="20" xfId="0" applyNumberFormat="1" applyFont="1" applyBorder="1" applyAlignment="1">
      <alignment wrapText="1"/>
    </xf>
    <xf numFmtId="172" fontId="3" fillId="0" borderId="15" xfId="0" applyNumberFormat="1" applyFont="1" applyBorder="1" applyAlignment="1">
      <alignment wrapText="1"/>
    </xf>
    <xf numFmtId="9" fontId="3" fillId="0" borderId="15" xfId="2" applyFont="1" applyBorder="1" applyAlignment="1">
      <alignment wrapText="1"/>
    </xf>
    <xf numFmtId="172" fontId="3" fillId="0" borderId="22" xfId="0" applyNumberFormat="1" applyFont="1" applyBorder="1" applyAlignment="1">
      <alignment wrapText="1"/>
    </xf>
    <xf numFmtId="0" fontId="3" fillId="0" borderId="30" xfId="0" applyFont="1" applyBorder="1"/>
    <xf numFmtId="173" fontId="3" fillId="0" borderId="17" xfId="1" applyNumberFormat="1" applyFont="1" applyFill="1" applyBorder="1" applyAlignment="1">
      <alignment wrapText="1"/>
    </xf>
    <xf numFmtId="9" fontId="3" fillId="0" borderId="17" xfId="2" applyFont="1" applyFill="1" applyBorder="1"/>
    <xf numFmtId="0" fontId="3" fillId="0" borderId="22" xfId="0" applyFont="1" applyBorder="1" applyAlignment="1">
      <alignment horizontal="right" wrapText="1"/>
    </xf>
    <xf numFmtId="0" fontId="45" fillId="7" borderId="58" xfId="0" applyFont="1" applyFill="1" applyBorder="1" applyAlignment="1">
      <alignment horizontal="center" vertical="center"/>
    </xf>
    <xf numFmtId="0" fontId="45" fillId="7" borderId="9" xfId="0" applyFont="1" applyFill="1" applyBorder="1" applyAlignment="1">
      <alignment horizontal="center" vertical="center"/>
    </xf>
    <xf numFmtId="0" fontId="45" fillId="7" borderId="12" xfId="0" applyFont="1" applyFill="1" applyBorder="1" applyAlignment="1">
      <alignment horizontal="center" vertical="center" wrapText="1"/>
    </xf>
    <xf numFmtId="0" fontId="45" fillId="7" borderId="10" xfId="0" applyFont="1" applyFill="1" applyBorder="1" applyAlignment="1">
      <alignment horizontal="center" vertical="center"/>
    </xf>
    <xf numFmtId="0" fontId="45" fillId="7" borderId="26" xfId="0" applyFont="1" applyFill="1" applyBorder="1" applyAlignment="1">
      <alignment horizontal="center" vertical="center"/>
    </xf>
    <xf numFmtId="171" fontId="0" fillId="0" borderId="3" xfId="2" applyNumberFormat="1" applyFont="1" applyBorder="1" applyAlignment="1">
      <alignment horizontal="center" vertical="center"/>
    </xf>
    <xf numFmtId="0" fontId="3" fillId="0" borderId="0" xfId="0" applyFont="1" applyFill="1"/>
    <xf numFmtId="0" fontId="84" fillId="0" borderId="0" xfId="0" applyFont="1" applyBorder="1" applyAlignment="1">
      <alignment vertical="top" wrapText="1"/>
    </xf>
    <xf numFmtId="0" fontId="0" fillId="0" borderId="0" xfId="0" applyBorder="1"/>
    <xf numFmtId="0" fontId="84" fillId="0" borderId="75" xfId="0" applyFont="1" applyFill="1" applyBorder="1" applyAlignment="1">
      <alignment vertical="top" wrapText="1"/>
    </xf>
    <xf numFmtId="0" fontId="2" fillId="0" borderId="0" xfId="0" applyFont="1" applyFill="1"/>
    <xf numFmtId="0" fontId="45" fillId="10" borderId="9" xfId="0" applyFont="1" applyFill="1" applyBorder="1" applyAlignment="1">
      <alignment horizontal="left" vertical="center" wrapText="1"/>
    </xf>
    <xf numFmtId="0" fontId="45" fillId="10" borderId="12" xfId="0" applyFont="1" applyFill="1" applyBorder="1" applyAlignment="1">
      <alignment wrapText="1"/>
    </xf>
    <xf numFmtId="0" fontId="45" fillId="10" borderId="10" xfId="0" applyFont="1" applyFill="1" applyBorder="1" applyAlignment="1">
      <alignment wrapText="1"/>
    </xf>
    <xf numFmtId="0" fontId="2" fillId="0" borderId="0" xfId="0" applyFont="1"/>
    <xf numFmtId="0" fontId="94" fillId="10" borderId="4" xfId="0" applyFont="1" applyFill="1" applyBorder="1" applyAlignment="1">
      <alignment horizontal="center" vertical="center" wrapText="1"/>
    </xf>
    <xf numFmtId="165" fontId="45" fillId="10" borderId="36" xfId="1" applyNumberFormat="1" applyFont="1" applyFill="1" applyBorder="1" applyAlignment="1">
      <alignment wrapText="1"/>
    </xf>
    <xf numFmtId="165" fontId="45" fillId="7" borderId="9" xfId="1" applyNumberFormat="1" applyFont="1" applyFill="1" applyBorder="1" applyAlignment="1">
      <alignment horizontal="center" vertical="top" wrapText="1"/>
    </xf>
    <xf numFmtId="166" fontId="45" fillId="7" borderId="11" xfId="1" applyNumberFormat="1" applyFont="1" applyFill="1" applyBorder="1" applyAlignment="1">
      <alignment horizontal="center" vertical="top" wrapText="1"/>
    </xf>
    <xf numFmtId="165" fontId="45" fillId="10" borderId="12" xfId="1" applyNumberFormat="1" applyFont="1" applyFill="1" applyBorder="1" applyAlignment="1">
      <alignment wrapText="1"/>
    </xf>
    <xf numFmtId="0" fontId="89" fillId="18" borderId="45" xfId="0" applyFont="1" applyFill="1" applyBorder="1" applyAlignment="1">
      <alignment horizontal="center" vertical="center" wrapText="1"/>
    </xf>
    <xf numFmtId="0" fontId="89" fillId="18" borderId="76" xfId="0" applyFont="1" applyFill="1" applyBorder="1" applyAlignment="1">
      <alignment horizontal="center" vertical="center" wrapText="1"/>
    </xf>
    <xf numFmtId="0" fontId="89" fillId="18" borderId="71" xfId="0" applyFont="1" applyFill="1" applyBorder="1" applyAlignment="1">
      <alignment horizontal="center" vertical="center" wrapText="1"/>
    </xf>
    <xf numFmtId="0" fontId="10" fillId="2" borderId="0" xfId="0" applyFont="1" applyFill="1" applyAlignment="1">
      <alignment horizontal="left" vertical="center"/>
    </xf>
    <xf numFmtId="0" fontId="88" fillId="17" borderId="44" xfId="0" applyFont="1" applyFill="1" applyBorder="1" applyAlignment="1">
      <alignment horizontal="center" vertical="center" wrapText="1"/>
    </xf>
    <xf numFmtId="0" fontId="88" fillId="17" borderId="26" xfId="0" applyFont="1" applyFill="1" applyBorder="1" applyAlignment="1">
      <alignment horizontal="center" vertical="center" wrapText="1"/>
    </xf>
    <xf numFmtId="0" fontId="88" fillId="17" borderId="49" xfId="0" applyFont="1" applyFill="1" applyBorder="1" applyAlignment="1">
      <alignment horizontal="center" vertical="center" wrapText="1"/>
    </xf>
    <xf numFmtId="0" fontId="88" fillId="17" borderId="30" xfId="0" applyFont="1" applyFill="1" applyBorder="1" applyAlignment="1">
      <alignment horizontal="center" vertical="center" wrapText="1"/>
    </xf>
    <xf numFmtId="0" fontId="88" fillId="17" borderId="33" xfId="0" applyFont="1" applyFill="1" applyBorder="1" applyAlignment="1">
      <alignment horizontal="center" vertical="center" wrapText="1"/>
    </xf>
    <xf numFmtId="0" fontId="88" fillId="17" borderId="35" xfId="0" applyFont="1" applyFill="1" applyBorder="1" applyAlignment="1">
      <alignment horizontal="center" vertical="center" wrapText="1"/>
    </xf>
    <xf numFmtId="0" fontId="88" fillId="16" borderId="1" xfId="0" applyFont="1" applyFill="1" applyBorder="1" applyAlignment="1">
      <alignment horizontal="center" vertical="center" wrapText="1"/>
    </xf>
    <xf numFmtId="0" fontId="88" fillId="16" borderId="3" xfId="0" applyFont="1" applyFill="1" applyBorder="1" applyAlignment="1">
      <alignment horizontal="center" vertical="center" wrapText="1"/>
    </xf>
    <xf numFmtId="0" fontId="88" fillId="17" borderId="1" xfId="0" applyFont="1" applyFill="1" applyBorder="1" applyAlignment="1">
      <alignment horizontal="center" vertical="center" wrapText="1"/>
    </xf>
    <xf numFmtId="0" fontId="88" fillId="17" borderId="3" xfId="0" applyFont="1" applyFill="1" applyBorder="1" applyAlignment="1">
      <alignment horizontal="center" vertical="center" wrapText="1"/>
    </xf>
    <xf numFmtId="0" fontId="24" fillId="4" borderId="53" xfId="0" applyFont="1" applyFill="1" applyBorder="1" applyAlignment="1">
      <alignment horizontal="center" vertical="center" wrapText="1"/>
    </xf>
    <xf numFmtId="0" fontId="24" fillId="4" borderId="56" xfId="0" applyFont="1" applyFill="1" applyBorder="1" applyAlignment="1">
      <alignment horizontal="center" vertical="center" wrapText="1"/>
    </xf>
    <xf numFmtId="0" fontId="24" fillId="4" borderId="57" xfId="0" applyFont="1" applyFill="1" applyBorder="1" applyAlignment="1">
      <alignment horizontal="center" vertical="center" wrapText="1"/>
    </xf>
    <xf numFmtId="0" fontId="24" fillId="4" borderId="9" xfId="0" applyFont="1" applyFill="1" applyBorder="1" applyAlignment="1">
      <alignment horizontal="center" vertical="center" wrapText="1"/>
    </xf>
    <xf numFmtId="0" fontId="24" fillId="4" borderId="19" xfId="0" applyFont="1" applyFill="1" applyBorder="1" applyAlignment="1">
      <alignment horizontal="center" vertical="center" wrapText="1"/>
    </xf>
    <xf numFmtId="0" fontId="24" fillId="4" borderId="16" xfId="0" applyFont="1" applyFill="1" applyBorder="1" applyAlignment="1">
      <alignment horizontal="center" vertical="center" wrapText="1"/>
    </xf>
    <xf numFmtId="0" fontId="20" fillId="0" borderId="17" xfId="4" applyBorder="1" applyAlignment="1">
      <alignment horizontal="center" vertical="center" wrapText="1"/>
    </xf>
    <xf numFmtId="0" fontId="20" fillId="0" borderId="20" xfId="4" applyBorder="1" applyAlignment="1">
      <alignment horizontal="center" vertical="center" wrapText="1"/>
    </xf>
    <xf numFmtId="9" fontId="20" fillId="0" borderId="73" xfId="4" applyNumberFormat="1" applyBorder="1" applyAlignment="1">
      <alignment horizontal="left" vertical="center"/>
    </xf>
    <xf numFmtId="9" fontId="20" fillId="0" borderId="30" xfId="4" applyNumberFormat="1" applyBorder="1" applyAlignment="1">
      <alignment horizontal="left" vertical="center"/>
    </xf>
    <xf numFmtId="165" fontId="44" fillId="8" borderId="9" xfId="1" applyNumberFormat="1" applyFont="1" applyFill="1" applyBorder="1" applyAlignment="1">
      <alignment horizontal="left" wrapText="1"/>
    </xf>
    <xf numFmtId="165" fontId="44" fillId="8" borderId="12" xfId="1" applyNumberFormat="1" applyFont="1" applyFill="1" applyBorder="1" applyAlignment="1">
      <alignment horizontal="left" wrapText="1"/>
    </xf>
    <xf numFmtId="165" fontId="44" fillId="8" borderId="10" xfId="1" applyNumberFormat="1" applyFont="1" applyFill="1" applyBorder="1" applyAlignment="1">
      <alignment horizontal="left" wrapText="1"/>
    </xf>
    <xf numFmtId="165" fontId="44" fillId="8" borderId="55" xfId="1" applyNumberFormat="1" applyFont="1" applyFill="1" applyBorder="1" applyAlignment="1">
      <alignment horizontal="left" wrapText="1"/>
    </xf>
    <xf numFmtId="165" fontId="44" fillId="8" borderId="47" xfId="1" applyNumberFormat="1" applyFont="1" applyFill="1" applyBorder="1" applyAlignment="1">
      <alignment horizontal="left" wrapText="1"/>
    </xf>
    <xf numFmtId="165" fontId="44" fillId="8" borderId="48" xfId="1" applyNumberFormat="1" applyFont="1" applyFill="1" applyBorder="1" applyAlignment="1">
      <alignment horizontal="left" wrapText="1"/>
    </xf>
    <xf numFmtId="171" fontId="13" fillId="3" borderId="52" xfId="1" applyNumberFormat="1" applyFont="1" applyFill="1" applyBorder="1" applyAlignment="1">
      <alignment horizontal="center" wrapText="1"/>
    </xf>
    <xf numFmtId="171" fontId="13" fillId="3" borderId="8" xfId="1" applyNumberFormat="1" applyFont="1" applyFill="1" applyBorder="1" applyAlignment="1">
      <alignment horizontal="center" wrapText="1"/>
    </xf>
    <xf numFmtId="171" fontId="13" fillId="3" borderId="54" xfId="1" applyNumberFormat="1" applyFont="1" applyFill="1" applyBorder="1" applyAlignment="1">
      <alignment horizontal="center" wrapText="1"/>
    </xf>
    <xf numFmtId="171" fontId="13" fillId="3" borderId="2" xfId="1" applyNumberFormat="1" applyFont="1" applyFill="1" applyBorder="1" applyAlignment="1">
      <alignment horizontal="center" wrapText="1"/>
    </xf>
    <xf numFmtId="171" fontId="13" fillId="3" borderId="64" xfId="1" applyNumberFormat="1" applyFont="1" applyFill="1" applyBorder="1" applyAlignment="1">
      <alignment horizontal="center" wrapText="1"/>
    </xf>
    <xf numFmtId="0" fontId="3" fillId="0" borderId="0" xfId="0" applyFont="1" applyAlignment="1">
      <alignment horizontal="center"/>
    </xf>
    <xf numFmtId="165" fontId="45" fillId="7" borderId="44" xfId="1" applyNumberFormat="1" applyFont="1" applyFill="1" applyBorder="1" applyAlignment="1">
      <alignment horizontal="center" wrapText="1"/>
    </xf>
    <xf numFmtId="165" fontId="45" fillId="7" borderId="25" xfId="1" applyNumberFormat="1" applyFont="1" applyFill="1" applyBorder="1" applyAlignment="1">
      <alignment horizontal="center" wrapText="1"/>
    </xf>
    <xf numFmtId="165" fontId="45" fillId="7" borderId="26" xfId="1" applyNumberFormat="1" applyFont="1" applyFill="1" applyBorder="1" applyAlignment="1">
      <alignment horizontal="center" wrapText="1"/>
    </xf>
    <xf numFmtId="171" fontId="13" fillId="3" borderId="58" xfId="1" applyNumberFormat="1" applyFont="1" applyFill="1" applyBorder="1" applyAlignment="1">
      <alignment horizontal="center" wrapText="1"/>
    </xf>
    <xf numFmtId="171" fontId="13" fillId="3" borderId="37" xfId="1" applyNumberFormat="1" applyFont="1" applyFill="1" applyBorder="1" applyAlignment="1">
      <alignment horizontal="center" wrapText="1"/>
    </xf>
    <xf numFmtId="171" fontId="13" fillId="3" borderId="11" xfId="1" applyNumberFormat="1" applyFont="1" applyFill="1" applyBorder="1" applyAlignment="1">
      <alignment horizontal="center" wrapText="1"/>
    </xf>
    <xf numFmtId="171" fontId="13" fillId="3" borderId="38" xfId="1" applyNumberFormat="1" applyFont="1" applyFill="1" applyBorder="1" applyAlignment="1">
      <alignment horizontal="center" wrapText="1"/>
    </xf>
    <xf numFmtId="0" fontId="14" fillId="4" borderId="1" xfId="0" applyFont="1" applyFill="1" applyBorder="1" applyAlignment="1">
      <alignment horizontal="center" wrapText="1"/>
    </xf>
    <xf numFmtId="0" fontId="14" fillId="4" borderId="2" xfId="0" applyFont="1" applyFill="1" applyBorder="1" applyAlignment="1">
      <alignment horizontal="center" wrapText="1"/>
    </xf>
    <xf numFmtId="0" fontId="14" fillId="4" borderId="3" xfId="0" applyFont="1" applyFill="1" applyBorder="1" applyAlignment="1">
      <alignment horizontal="center" wrapText="1"/>
    </xf>
    <xf numFmtId="171" fontId="13" fillId="3" borderId="70" xfId="1" applyNumberFormat="1" applyFont="1" applyFill="1" applyBorder="1" applyAlignment="1">
      <alignment horizontal="center" wrapText="1"/>
    </xf>
    <xf numFmtId="171" fontId="13" fillId="3" borderId="34" xfId="1" applyNumberFormat="1" applyFont="1" applyFill="1" applyBorder="1" applyAlignment="1">
      <alignment horizontal="center" wrapText="1"/>
    </xf>
    <xf numFmtId="171" fontId="13" fillId="3" borderId="77" xfId="1" applyNumberFormat="1" applyFont="1" applyFill="1" applyBorder="1" applyAlignment="1">
      <alignment horizontal="center" wrapText="1"/>
    </xf>
    <xf numFmtId="0" fontId="13" fillId="3" borderId="9" xfId="0" applyFont="1" applyFill="1" applyBorder="1" applyAlignment="1">
      <alignment horizontal="center" wrapText="1"/>
    </xf>
    <xf numFmtId="0" fontId="13" fillId="3" borderId="16" xfId="0" applyFont="1" applyFill="1" applyBorder="1" applyAlignment="1">
      <alignment horizontal="center" wrapText="1"/>
    </xf>
    <xf numFmtId="171" fontId="13" fillId="3" borderId="9" xfId="1" applyNumberFormat="1" applyFont="1" applyFill="1" applyBorder="1" applyAlignment="1">
      <alignment horizontal="center" wrapText="1"/>
    </xf>
    <xf numFmtId="171" fontId="13" fillId="3" borderId="12" xfId="1" applyNumberFormat="1" applyFont="1" applyFill="1" applyBorder="1" applyAlignment="1">
      <alignment horizontal="center" wrapText="1"/>
    </xf>
    <xf numFmtId="171" fontId="13" fillId="3" borderId="10" xfId="1" applyNumberFormat="1" applyFont="1" applyFill="1" applyBorder="1" applyAlignment="1">
      <alignment horizontal="center" wrapText="1"/>
    </xf>
    <xf numFmtId="0" fontId="14" fillId="4" borderId="16" xfId="0" applyFont="1" applyFill="1" applyBorder="1" applyAlignment="1">
      <alignment horizontal="center" wrapText="1"/>
    </xf>
    <xf numFmtId="0" fontId="14" fillId="4" borderId="19" xfId="0" applyFont="1" applyFill="1" applyBorder="1" applyAlignment="1">
      <alignment horizontal="center" wrapText="1"/>
    </xf>
    <xf numFmtId="166" fontId="0" fillId="0" borderId="17" xfId="0" applyNumberFormat="1" applyBorder="1" applyAlignment="1">
      <alignment horizontal="center" wrapText="1"/>
    </xf>
    <xf numFmtId="166" fontId="0" fillId="0" borderId="20" xfId="0" applyNumberFormat="1" applyBorder="1" applyAlignment="1">
      <alignment horizontal="center" wrapText="1"/>
    </xf>
    <xf numFmtId="165" fontId="44" fillId="8" borderId="76" xfId="1" applyNumberFormat="1" applyFont="1" applyFill="1" applyBorder="1" applyAlignment="1">
      <alignment horizontal="center"/>
    </xf>
    <xf numFmtId="165" fontId="44" fillId="8" borderId="71" xfId="1" applyNumberFormat="1" applyFont="1" applyFill="1" applyBorder="1" applyAlignment="1">
      <alignment horizontal="center"/>
    </xf>
    <xf numFmtId="165" fontId="45" fillId="7" borderId="58" xfId="1" applyNumberFormat="1" applyFont="1" applyFill="1" applyBorder="1" applyAlignment="1">
      <alignment horizontal="center" vertical="center" wrapText="1"/>
    </xf>
    <xf numFmtId="165" fontId="45" fillId="7" borderId="28" xfId="1" applyNumberFormat="1" applyFont="1" applyFill="1" applyBorder="1" applyAlignment="1">
      <alignment horizontal="center" vertical="center" wrapText="1"/>
    </xf>
    <xf numFmtId="165" fontId="45" fillId="7" borderId="9" xfId="1" applyNumberFormat="1" applyFont="1" applyFill="1" applyBorder="1" applyAlignment="1">
      <alignment horizontal="center" vertical="center" wrapText="1"/>
    </xf>
    <xf numFmtId="165" fontId="45" fillId="7" borderId="16" xfId="1" applyNumberFormat="1" applyFont="1" applyFill="1" applyBorder="1" applyAlignment="1">
      <alignment horizontal="center" vertical="center" wrapText="1"/>
    </xf>
    <xf numFmtId="165" fontId="45" fillId="7" borderId="36" xfId="1" applyNumberFormat="1" applyFont="1" applyFill="1" applyBorder="1" applyAlignment="1">
      <alignment horizontal="center" vertical="center" wrapText="1"/>
    </xf>
    <xf numFmtId="165" fontId="45" fillId="7" borderId="37" xfId="1" applyNumberFormat="1" applyFont="1" applyFill="1" applyBorder="1" applyAlignment="1">
      <alignment horizontal="center" vertical="center" wrapText="1"/>
    </xf>
    <xf numFmtId="165" fontId="45" fillId="7" borderId="38" xfId="1" applyNumberFormat="1" applyFont="1" applyFill="1" applyBorder="1" applyAlignment="1">
      <alignment horizontal="center" vertical="center" wrapText="1"/>
    </xf>
    <xf numFmtId="165" fontId="44" fillId="8" borderId="45" xfId="1" applyNumberFormat="1" applyFont="1" applyFill="1" applyBorder="1" applyAlignment="1">
      <alignment horizontal="center"/>
    </xf>
    <xf numFmtId="0" fontId="13" fillId="3" borderId="44" xfId="0" applyFont="1" applyFill="1" applyBorder="1" applyAlignment="1">
      <alignment horizontal="center" vertical="center" wrapText="1"/>
    </xf>
    <xf numFmtId="0" fontId="13" fillId="3" borderId="11" xfId="0" applyFont="1" applyFill="1" applyBorder="1" applyAlignment="1">
      <alignment horizontal="center" vertical="center" wrapText="1"/>
    </xf>
    <xf numFmtId="0" fontId="14" fillId="4" borderId="16" xfId="0" applyFont="1" applyFill="1" applyBorder="1" applyAlignment="1">
      <alignment horizontal="left" wrapText="1"/>
    </xf>
    <xf numFmtId="0" fontId="14" fillId="4" borderId="19" xfId="0" applyFont="1" applyFill="1" applyBorder="1" applyAlignment="1">
      <alignment horizontal="left" wrapText="1"/>
    </xf>
    <xf numFmtId="164" fontId="3" fillId="0" borderId="51" xfId="1" applyFont="1" applyBorder="1"/>
    <xf numFmtId="164" fontId="3" fillId="0" borderId="67" xfId="1" applyFont="1" applyBorder="1"/>
    <xf numFmtId="164" fontId="3" fillId="0" borderId="48" xfId="1" applyFont="1" applyBorder="1"/>
    <xf numFmtId="164" fontId="3" fillId="0" borderId="32" xfId="1" applyFont="1" applyBorder="1"/>
    <xf numFmtId="165" fontId="45" fillId="7" borderId="44" xfId="1" applyNumberFormat="1" applyFont="1" applyFill="1" applyBorder="1" applyAlignment="1">
      <alignment horizontal="center" vertical="center" wrapText="1"/>
    </xf>
    <xf numFmtId="165" fontId="45" fillId="7" borderId="25" xfId="1" applyNumberFormat="1" applyFont="1" applyFill="1" applyBorder="1" applyAlignment="1">
      <alignment horizontal="center" vertical="center" wrapText="1"/>
    </xf>
    <xf numFmtId="165" fontId="45" fillId="7" borderId="26" xfId="1" applyNumberFormat="1" applyFont="1" applyFill="1" applyBorder="1" applyAlignment="1">
      <alignment horizontal="center" vertical="center" wrapText="1"/>
    </xf>
    <xf numFmtId="171" fontId="13" fillId="3" borderId="1" xfId="1" applyNumberFormat="1" applyFont="1" applyFill="1" applyBorder="1" applyAlignment="1">
      <alignment horizontal="center" wrapText="1"/>
    </xf>
    <xf numFmtId="171" fontId="13" fillId="3" borderId="3" xfId="1" applyNumberFormat="1" applyFont="1" applyFill="1" applyBorder="1" applyAlignment="1">
      <alignment horizontal="center" wrapText="1"/>
    </xf>
    <xf numFmtId="165" fontId="44" fillId="8" borderId="9" xfId="1" applyNumberFormat="1" applyFont="1" applyFill="1" applyBorder="1" applyAlignment="1">
      <alignment horizontal="center" wrapText="1"/>
    </xf>
    <xf numFmtId="165" fontId="44" fillId="8" borderId="16" xfId="1" applyNumberFormat="1" applyFont="1" applyFill="1" applyBorder="1" applyAlignment="1">
      <alignment horizontal="center" wrapText="1"/>
    </xf>
    <xf numFmtId="165" fontId="44" fillId="8" borderId="19" xfId="1" applyNumberFormat="1" applyFont="1" applyFill="1" applyBorder="1" applyAlignment="1">
      <alignment horizontal="center" wrapText="1"/>
    </xf>
    <xf numFmtId="165" fontId="44" fillId="8" borderId="56" xfId="1" applyNumberFormat="1" applyFont="1" applyFill="1" applyBorder="1" applyAlignment="1">
      <alignment horizontal="center" vertical="center"/>
    </xf>
    <xf numFmtId="165" fontId="44" fillId="8" borderId="57" xfId="1" applyNumberFormat="1" applyFont="1" applyFill="1" applyBorder="1" applyAlignment="1">
      <alignment horizontal="center" vertical="center"/>
    </xf>
    <xf numFmtId="171" fontId="13" fillId="3" borderId="44" xfId="1" applyNumberFormat="1" applyFont="1" applyFill="1" applyBorder="1" applyAlignment="1">
      <alignment horizontal="center" wrapText="1"/>
    </xf>
    <xf numFmtId="171" fontId="13" fillId="3" borderId="25" xfId="1" applyNumberFormat="1" applyFont="1" applyFill="1" applyBorder="1" applyAlignment="1">
      <alignment horizontal="center" wrapText="1"/>
    </xf>
    <xf numFmtId="171" fontId="13" fillId="3" borderId="26" xfId="1" applyNumberFormat="1" applyFont="1" applyFill="1" applyBorder="1" applyAlignment="1">
      <alignment horizontal="center" wrapText="1"/>
    </xf>
    <xf numFmtId="171" fontId="13" fillId="3" borderId="12" xfId="1" applyNumberFormat="1" applyFont="1" applyFill="1" applyBorder="1" applyAlignment="1">
      <alignment horizontal="center"/>
    </xf>
    <xf numFmtId="171" fontId="13" fillId="3" borderId="10" xfId="1" applyNumberFormat="1" applyFont="1" applyFill="1" applyBorder="1" applyAlignment="1">
      <alignment horizontal="center"/>
    </xf>
    <xf numFmtId="0" fontId="13" fillId="3" borderId="9" xfId="0" applyFont="1" applyFill="1" applyBorder="1" applyAlignment="1">
      <alignment horizontal="center"/>
    </xf>
    <xf numFmtId="0" fontId="13" fillId="3" borderId="12" xfId="0" applyFont="1" applyFill="1" applyBorder="1" applyAlignment="1">
      <alignment horizontal="center"/>
    </xf>
    <xf numFmtId="0" fontId="13" fillId="3" borderId="16" xfId="0" applyFont="1" applyFill="1" applyBorder="1" applyAlignment="1">
      <alignment horizontal="center"/>
    </xf>
    <xf numFmtId="0" fontId="13" fillId="3" borderId="15" xfId="0" applyFont="1" applyFill="1" applyBorder="1" applyAlignment="1">
      <alignment horizontal="center"/>
    </xf>
    <xf numFmtId="0" fontId="13" fillId="3" borderId="12" xfId="0" applyFont="1" applyFill="1" applyBorder="1" applyAlignment="1">
      <alignment horizontal="center" wrapText="1"/>
    </xf>
    <xf numFmtId="0" fontId="13" fillId="3" borderId="15" xfId="0" applyFont="1" applyFill="1" applyBorder="1" applyAlignment="1">
      <alignment horizontal="center" wrapText="1"/>
    </xf>
    <xf numFmtId="0" fontId="14" fillId="4" borderId="22" xfId="0" applyFont="1" applyFill="1" applyBorder="1" applyAlignment="1">
      <alignment horizontal="center" wrapText="1"/>
    </xf>
    <xf numFmtId="0" fontId="14" fillId="4" borderId="42" xfId="0" applyFont="1" applyFill="1" applyBorder="1" applyAlignment="1">
      <alignment horizontal="center" vertical="center" wrapText="1"/>
    </xf>
    <xf numFmtId="0" fontId="14" fillId="4" borderId="55" xfId="0" applyFont="1" applyFill="1" applyBorder="1" applyAlignment="1">
      <alignment horizontal="center" vertical="center" wrapText="1"/>
    </xf>
    <xf numFmtId="0" fontId="13" fillId="3" borderId="36" xfId="0" applyFont="1" applyFill="1" applyBorder="1" applyAlignment="1">
      <alignment horizontal="center" vertical="center"/>
    </xf>
    <xf numFmtId="0" fontId="13" fillId="3" borderId="11" xfId="0" applyFont="1" applyFill="1" applyBorder="1" applyAlignment="1">
      <alignment horizontal="center" vertical="center"/>
    </xf>
    <xf numFmtId="9" fontId="14" fillId="4" borderId="55" xfId="2" applyFont="1" applyFill="1" applyBorder="1" applyAlignment="1">
      <alignment horizontal="center" vertical="center" wrapText="1"/>
    </xf>
    <xf numFmtId="9" fontId="14" fillId="4" borderId="16" xfId="2" applyFont="1" applyFill="1" applyBorder="1" applyAlignment="1">
      <alignment horizontal="center" vertical="center" wrapText="1"/>
    </xf>
    <xf numFmtId="9" fontId="14" fillId="4" borderId="19" xfId="2" applyFont="1" applyFill="1" applyBorder="1" applyAlignment="1">
      <alignment horizontal="center" vertical="center" wrapText="1"/>
    </xf>
    <xf numFmtId="9" fontId="14" fillId="4" borderId="53" xfId="2" applyFont="1" applyFill="1" applyBorder="1" applyAlignment="1">
      <alignment horizontal="center" vertical="center" wrapText="1"/>
    </xf>
    <xf numFmtId="9" fontId="14" fillId="4" borderId="56" xfId="2" applyFont="1" applyFill="1" applyBorder="1" applyAlignment="1">
      <alignment horizontal="center" vertical="center" wrapText="1"/>
    </xf>
    <xf numFmtId="9" fontId="14" fillId="4" borderId="57" xfId="2" applyFont="1" applyFill="1" applyBorder="1" applyAlignment="1">
      <alignment horizontal="center" vertical="center" wrapText="1"/>
    </xf>
    <xf numFmtId="171" fontId="13" fillId="3" borderId="36" xfId="1" applyNumberFormat="1" applyFont="1" applyFill="1" applyBorder="1" applyAlignment="1">
      <alignment horizontal="center" wrapText="1"/>
    </xf>
    <xf numFmtId="165" fontId="45" fillId="7" borderId="12" xfId="1" applyNumberFormat="1" applyFont="1" applyFill="1" applyBorder="1" applyAlignment="1">
      <alignment horizontal="center" wrapText="1"/>
    </xf>
    <xf numFmtId="165" fontId="45" fillId="7" borderId="10" xfId="1" applyNumberFormat="1" applyFont="1" applyFill="1" applyBorder="1" applyAlignment="1">
      <alignment horizontal="center" wrapText="1"/>
    </xf>
    <xf numFmtId="171" fontId="13" fillId="3" borderId="24" xfId="1" applyNumberFormat="1" applyFont="1" applyFill="1" applyBorder="1" applyAlignment="1">
      <alignment horizontal="center" vertical="center" wrapText="1"/>
    </xf>
    <xf numFmtId="171" fontId="13" fillId="3" borderId="48" xfId="1" applyNumberFormat="1" applyFont="1" applyFill="1" applyBorder="1" applyAlignment="1">
      <alignment horizontal="center" vertical="center" wrapText="1"/>
    </xf>
    <xf numFmtId="0" fontId="44" fillId="8" borderId="9" xfId="0" applyFont="1" applyFill="1" applyBorder="1" applyAlignment="1">
      <alignment horizontal="center" vertical="center" wrapText="1"/>
    </xf>
    <xf numFmtId="0" fontId="44" fillId="8" borderId="16" xfId="0" applyFont="1" applyFill="1" applyBorder="1" applyAlignment="1">
      <alignment horizontal="center" vertical="center" wrapText="1"/>
    </xf>
    <xf numFmtId="0" fontId="44" fillId="8" borderId="19" xfId="0" applyFont="1" applyFill="1" applyBorder="1" applyAlignment="1">
      <alignment horizontal="center" vertical="center" wrapText="1"/>
    </xf>
    <xf numFmtId="0" fontId="44" fillId="8" borderId="53" xfId="0" applyFont="1" applyFill="1" applyBorder="1" applyAlignment="1">
      <alignment horizontal="center" vertical="center" wrapText="1"/>
    </xf>
    <xf numFmtId="0" fontId="44" fillId="8" borderId="56" xfId="0" applyFont="1" applyFill="1" applyBorder="1" applyAlignment="1">
      <alignment horizontal="center" vertical="center" wrapText="1"/>
    </xf>
    <xf numFmtId="0" fontId="44" fillId="8" borderId="57" xfId="0" applyFont="1" applyFill="1" applyBorder="1" applyAlignment="1">
      <alignment horizontal="center" vertical="center" wrapText="1"/>
    </xf>
    <xf numFmtId="0" fontId="16" fillId="0" borderId="15" xfId="0" applyFont="1" applyBorder="1" applyAlignment="1">
      <alignment horizontal="left" vertical="center"/>
    </xf>
    <xf numFmtId="0" fontId="16" fillId="0" borderId="43" xfId="0" applyFont="1" applyBorder="1" applyAlignment="1">
      <alignment horizontal="left" vertical="center"/>
    </xf>
    <xf numFmtId="0" fontId="44" fillId="8" borderId="55" xfId="0" applyFont="1" applyFill="1" applyBorder="1" applyAlignment="1">
      <alignment horizontal="center" vertical="center" wrapText="1"/>
    </xf>
    <xf numFmtId="0" fontId="44" fillId="8" borderId="42" xfId="0" applyFont="1" applyFill="1" applyBorder="1" applyAlignment="1">
      <alignment horizontal="center" vertical="center" wrapText="1"/>
    </xf>
    <xf numFmtId="0" fontId="44" fillId="8" borderId="22" xfId="0" applyFont="1" applyFill="1" applyBorder="1" applyAlignment="1">
      <alignment horizontal="center" vertical="center" wrapText="1"/>
    </xf>
    <xf numFmtId="167" fontId="0" fillId="0" borderId="17" xfId="0" applyNumberFormat="1" applyBorder="1" applyAlignment="1">
      <alignment horizontal="center"/>
    </xf>
    <xf numFmtId="167" fontId="0" fillId="0" borderId="51" xfId="0" applyNumberFormat="1" applyBorder="1" applyAlignment="1">
      <alignment horizontal="center"/>
    </xf>
    <xf numFmtId="167" fontId="0" fillId="0" borderId="67" xfId="0" applyNumberFormat="1" applyBorder="1" applyAlignment="1">
      <alignment horizontal="center"/>
    </xf>
    <xf numFmtId="167" fontId="0" fillId="0" borderId="48" xfId="0" applyNumberFormat="1" applyBorder="1" applyAlignment="1">
      <alignment horizontal="center"/>
    </xf>
    <xf numFmtId="165" fontId="13" fillId="3" borderId="9" xfId="1" applyNumberFormat="1" applyFont="1" applyFill="1" applyBorder="1" applyAlignment="1">
      <alignment horizontal="center" wrapText="1"/>
    </xf>
    <xf numFmtId="165" fontId="13" fillId="3" borderId="12" xfId="1" applyNumberFormat="1" applyFont="1" applyFill="1" applyBorder="1" applyAlignment="1">
      <alignment horizontal="center" wrapText="1"/>
    </xf>
    <xf numFmtId="165" fontId="13" fillId="3" borderId="10" xfId="1" applyNumberFormat="1" applyFont="1" applyFill="1" applyBorder="1" applyAlignment="1">
      <alignment horizontal="center" wrapText="1"/>
    </xf>
    <xf numFmtId="0" fontId="13" fillId="3" borderId="10" xfId="0" applyFont="1" applyFill="1" applyBorder="1" applyAlignment="1">
      <alignment horizontal="center" vertical="center"/>
    </xf>
    <xf numFmtId="0" fontId="13" fillId="3" borderId="17" xfId="0" applyFont="1" applyFill="1" applyBorder="1" applyAlignment="1">
      <alignment horizontal="center" vertical="center"/>
    </xf>
    <xf numFmtId="0" fontId="13" fillId="3" borderId="9" xfId="0" applyFont="1" applyFill="1" applyBorder="1" applyAlignment="1">
      <alignment horizontal="center" vertical="center"/>
    </xf>
    <xf numFmtId="0" fontId="13" fillId="3" borderId="16" xfId="0" applyFont="1" applyFill="1" applyBorder="1" applyAlignment="1">
      <alignment horizontal="center" vertical="center"/>
    </xf>
    <xf numFmtId="0" fontId="13" fillId="3" borderId="58" xfId="0" applyFont="1" applyFill="1" applyBorder="1" applyAlignment="1">
      <alignment horizontal="center" vertical="center"/>
    </xf>
    <xf numFmtId="0" fontId="13" fillId="3" borderId="28" xfId="0" applyFont="1" applyFill="1" applyBorder="1" applyAlignment="1">
      <alignment horizontal="center" vertical="center"/>
    </xf>
    <xf numFmtId="165" fontId="13" fillId="3" borderId="58" xfId="1" applyNumberFormat="1" applyFont="1" applyFill="1" applyBorder="1" applyAlignment="1">
      <alignment horizontal="center" wrapText="1"/>
    </xf>
    <xf numFmtId="165" fontId="13" fillId="3" borderId="12" xfId="1" applyNumberFormat="1" applyFont="1" applyFill="1" applyBorder="1" applyAlignment="1">
      <alignment horizontal="center"/>
    </xf>
    <xf numFmtId="165" fontId="13" fillId="3" borderId="10" xfId="1" applyNumberFormat="1" applyFont="1" applyFill="1" applyBorder="1" applyAlignment="1">
      <alignment horizontal="center"/>
    </xf>
    <xf numFmtId="0" fontId="13" fillId="3" borderId="12" xfId="0" applyFont="1" applyFill="1" applyBorder="1" applyAlignment="1">
      <alignment horizontal="center" vertical="center" wrapText="1"/>
    </xf>
    <xf numFmtId="0" fontId="13" fillId="3" borderId="15" xfId="0" applyFont="1" applyFill="1" applyBorder="1" applyAlignment="1">
      <alignment horizontal="center" vertical="center" wrapText="1"/>
    </xf>
    <xf numFmtId="0" fontId="0" fillId="0" borderId="15" xfId="0" applyBorder="1" applyAlignment="1">
      <alignment horizontal="center"/>
    </xf>
    <xf numFmtId="0" fontId="13" fillId="3" borderId="12" xfId="0" applyFont="1" applyFill="1" applyBorder="1" applyAlignment="1">
      <alignment horizontal="center" vertical="center"/>
    </xf>
    <xf numFmtId="0" fontId="13" fillId="3" borderId="15" xfId="0" applyFont="1" applyFill="1" applyBorder="1" applyAlignment="1">
      <alignment horizontal="center" vertical="center"/>
    </xf>
    <xf numFmtId="0" fontId="13" fillId="3" borderId="23" xfId="0" applyFont="1" applyFill="1" applyBorder="1" applyAlignment="1">
      <alignment horizontal="center" vertical="center"/>
    </xf>
    <xf numFmtId="0" fontId="13" fillId="3" borderId="47" xfId="0" applyFont="1" applyFill="1" applyBorder="1" applyAlignment="1">
      <alignment horizontal="center" vertical="center"/>
    </xf>
    <xf numFmtId="0" fontId="13" fillId="3" borderId="10" xfId="0" applyFont="1" applyFill="1" applyBorder="1" applyAlignment="1">
      <alignment horizontal="center" wrapText="1"/>
    </xf>
    <xf numFmtId="0" fontId="13" fillId="3" borderId="58" xfId="0" applyFont="1" applyFill="1" applyBorder="1" applyAlignment="1">
      <alignment horizontal="center" wrapText="1"/>
    </xf>
    <xf numFmtId="0" fontId="13" fillId="3" borderId="37" xfId="0" applyFont="1" applyFill="1" applyBorder="1" applyAlignment="1">
      <alignment horizontal="center" wrapText="1"/>
    </xf>
    <xf numFmtId="0" fontId="13" fillId="3" borderId="38" xfId="0" applyFont="1" applyFill="1" applyBorder="1" applyAlignment="1">
      <alignment horizontal="center" wrapText="1"/>
    </xf>
    <xf numFmtId="0" fontId="13" fillId="3" borderId="44" xfId="0" applyFont="1" applyFill="1" applyBorder="1" applyAlignment="1">
      <alignment horizontal="center"/>
    </xf>
    <xf numFmtId="0" fontId="13" fillId="3" borderId="52" xfId="0" applyFont="1" applyFill="1" applyBorder="1" applyAlignment="1">
      <alignment horizontal="center"/>
    </xf>
    <xf numFmtId="0" fontId="13" fillId="3" borderId="58" xfId="0" applyFont="1" applyFill="1" applyBorder="1" applyAlignment="1">
      <alignment horizontal="center" vertical="center" wrapText="1"/>
    </xf>
    <xf numFmtId="0" fontId="13" fillId="3" borderId="28" xfId="0" applyFont="1" applyFill="1" applyBorder="1" applyAlignment="1">
      <alignment horizontal="center" vertical="center" wrapText="1"/>
    </xf>
    <xf numFmtId="165" fontId="13" fillId="3" borderId="11" xfId="1" applyNumberFormat="1" applyFont="1" applyFill="1" applyBorder="1" applyAlignment="1">
      <alignment horizontal="center" wrapText="1"/>
    </xf>
    <xf numFmtId="9" fontId="13" fillId="3" borderId="12" xfId="2" applyFont="1" applyFill="1" applyBorder="1" applyAlignment="1">
      <alignment horizontal="center" wrapText="1"/>
    </xf>
    <xf numFmtId="9" fontId="13" fillId="3" borderId="10" xfId="2" applyFont="1" applyFill="1" applyBorder="1" applyAlignment="1">
      <alignment horizontal="center" wrapText="1"/>
    </xf>
    <xf numFmtId="0" fontId="3" fillId="0" borderId="0" xfId="0" applyFont="1" applyAlignment="1">
      <alignment horizontal="left" vertical="center" wrapText="1"/>
    </xf>
    <xf numFmtId="0" fontId="14" fillId="4" borderId="16" xfId="0" applyFont="1" applyFill="1" applyBorder="1" applyAlignment="1">
      <alignment horizontal="center" vertical="center" wrapText="1"/>
    </xf>
    <xf numFmtId="0" fontId="14" fillId="4" borderId="19" xfId="0" applyFont="1" applyFill="1" applyBorder="1" applyAlignment="1">
      <alignment horizontal="center" vertical="center" wrapText="1"/>
    </xf>
    <xf numFmtId="173" fontId="3" fillId="0" borderId="51" xfId="1" applyNumberFormat="1" applyFont="1" applyBorder="1" applyAlignment="1">
      <alignment horizontal="center" vertical="center" wrapText="1"/>
    </xf>
    <xf numFmtId="173" fontId="3" fillId="0" borderId="67" xfId="1" applyNumberFormat="1" applyFont="1" applyBorder="1" applyAlignment="1">
      <alignment horizontal="center" vertical="center" wrapText="1"/>
    </xf>
    <xf numFmtId="173" fontId="3" fillId="0" borderId="32" xfId="1" applyNumberFormat="1" applyFont="1" applyBorder="1" applyAlignment="1">
      <alignment horizontal="center" vertical="center" wrapText="1"/>
    </xf>
    <xf numFmtId="165" fontId="0" fillId="0" borderId="15" xfId="1" applyNumberFormat="1" applyFont="1" applyBorder="1" applyAlignment="1">
      <alignment horizontal="center" vertical="center"/>
    </xf>
    <xf numFmtId="0" fontId="13" fillId="3" borderId="1" xfId="0" applyFont="1" applyFill="1" applyBorder="1" applyAlignment="1">
      <alignment horizontal="center" wrapText="1"/>
    </xf>
    <xf numFmtId="0" fontId="13" fillId="3" borderId="64" xfId="0" applyFont="1" applyFill="1" applyBorder="1" applyAlignment="1">
      <alignment horizontal="center" wrapText="1"/>
    </xf>
    <xf numFmtId="0" fontId="13" fillId="3" borderId="44" xfId="0" applyFont="1" applyFill="1" applyBorder="1" applyAlignment="1">
      <alignment horizontal="center" wrapText="1"/>
    </xf>
    <xf numFmtId="0" fontId="13" fillId="3" borderId="63" xfId="0" applyFont="1" applyFill="1" applyBorder="1" applyAlignment="1">
      <alignment horizontal="center" wrapText="1"/>
    </xf>
    <xf numFmtId="0" fontId="14" fillId="4" borderId="53" xfId="0" applyFont="1" applyFill="1" applyBorder="1" applyAlignment="1">
      <alignment horizontal="center" vertical="center" wrapText="1"/>
    </xf>
    <xf numFmtId="0" fontId="14" fillId="4" borderId="56" xfId="0" applyFont="1" applyFill="1" applyBorder="1" applyAlignment="1">
      <alignment horizontal="center" vertical="center" wrapText="1"/>
    </xf>
    <xf numFmtId="0" fontId="14" fillId="4" borderId="57" xfId="0" applyFont="1" applyFill="1" applyBorder="1" applyAlignment="1">
      <alignment horizontal="center" vertical="center" wrapText="1"/>
    </xf>
    <xf numFmtId="2" fontId="0" fillId="0" borderId="59" xfId="1" applyNumberFormat="1" applyFont="1" applyBorder="1" applyAlignment="1">
      <alignment horizontal="center"/>
    </xf>
    <xf numFmtId="2" fontId="0" fillId="0" borderId="40" xfId="1" applyNumberFormat="1" applyFont="1" applyBorder="1" applyAlignment="1">
      <alignment horizontal="center"/>
    </xf>
    <xf numFmtId="2" fontId="0" fillId="0" borderId="41" xfId="1" applyNumberFormat="1" applyFont="1" applyBorder="1" applyAlignment="1">
      <alignment horizontal="center"/>
    </xf>
  </cellXfs>
  <cellStyles count="22">
    <cellStyle name="Date" xfId="16" xr:uid="{C45C2C29-B84C-40D1-95DD-FA2F5EC62C83}"/>
    <cellStyle name="Lien hypertexte" xfId="4" builtinId="8"/>
    <cellStyle name="Lien hypertexte 2" xfId="12" xr:uid="{869675DC-A90B-4CD2-AA9F-71D730C7B35F}"/>
    <cellStyle name="Milliers" xfId="1" builtinId="3"/>
    <cellStyle name="Milliers 2" xfId="18" xr:uid="{43B1F0B0-4FB5-4534-941D-FFD12B9B5CBF}"/>
    <cellStyle name="Name" xfId="13" xr:uid="{B423C5F5-F310-4211-A64B-BFEA0C171808}"/>
    <cellStyle name="Normal" xfId="0" builtinId="0"/>
    <cellStyle name="Normal 2" xfId="3" xr:uid="{D1E7CC48-09B6-4485-92F0-E6E056912480}"/>
    <cellStyle name="Normal 3" xfId="7" xr:uid="{E9E20614-6347-41B9-9349-9C04BE178C07}"/>
    <cellStyle name="Normal 4" xfId="17" xr:uid="{032AB1BF-E1F3-4A9D-A153-A3A3717CAEA6}"/>
    <cellStyle name="Normal 5" xfId="20" xr:uid="{8E74CB59-F073-4ED5-89A6-F229DF61C1BE}"/>
    <cellStyle name="Normal 6" xfId="21" xr:uid="{A1488F7A-7FF4-4B26-9427-9E330402F93E}"/>
    <cellStyle name="Pourcentage" xfId="2" builtinId="5"/>
    <cellStyle name="Pourcentage 2" xfId="14" xr:uid="{737A93C6-61C2-41EC-A62F-D8E93CB65DA1}"/>
    <cellStyle name="Pourcentage 3" xfId="19" xr:uid="{D5036051-BA65-45D0-9617-1CF4EF1B6B36}"/>
    <cellStyle name="Project Start" xfId="9" xr:uid="{E5C909F5-75C2-484E-8269-036CC1181E1A}"/>
    <cellStyle name="Task" xfId="15" xr:uid="{0DDE991B-C4EF-49E4-8091-409F1049198E}"/>
    <cellStyle name="Titre 2" xfId="6" xr:uid="{4D10FE4F-8B58-4206-8E6B-5CC21A1078E3}"/>
    <cellStyle name="Titre 1 2" xfId="10" xr:uid="{C54D88A8-C937-4B68-9027-BF0A2FFA708A}"/>
    <cellStyle name="Titre 2 2" xfId="11" xr:uid="{00C63016-C0B7-4D90-8051-DCD9FEB1C647}"/>
    <cellStyle name="Titre 3 2" xfId="8" xr:uid="{35DFD304-15D5-4B2D-BCB1-873246429A66}"/>
    <cellStyle name="zHiddenText" xfId="5" xr:uid="{D6C4E459-BE58-42C2-B96F-AB74F7DBE680}"/>
  </cellStyles>
  <dxfs count="42">
    <dxf>
      <fill>
        <patternFill patternType="solid">
          <fgColor theme="0"/>
          <bgColor theme="0"/>
        </patternFill>
      </fill>
    </dxf>
    <dxf>
      <fill>
        <patternFill patternType="solid">
          <fgColor theme="0"/>
          <bgColor theme="0"/>
        </patternFill>
      </fill>
    </dxf>
    <dxf>
      <fill>
        <patternFill patternType="solid">
          <fgColor theme="0"/>
          <bgColor theme="0"/>
        </patternFill>
      </fill>
    </dxf>
    <dxf>
      <fill>
        <patternFill patternType="solid">
          <fgColor theme="0"/>
          <bgColor theme="0"/>
        </patternFill>
      </fill>
    </dxf>
    <dxf>
      <fill>
        <patternFill patternType="solid">
          <fgColor theme="0"/>
          <bgColor theme="0"/>
        </patternFill>
      </fill>
    </dxf>
    <dxf>
      <fill>
        <patternFill patternType="solid">
          <fgColor theme="0"/>
          <bgColor theme="0"/>
        </patternFill>
      </fill>
    </dxf>
    <dxf>
      <fill>
        <patternFill patternType="solid">
          <fgColor theme="0"/>
          <bgColor theme="0"/>
        </patternFill>
      </fill>
    </dxf>
    <dxf>
      <fill>
        <patternFill patternType="solid">
          <fgColor theme="0"/>
          <bgColor theme="0"/>
        </patternFill>
      </fill>
    </dxf>
    <dxf>
      <fill>
        <patternFill patternType="solid">
          <fgColor theme="0"/>
          <bgColor theme="0"/>
        </patternFill>
      </fill>
    </dxf>
    <dxf>
      <fill>
        <patternFill patternType="solid">
          <fgColor theme="0"/>
          <bgColor theme="0"/>
        </patternFill>
      </fill>
    </dxf>
    <dxf>
      <fill>
        <patternFill patternType="solid">
          <fgColor theme="0"/>
          <bgColor theme="0"/>
        </patternFill>
      </fill>
    </dxf>
    <dxf>
      <fill>
        <patternFill patternType="solid">
          <fgColor theme="0"/>
          <bgColor theme="0"/>
        </patternFill>
      </fill>
    </dxf>
    <dxf>
      <fill>
        <patternFill patternType="solid">
          <fgColor theme="0"/>
          <bgColor theme="0"/>
        </patternFill>
      </fill>
    </dxf>
    <dxf>
      <fill>
        <patternFill patternType="solid">
          <fgColor theme="0"/>
          <bgColor theme="0"/>
        </patternFill>
      </fill>
    </dxf>
    <dxf>
      <fill>
        <patternFill patternType="solid">
          <fgColor theme="0"/>
          <bgColor theme="0"/>
        </patternFill>
      </fill>
    </dxf>
    <dxf>
      <fill>
        <patternFill patternType="solid">
          <fgColor theme="0"/>
          <bgColor theme="0"/>
        </patternFill>
      </fill>
    </dxf>
    <dxf>
      <fill>
        <patternFill patternType="solid">
          <fgColor theme="0"/>
          <bgColor theme="0"/>
        </patternFill>
      </fill>
    </dxf>
    <dxf>
      <fill>
        <patternFill patternType="solid">
          <fgColor theme="0"/>
          <bgColor theme="0"/>
        </patternFill>
      </fill>
    </dxf>
    <dxf>
      <fill>
        <patternFill patternType="solid">
          <fgColor theme="0"/>
          <bgColor theme="0"/>
        </patternFill>
      </fill>
    </dxf>
    <dxf>
      <fill>
        <patternFill patternType="solid">
          <fgColor theme="0"/>
          <bgColor theme="0"/>
        </patternFill>
      </fill>
    </dxf>
    <dxf>
      <fill>
        <patternFill patternType="solid">
          <fgColor theme="0"/>
          <bgColor theme="0"/>
        </patternFill>
      </fill>
    </dxf>
    <dxf>
      <fill>
        <patternFill patternType="solid">
          <fgColor theme="0"/>
          <bgColor theme="0"/>
        </patternFill>
      </fill>
    </dxf>
    <dxf>
      <fill>
        <patternFill patternType="solid">
          <fgColor theme="0"/>
          <bgColor theme="0"/>
        </patternFill>
      </fill>
    </dxf>
    <dxf>
      <font>
        <color rgb="FF00B050"/>
      </font>
      <fill>
        <patternFill>
          <bgColor rgb="FF00B050"/>
        </patternFill>
      </fill>
    </dxf>
    <dxf>
      <font>
        <color rgb="FFFF0000"/>
      </font>
      <fill>
        <patternFill>
          <bgColor rgb="FFFF0000"/>
        </patternFill>
      </fill>
    </dxf>
    <dxf>
      <font>
        <color rgb="FFFFFF00"/>
      </font>
      <fill>
        <patternFill>
          <bgColor rgb="FFFFFF00"/>
        </patternFill>
      </fill>
    </dxf>
    <dxf>
      <font>
        <color rgb="FF00B050"/>
      </font>
      <fill>
        <patternFill>
          <bgColor rgb="FF00B050"/>
        </patternFill>
      </fill>
    </dxf>
    <dxf>
      <font>
        <color rgb="FFFF0000"/>
      </font>
      <fill>
        <patternFill>
          <bgColor rgb="FFFF0000"/>
        </patternFill>
      </fill>
    </dxf>
    <dxf>
      <font>
        <color rgb="FFFFFF00"/>
      </font>
      <fill>
        <patternFill>
          <bgColor rgb="FFFFFF00"/>
        </patternFill>
      </fill>
    </dxf>
    <dxf>
      <font>
        <color rgb="FF00B050"/>
      </font>
      <fill>
        <patternFill>
          <bgColor rgb="FF00B050"/>
        </patternFill>
      </fill>
    </dxf>
    <dxf>
      <font>
        <color rgb="FFFF0000"/>
      </font>
      <fill>
        <patternFill>
          <bgColor rgb="FFFF0000"/>
        </patternFill>
      </fill>
    </dxf>
    <dxf>
      <font>
        <color rgb="FFFFFF00"/>
      </font>
      <fill>
        <patternFill>
          <bgColor rgb="FFFFFF00"/>
        </patternFill>
      </fill>
    </dxf>
    <dxf>
      <font>
        <color rgb="FF00B050"/>
      </font>
      <fill>
        <patternFill>
          <bgColor rgb="FF00B050"/>
        </patternFill>
      </fill>
    </dxf>
    <dxf>
      <font>
        <color rgb="FFFF0000"/>
      </font>
      <fill>
        <patternFill>
          <bgColor rgb="FFFF0000"/>
        </patternFill>
      </fill>
    </dxf>
    <dxf>
      <font>
        <color rgb="FFFFFF00"/>
      </font>
      <fill>
        <patternFill>
          <bgColor rgb="FFFFFF00"/>
        </patternFill>
      </fill>
    </dxf>
    <dxf>
      <font>
        <color rgb="FF00B050"/>
      </font>
      <fill>
        <patternFill>
          <bgColor rgb="FF00B050"/>
        </patternFill>
      </fill>
    </dxf>
    <dxf>
      <font>
        <color rgb="FFFF0000"/>
      </font>
      <fill>
        <patternFill>
          <bgColor rgb="FFFF0000"/>
        </patternFill>
      </fill>
    </dxf>
    <dxf>
      <font>
        <color rgb="FFFFFF00"/>
      </font>
      <fill>
        <patternFill>
          <bgColor rgb="FFFFFF00"/>
        </patternFill>
      </fill>
    </dxf>
    <dxf>
      <fill>
        <patternFill patternType="solid">
          <fgColor theme="0"/>
          <bgColor theme="0"/>
        </patternFill>
      </fill>
    </dxf>
    <dxf>
      <fill>
        <patternFill patternType="solid">
          <fgColor theme="0"/>
          <bgColor theme="0"/>
        </patternFill>
      </fill>
    </dxf>
    <dxf>
      <fill>
        <patternFill patternType="solid">
          <fgColor theme="0"/>
          <bgColor theme="0"/>
        </patternFill>
      </fill>
    </dxf>
    <dxf>
      <fill>
        <patternFill patternType="solid">
          <fgColor theme="0"/>
          <bgColor theme="0"/>
        </patternFill>
      </fill>
    </dxf>
  </dxfs>
  <tableStyles count="0" defaultTableStyle="TableStyleMedium2" defaultPivotStyle="PivotStyleLight16"/>
  <colors>
    <mruColors>
      <color rgb="FF000000"/>
      <color rgb="FFDDF0C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38"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37"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1.xml"/><Relationship Id="rId36"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onnections" Target="connection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 Id="rId35"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1.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2.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3.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4.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5.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6.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17.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18.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19.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1.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2.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3.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4.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5.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6.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27.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28.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29.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1.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2.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3.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4.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5.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6.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37.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38.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39.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40.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1.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2.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3.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4.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45.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46.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47.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48.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49.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5.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50.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51.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52.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53.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54.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55.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56.xml.rels><?xml version="1.0" encoding="UTF-8" standalone="yes"?>
<Relationships xmlns="http://schemas.openxmlformats.org/package/2006/relationships"><Relationship Id="rId2" Type="http://schemas.microsoft.com/office/2011/relationships/chartColorStyle" Target="colors59.xml"/><Relationship Id="rId1" Type="http://schemas.microsoft.com/office/2011/relationships/chartStyle" Target="style59.xml"/></Relationships>
</file>

<file path=xl/charts/_rels/chart57.xml.rels><?xml version="1.0" encoding="UTF-8" standalone="yes"?>
<Relationships xmlns="http://schemas.openxmlformats.org/package/2006/relationships"><Relationship Id="rId2" Type="http://schemas.microsoft.com/office/2011/relationships/chartColorStyle" Target="colors60.xml"/><Relationship Id="rId1" Type="http://schemas.microsoft.com/office/2011/relationships/chartStyle" Target="style60.xml"/></Relationships>
</file>

<file path=xl/charts/_rels/chart58.xml.rels><?xml version="1.0" encoding="UTF-8" standalone="yes"?>
<Relationships xmlns="http://schemas.openxmlformats.org/package/2006/relationships"><Relationship Id="rId2" Type="http://schemas.microsoft.com/office/2011/relationships/chartColorStyle" Target="colors61.xml"/><Relationship Id="rId1" Type="http://schemas.microsoft.com/office/2011/relationships/chartStyle" Target="style61.xml"/></Relationships>
</file>

<file path=xl/charts/_rels/chart59.xml.rels><?xml version="1.0" encoding="UTF-8" standalone="yes"?>
<Relationships xmlns="http://schemas.openxmlformats.org/package/2006/relationships"><Relationship Id="rId2" Type="http://schemas.microsoft.com/office/2011/relationships/chartColorStyle" Target="colors63.xml"/><Relationship Id="rId1" Type="http://schemas.microsoft.com/office/2011/relationships/chartStyle" Target="style63.xml"/></Relationships>
</file>

<file path=xl/charts/_rels/chart6.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60.xml.rels><?xml version="1.0" encoding="UTF-8" standalone="yes"?>
<Relationships xmlns="http://schemas.openxmlformats.org/package/2006/relationships"><Relationship Id="rId2" Type="http://schemas.microsoft.com/office/2011/relationships/chartColorStyle" Target="colors64.xml"/><Relationship Id="rId1" Type="http://schemas.microsoft.com/office/2011/relationships/chartStyle" Target="style64.xml"/></Relationships>
</file>

<file path=xl/charts/_rels/chart61.xml.rels><?xml version="1.0" encoding="UTF-8" standalone="yes"?>
<Relationships xmlns="http://schemas.openxmlformats.org/package/2006/relationships"><Relationship Id="rId2" Type="http://schemas.microsoft.com/office/2011/relationships/chartColorStyle" Target="colors65.xml"/><Relationship Id="rId1" Type="http://schemas.microsoft.com/office/2011/relationships/chartStyle" Target="style65.xml"/></Relationships>
</file>

<file path=xl/charts/_rels/chart62.xml.rels><?xml version="1.0" encoding="UTF-8" standalone="yes"?>
<Relationships xmlns="http://schemas.openxmlformats.org/package/2006/relationships"><Relationship Id="rId2" Type="http://schemas.microsoft.com/office/2011/relationships/chartColorStyle" Target="colors66.xml"/><Relationship Id="rId1" Type="http://schemas.microsoft.com/office/2011/relationships/chartStyle" Target="style66.xml"/></Relationships>
</file>

<file path=xl/charts/_rels/chart63.xml.rels><?xml version="1.0" encoding="UTF-8" standalone="yes"?>
<Relationships xmlns="http://schemas.openxmlformats.org/package/2006/relationships"><Relationship Id="rId2" Type="http://schemas.microsoft.com/office/2011/relationships/chartColorStyle" Target="colors67.xml"/><Relationship Id="rId1" Type="http://schemas.microsoft.com/office/2011/relationships/chartStyle" Target="style67.xml"/></Relationships>
</file>

<file path=xl/charts/_rels/chart64.xml.rels><?xml version="1.0" encoding="UTF-8" standalone="yes"?>
<Relationships xmlns="http://schemas.openxmlformats.org/package/2006/relationships"><Relationship Id="rId2" Type="http://schemas.microsoft.com/office/2011/relationships/chartColorStyle" Target="colors68.xml"/><Relationship Id="rId1" Type="http://schemas.microsoft.com/office/2011/relationships/chartStyle" Target="style68.xml"/></Relationships>
</file>

<file path=xl/charts/_rels/chart65.xml.rels><?xml version="1.0" encoding="UTF-8" standalone="yes"?>
<Relationships xmlns="http://schemas.openxmlformats.org/package/2006/relationships"><Relationship Id="rId2" Type="http://schemas.microsoft.com/office/2011/relationships/chartColorStyle" Target="colors69.xml"/><Relationship Id="rId1" Type="http://schemas.microsoft.com/office/2011/relationships/chartStyle" Target="style69.xml"/></Relationships>
</file>

<file path=xl/charts/_rels/chart66.xml.rels><?xml version="1.0" encoding="UTF-8" standalone="yes"?>
<Relationships xmlns="http://schemas.openxmlformats.org/package/2006/relationships"><Relationship Id="rId2" Type="http://schemas.microsoft.com/office/2011/relationships/chartColorStyle" Target="colors70.xml"/><Relationship Id="rId1" Type="http://schemas.microsoft.com/office/2011/relationships/chartStyle" Target="style70.xml"/></Relationships>
</file>

<file path=xl/charts/_rels/chart67.xml.rels><?xml version="1.0" encoding="UTF-8" standalone="yes"?>
<Relationships xmlns="http://schemas.openxmlformats.org/package/2006/relationships"><Relationship Id="rId2" Type="http://schemas.microsoft.com/office/2011/relationships/chartColorStyle" Target="colors71.xml"/><Relationship Id="rId1" Type="http://schemas.microsoft.com/office/2011/relationships/chartStyle" Target="style71.xml"/></Relationships>
</file>

<file path=xl/charts/_rels/chart68.xml.rels><?xml version="1.0" encoding="UTF-8" standalone="yes"?>
<Relationships xmlns="http://schemas.openxmlformats.org/package/2006/relationships"><Relationship Id="rId2" Type="http://schemas.microsoft.com/office/2011/relationships/chartColorStyle" Target="colors72.xml"/><Relationship Id="rId1" Type="http://schemas.microsoft.com/office/2011/relationships/chartStyle" Target="style72.xml"/></Relationships>
</file>

<file path=xl/charts/_rels/chart69.xml.rels><?xml version="1.0" encoding="UTF-8" standalone="yes"?>
<Relationships xmlns="http://schemas.openxmlformats.org/package/2006/relationships"><Relationship Id="rId2" Type="http://schemas.microsoft.com/office/2011/relationships/chartColorStyle" Target="colors73.xml"/><Relationship Id="rId1" Type="http://schemas.microsoft.com/office/2011/relationships/chartStyle" Target="style73.xml"/></Relationships>
</file>

<file path=xl/charts/_rels/chart7.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70.xml.rels><?xml version="1.0" encoding="UTF-8" standalone="yes"?>
<Relationships xmlns="http://schemas.openxmlformats.org/package/2006/relationships"><Relationship Id="rId2" Type="http://schemas.microsoft.com/office/2011/relationships/chartColorStyle" Target="colors74.xml"/><Relationship Id="rId1" Type="http://schemas.microsoft.com/office/2011/relationships/chartStyle" Target="style74.xml"/></Relationships>
</file>

<file path=xl/charts/_rels/chart71.xml.rels><?xml version="1.0" encoding="UTF-8" standalone="yes"?>
<Relationships xmlns="http://schemas.openxmlformats.org/package/2006/relationships"><Relationship Id="rId2" Type="http://schemas.microsoft.com/office/2011/relationships/chartColorStyle" Target="colors75.xml"/><Relationship Id="rId1" Type="http://schemas.microsoft.com/office/2011/relationships/chartStyle" Target="style75.xml"/></Relationships>
</file>

<file path=xl/charts/_rels/chart72.xml.rels><?xml version="1.0" encoding="UTF-8" standalone="yes"?>
<Relationships xmlns="http://schemas.openxmlformats.org/package/2006/relationships"><Relationship Id="rId2" Type="http://schemas.microsoft.com/office/2011/relationships/chartColorStyle" Target="colors76.xml"/><Relationship Id="rId1" Type="http://schemas.microsoft.com/office/2011/relationships/chartStyle" Target="style76.xml"/></Relationships>
</file>

<file path=xl/charts/_rels/chart73.xml.rels><?xml version="1.0" encoding="UTF-8" standalone="yes"?>
<Relationships xmlns="http://schemas.openxmlformats.org/package/2006/relationships"><Relationship Id="rId2" Type="http://schemas.microsoft.com/office/2011/relationships/chartColorStyle" Target="colors77.xml"/><Relationship Id="rId1" Type="http://schemas.microsoft.com/office/2011/relationships/chartStyle" Target="style77.xml"/></Relationships>
</file>

<file path=xl/charts/_rels/chart74.xml.rels><?xml version="1.0" encoding="UTF-8" standalone="yes"?>
<Relationships xmlns="http://schemas.openxmlformats.org/package/2006/relationships"><Relationship Id="rId2" Type="http://schemas.microsoft.com/office/2011/relationships/chartColorStyle" Target="colors78.xml"/><Relationship Id="rId1" Type="http://schemas.microsoft.com/office/2011/relationships/chartStyle" Target="style78.xml"/></Relationships>
</file>

<file path=xl/charts/_rels/chart75.xml.rels><?xml version="1.0" encoding="UTF-8" standalone="yes"?>
<Relationships xmlns="http://schemas.openxmlformats.org/package/2006/relationships"><Relationship Id="rId2" Type="http://schemas.microsoft.com/office/2011/relationships/chartColorStyle" Target="colors79.xml"/><Relationship Id="rId1" Type="http://schemas.microsoft.com/office/2011/relationships/chartStyle" Target="style79.xml"/></Relationships>
</file>

<file path=xl/charts/_rels/chart76.xml.rels><?xml version="1.0" encoding="UTF-8" standalone="yes"?>
<Relationships xmlns="http://schemas.openxmlformats.org/package/2006/relationships"><Relationship Id="rId2" Type="http://schemas.microsoft.com/office/2011/relationships/chartColorStyle" Target="colors80.xml"/><Relationship Id="rId1" Type="http://schemas.microsoft.com/office/2011/relationships/chartStyle" Target="style80.xml"/></Relationships>
</file>

<file path=xl/charts/_rels/chart77.xml.rels><?xml version="1.0" encoding="UTF-8" standalone="yes"?>
<Relationships xmlns="http://schemas.openxmlformats.org/package/2006/relationships"><Relationship Id="rId3" Type="http://schemas.openxmlformats.org/officeDocument/2006/relationships/chartUserShapes" Target="../drawings/drawing21.xml"/><Relationship Id="rId2" Type="http://schemas.microsoft.com/office/2011/relationships/chartColorStyle" Target="colors81.xml"/><Relationship Id="rId1" Type="http://schemas.microsoft.com/office/2011/relationships/chartStyle" Target="style81.xml"/></Relationships>
</file>

<file path=xl/charts/_rels/chart78.xml.rels><?xml version="1.0" encoding="UTF-8" standalone="yes"?>
<Relationships xmlns="http://schemas.openxmlformats.org/package/2006/relationships"><Relationship Id="rId2" Type="http://schemas.microsoft.com/office/2011/relationships/chartColorStyle" Target="colors82.xml"/><Relationship Id="rId1" Type="http://schemas.microsoft.com/office/2011/relationships/chartStyle" Target="style82.xml"/></Relationships>
</file>

<file path=xl/charts/_rels/chart79.xml.rels><?xml version="1.0" encoding="UTF-8" standalone="yes"?>
<Relationships xmlns="http://schemas.openxmlformats.org/package/2006/relationships"><Relationship Id="rId2" Type="http://schemas.microsoft.com/office/2011/relationships/chartColorStyle" Target="colors83.xml"/><Relationship Id="rId1" Type="http://schemas.microsoft.com/office/2011/relationships/chartStyle" Target="style83.xml"/></Relationships>
</file>

<file path=xl/charts/_rels/chart8.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80.xml.rels><?xml version="1.0" encoding="UTF-8" standalone="yes"?>
<Relationships xmlns="http://schemas.openxmlformats.org/package/2006/relationships"><Relationship Id="rId2" Type="http://schemas.microsoft.com/office/2011/relationships/chartColorStyle" Target="colors85.xml"/><Relationship Id="rId1" Type="http://schemas.microsoft.com/office/2011/relationships/chartStyle" Target="style85.xml"/></Relationships>
</file>

<file path=xl/charts/_rels/chart81.xml.rels><?xml version="1.0" encoding="UTF-8" standalone="yes"?>
<Relationships xmlns="http://schemas.openxmlformats.org/package/2006/relationships"><Relationship Id="rId2" Type="http://schemas.microsoft.com/office/2011/relationships/chartColorStyle" Target="colors86.xml"/><Relationship Id="rId1" Type="http://schemas.microsoft.com/office/2011/relationships/chartStyle" Target="style86.xml"/></Relationships>
</file>

<file path=xl/charts/_rels/chart82.xml.rels><?xml version="1.0" encoding="UTF-8" standalone="yes"?>
<Relationships xmlns="http://schemas.openxmlformats.org/package/2006/relationships"><Relationship Id="rId2" Type="http://schemas.microsoft.com/office/2011/relationships/chartColorStyle" Target="colors87.xml"/><Relationship Id="rId1" Type="http://schemas.microsoft.com/office/2011/relationships/chartStyle" Target="style87.xml"/></Relationships>
</file>

<file path=xl/charts/_rels/chart9.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Ex1.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Ex2.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Ex3.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Ex4.xml.rels><?xml version="1.0" encoding="UTF-8" standalone="yes"?>
<Relationships xmlns="http://schemas.openxmlformats.org/package/2006/relationships"><Relationship Id="rId2" Type="http://schemas.microsoft.com/office/2011/relationships/chartColorStyle" Target="colors62.xml"/><Relationship Id="rId1" Type="http://schemas.microsoft.com/office/2011/relationships/chartStyle" Target="style62.xml"/></Relationships>
</file>

<file path=xl/charts/_rels/chartEx5.xml.rels><?xml version="1.0" encoding="UTF-8" standalone="yes"?>
<Relationships xmlns="http://schemas.openxmlformats.org/package/2006/relationships"><Relationship Id="rId2" Type="http://schemas.microsoft.com/office/2011/relationships/chartColorStyle" Target="colors84.xml"/><Relationship Id="rId1" Type="http://schemas.microsoft.com/office/2011/relationships/chartStyle" Target="style8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2"/>
                </a:solidFill>
                <a:latin typeface="+mn-lt"/>
                <a:ea typeface="+mn-ea"/>
                <a:cs typeface="+mn-cs"/>
              </a:defRPr>
            </a:pPr>
            <a:r>
              <a:rPr lang="en-GB" b="1">
                <a:solidFill>
                  <a:schemeClr val="tx2"/>
                </a:solidFill>
              </a:rPr>
              <a:t>Répartition des émissions calculées</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2"/>
              </a:solidFill>
              <a:latin typeface="+mn-lt"/>
              <a:ea typeface="+mn-ea"/>
              <a:cs typeface="+mn-cs"/>
            </a:defRPr>
          </a:pPr>
          <a:endParaRPr lang="en-US"/>
        </a:p>
      </c:txPr>
    </c:title>
    <c:autoTitleDeleted val="0"/>
    <c:plotArea>
      <c:layout>
        <c:manualLayout>
          <c:layoutTarget val="inner"/>
          <c:xMode val="edge"/>
          <c:yMode val="edge"/>
          <c:x val="0.3474940292561009"/>
          <c:y val="0.19070207143978593"/>
          <c:w val="0.32601451590186648"/>
          <c:h val="0.69572223164949221"/>
        </c:manualLayout>
      </c:layout>
      <c:doughnutChart>
        <c:varyColors val="1"/>
        <c:ser>
          <c:idx val="0"/>
          <c:order val="0"/>
          <c:dLbls>
            <c:spPr>
              <a:noFill/>
              <a:ln>
                <a:noFill/>
              </a:ln>
              <a:effectLst/>
            </c:spPr>
            <c:txPr>
              <a:bodyPr rot="0" spcFirstLastPara="1" vertOverflow="overflow" horzOverflow="overflow" vert="horz" wrap="square" lIns="38100" tIns="19050" rIns="38100" bIns="19050" anchor="ctr" anchorCtr="1">
                <a:spAutoFit/>
              </a:bodyPr>
              <a:lstStyle/>
              <a:p>
                <a:pPr>
                  <a:defRPr sz="900" b="1" i="0" u="none" strike="noStrike" kern="1200" baseline="0">
                    <a:solidFill>
                      <a:schemeClr val="accent1"/>
                    </a:solidFill>
                    <a:latin typeface="+mn-lt"/>
                    <a:ea typeface="+mn-ea"/>
                    <a:cs typeface="+mn-cs"/>
                  </a:defRPr>
                </a:pPr>
                <a:endParaRPr lang="en-US"/>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multiLvlStrRef>
              <c:f>'Résultats généraux'!$B$45:$B$59</c:f>
            </c:multiLvlStrRef>
          </c:cat>
          <c:val>
            <c:numRef>
              <c:f>'Résultats généraux'!$C$45:$C$59</c:f>
            </c:numRef>
          </c:val>
          <c:extLst>
            <c:ext xmlns:c16="http://schemas.microsoft.com/office/drawing/2014/chart" uri="{C3380CC4-5D6E-409C-BE32-E72D297353CC}">
              <c16:uniqueId val="{00000000-D065-4E9F-BF7F-055DB5BEF8D9}"/>
            </c:ext>
          </c:extLst>
        </c:ser>
        <c:dLbls>
          <c:showLegendKey val="0"/>
          <c:showVal val="0"/>
          <c:showCatName val="1"/>
          <c:showSerName val="0"/>
          <c:showPercent val="1"/>
          <c:showBubbleSize val="0"/>
          <c:showLeaderLines val="1"/>
        </c:dLbls>
        <c:firstSliceAng val="0"/>
        <c:holeSize val="50"/>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sz="1800" b="1">
                <a:solidFill>
                  <a:schemeClr val="accent1"/>
                </a:solidFill>
              </a:rPr>
              <a:t>Empreinte carbone par kg de produit</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EPI!$B$12</c:f>
              <c:strCache>
                <c:ptCount val="1"/>
                <c:pt idx="0">
                  <c:v> Matières premières </c:v>
                </c:pt>
              </c:strCache>
            </c:strRef>
          </c:tx>
          <c:spPr>
            <a:solidFill>
              <a:schemeClr val="accent1"/>
            </a:solidFill>
            <a:ln>
              <a:noFill/>
            </a:ln>
            <a:effectLst/>
          </c:spPr>
          <c:invertIfNegative val="0"/>
          <c:val>
            <c:numRef>
              <c:f>EPI!$C$12:$K$12</c:f>
            </c:numRef>
          </c:val>
          <c:extLst>
            <c:ext xmlns:c15="http://schemas.microsoft.com/office/drawing/2012/chart" uri="{02D57815-91ED-43cb-92C2-25804820EDAC}">
              <c15:filteredCategoryTitle>
                <c15:cat>
                  <c:multiLvlStrRef>
                    <c:extLst>
                      <c:ext uri="{02D57815-91ED-43cb-92C2-25804820EDAC}">
                        <c15:formulaRef>
                          <c15:sqref>EPI!$C$11:$K$11</c15:sqref>
                        </c15:formulaRef>
                      </c:ext>
                    </c:extLst>
                  </c:multiLvlStrRef>
                </c15:cat>
              </c15:filteredCategoryTitle>
            </c:ext>
            <c:ext xmlns:c16="http://schemas.microsoft.com/office/drawing/2014/chart" uri="{C3380CC4-5D6E-409C-BE32-E72D297353CC}">
              <c16:uniqueId val="{00000000-1F05-4E75-8F87-6D4897BD2EEC}"/>
            </c:ext>
          </c:extLst>
        </c:ser>
        <c:ser>
          <c:idx val="1"/>
          <c:order val="1"/>
          <c:tx>
            <c:strRef>
              <c:f>EPI!$B$13</c:f>
              <c:strCache>
                <c:ptCount val="1"/>
                <c:pt idx="0">
                  <c:v> Production </c:v>
                </c:pt>
              </c:strCache>
            </c:strRef>
          </c:tx>
          <c:spPr>
            <a:solidFill>
              <a:schemeClr val="accent2"/>
            </a:solidFill>
            <a:ln>
              <a:noFill/>
            </a:ln>
            <a:effectLst/>
          </c:spPr>
          <c:invertIfNegative val="0"/>
          <c:val>
            <c:numRef>
              <c:f>EPI!$C$13:$K$13</c:f>
            </c:numRef>
          </c:val>
          <c:extLst>
            <c:ext xmlns:c15="http://schemas.microsoft.com/office/drawing/2012/chart" uri="{02D57815-91ED-43cb-92C2-25804820EDAC}">
              <c15:filteredCategoryTitle>
                <c15:cat>
                  <c:multiLvlStrRef>
                    <c:extLst>
                      <c:ext uri="{02D57815-91ED-43cb-92C2-25804820EDAC}">
                        <c15:formulaRef>
                          <c15:sqref>EPI!$C$11:$K$11</c15:sqref>
                        </c15:formulaRef>
                      </c:ext>
                    </c:extLst>
                  </c:multiLvlStrRef>
                </c15:cat>
              </c15:filteredCategoryTitle>
            </c:ext>
            <c:ext xmlns:c16="http://schemas.microsoft.com/office/drawing/2014/chart" uri="{C3380CC4-5D6E-409C-BE32-E72D297353CC}">
              <c16:uniqueId val="{00000001-1F05-4E75-8F87-6D4897BD2EEC}"/>
            </c:ext>
          </c:extLst>
        </c:ser>
        <c:ser>
          <c:idx val="2"/>
          <c:order val="2"/>
          <c:tx>
            <c:strRef>
              <c:f>EPI!$B$14</c:f>
              <c:strCache>
                <c:ptCount val="1"/>
                <c:pt idx="0">
                  <c:v> Emballages </c:v>
                </c:pt>
              </c:strCache>
            </c:strRef>
          </c:tx>
          <c:spPr>
            <a:solidFill>
              <a:schemeClr val="accent3"/>
            </a:solidFill>
            <a:ln>
              <a:noFill/>
            </a:ln>
            <a:effectLst/>
          </c:spPr>
          <c:invertIfNegative val="0"/>
          <c:val>
            <c:numRef>
              <c:f>EPI!$C$14:$K$14</c:f>
            </c:numRef>
          </c:val>
          <c:extLst>
            <c:ext xmlns:c15="http://schemas.microsoft.com/office/drawing/2012/chart" uri="{02D57815-91ED-43cb-92C2-25804820EDAC}">
              <c15:filteredCategoryTitle>
                <c15:cat>
                  <c:multiLvlStrRef>
                    <c:extLst>
                      <c:ext uri="{02D57815-91ED-43cb-92C2-25804820EDAC}">
                        <c15:formulaRef>
                          <c15:sqref>EPI!$C$11:$K$11</c15:sqref>
                        </c15:formulaRef>
                      </c:ext>
                    </c:extLst>
                  </c:multiLvlStrRef>
                </c15:cat>
              </c15:filteredCategoryTitle>
            </c:ext>
            <c:ext xmlns:c16="http://schemas.microsoft.com/office/drawing/2014/chart" uri="{C3380CC4-5D6E-409C-BE32-E72D297353CC}">
              <c16:uniqueId val="{00000002-1F05-4E75-8F87-6D4897BD2EEC}"/>
            </c:ext>
          </c:extLst>
        </c:ser>
        <c:ser>
          <c:idx val="3"/>
          <c:order val="3"/>
          <c:tx>
            <c:strRef>
              <c:f>EPI!$B$15</c:f>
              <c:strCache>
                <c:ptCount val="1"/>
                <c:pt idx="0">
                  <c:v> Stérilisation </c:v>
                </c:pt>
              </c:strCache>
            </c:strRef>
          </c:tx>
          <c:spPr>
            <a:solidFill>
              <a:schemeClr val="accent4"/>
            </a:solidFill>
            <a:ln>
              <a:noFill/>
            </a:ln>
            <a:effectLst/>
          </c:spPr>
          <c:invertIfNegative val="0"/>
          <c:val>
            <c:numRef>
              <c:f>EPI!$C$15:$K$15</c:f>
            </c:numRef>
          </c:val>
          <c:extLst>
            <c:ext xmlns:c15="http://schemas.microsoft.com/office/drawing/2012/chart" uri="{02D57815-91ED-43cb-92C2-25804820EDAC}">
              <c15:filteredCategoryTitle>
                <c15:cat>
                  <c:multiLvlStrRef>
                    <c:extLst>
                      <c:ext uri="{02D57815-91ED-43cb-92C2-25804820EDAC}">
                        <c15:formulaRef>
                          <c15:sqref>EPI!$C$11:$K$11</c15:sqref>
                        </c15:formulaRef>
                      </c:ext>
                    </c:extLst>
                  </c:multiLvlStrRef>
                </c15:cat>
              </c15:filteredCategoryTitle>
            </c:ext>
            <c:ext xmlns:c16="http://schemas.microsoft.com/office/drawing/2014/chart" uri="{C3380CC4-5D6E-409C-BE32-E72D297353CC}">
              <c16:uniqueId val="{00000003-1F05-4E75-8F87-6D4897BD2EEC}"/>
            </c:ext>
          </c:extLst>
        </c:ser>
        <c:ser>
          <c:idx val="4"/>
          <c:order val="4"/>
          <c:tx>
            <c:strRef>
              <c:f>EPI!$B$16</c:f>
              <c:strCache>
                <c:ptCount val="1"/>
                <c:pt idx="0">
                  <c:v> Transport </c:v>
                </c:pt>
              </c:strCache>
            </c:strRef>
          </c:tx>
          <c:spPr>
            <a:solidFill>
              <a:schemeClr val="accent5"/>
            </a:solidFill>
            <a:ln>
              <a:noFill/>
            </a:ln>
            <a:effectLst/>
          </c:spPr>
          <c:invertIfNegative val="0"/>
          <c:val>
            <c:numRef>
              <c:f>EPI!$C$16:$K$16</c:f>
            </c:numRef>
          </c:val>
          <c:extLst>
            <c:ext xmlns:c15="http://schemas.microsoft.com/office/drawing/2012/chart" uri="{02D57815-91ED-43cb-92C2-25804820EDAC}">
              <c15:filteredCategoryTitle>
                <c15:cat>
                  <c:multiLvlStrRef>
                    <c:extLst>
                      <c:ext uri="{02D57815-91ED-43cb-92C2-25804820EDAC}">
                        <c15:formulaRef>
                          <c15:sqref>EPI!$C$11:$K$11</c15:sqref>
                        </c15:formulaRef>
                      </c:ext>
                    </c:extLst>
                  </c:multiLvlStrRef>
                </c15:cat>
              </c15:filteredCategoryTitle>
            </c:ext>
            <c:ext xmlns:c16="http://schemas.microsoft.com/office/drawing/2014/chart" uri="{C3380CC4-5D6E-409C-BE32-E72D297353CC}">
              <c16:uniqueId val="{00000004-1F05-4E75-8F87-6D4897BD2EEC}"/>
            </c:ext>
          </c:extLst>
        </c:ser>
        <c:ser>
          <c:idx val="5"/>
          <c:order val="5"/>
          <c:tx>
            <c:strRef>
              <c:f>EPI!$B$17</c:f>
              <c:strCache>
                <c:ptCount val="1"/>
                <c:pt idx="0">
                  <c:v> Fin de vie </c:v>
                </c:pt>
              </c:strCache>
            </c:strRef>
          </c:tx>
          <c:spPr>
            <a:solidFill>
              <a:schemeClr val="accent6"/>
            </a:solidFill>
            <a:ln>
              <a:noFill/>
            </a:ln>
            <a:effectLst/>
          </c:spPr>
          <c:invertIfNegative val="0"/>
          <c:val>
            <c:numRef>
              <c:f>EPI!$C$17:$K$17</c:f>
            </c:numRef>
          </c:val>
          <c:extLst>
            <c:ext xmlns:c15="http://schemas.microsoft.com/office/drawing/2012/chart" uri="{02D57815-91ED-43cb-92C2-25804820EDAC}">
              <c15:filteredCategoryTitle>
                <c15:cat>
                  <c:multiLvlStrRef>
                    <c:extLst>
                      <c:ext uri="{02D57815-91ED-43cb-92C2-25804820EDAC}">
                        <c15:formulaRef>
                          <c15:sqref>EPI!$C$11:$K$11</c15:sqref>
                        </c15:formulaRef>
                      </c:ext>
                    </c:extLst>
                  </c:multiLvlStrRef>
                </c15:cat>
              </c15:filteredCategoryTitle>
            </c:ext>
            <c:ext xmlns:c16="http://schemas.microsoft.com/office/drawing/2014/chart" uri="{C3380CC4-5D6E-409C-BE32-E72D297353CC}">
              <c16:uniqueId val="{00000005-1F05-4E75-8F87-6D4897BD2EEC}"/>
            </c:ext>
          </c:extLst>
        </c:ser>
        <c:dLbls>
          <c:showLegendKey val="0"/>
          <c:showVal val="0"/>
          <c:showCatName val="0"/>
          <c:showSerName val="0"/>
          <c:showPercent val="0"/>
          <c:showBubbleSize val="0"/>
        </c:dLbls>
        <c:gapWidth val="75"/>
        <c:overlap val="100"/>
        <c:axId val="164974368"/>
        <c:axId val="164984768"/>
      </c:barChart>
      <c:catAx>
        <c:axId val="1649743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chemeClr val="accent1"/>
                </a:solidFill>
                <a:latin typeface="+mn-lt"/>
                <a:ea typeface="+mn-ea"/>
                <a:cs typeface="+mn-cs"/>
              </a:defRPr>
            </a:pPr>
            <a:endParaRPr lang="en-US"/>
          </a:p>
        </c:txPr>
        <c:crossAx val="164984768"/>
        <c:crosses val="autoZero"/>
        <c:auto val="1"/>
        <c:lblAlgn val="ctr"/>
        <c:lblOffset val="100"/>
        <c:noMultiLvlLbl val="0"/>
      </c:catAx>
      <c:valAx>
        <c:axId val="164984768"/>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54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r>
                  <a:rPr lang="en-GB" sz="1400" b="1">
                    <a:solidFill>
                      <a:schemeClr val="accent1"/>
                    </a:solidFill>
                  </a:rPr>
                  <a:t>Empreinte carbone</a:t>
                </a:r>
              </a:p>
              <a:p>
                <a:pPr>
                  <a:defRPr sz="1400"/>
                </a:pPr>
                <a:r>
                  <a:rPr lang="en-GB" sz="1400" b="1">
                    <a:solidFill>
                      <a:schemeClr val="accent1"/>
                    </a:solidFill>
                  </a:rPr>
                  <a:t>(en kgCO2e / kg</a:t>
                </a:r>
                <a:r>
                  <a:rPr lang="en-GB" sz="1400" b="1" baseline="0">
                    <a:solidFill>
                      <a:schemeClr val="accent1"/>
                    </a:solidFill>
                  </a:rPr>
                  <a:t>)</a:t>
                </a:r>
                <a:endParaRPr lang="en-GB" sz="1400" b="1">
                  <a:solidFill>
                    <a:schemeClr val="accent1"/>
                  </a:solidFill>
                </a:endParaRPr>
              </a:p>
            </c:rich>
          </c:tx>
          <c:layout>
            <c:manualLayout>
              <c:xMode val="edge"/>
              <c:yMode val="edge"/>
              <c:x val="1.0500594482475031E-2"/>
              <c:y val="0.18242240745540278"/>
            </c:manualLayout>
          </c:layout>
          <c:overlay val="0"/>
          <c:spPr>
            <a:noFill/>
            <a:ln>
              <a:noFill/>
            </a:ln>
            <a:effectLst/>
          </c:spPr>
          <c:txPr>
            <a:bodyPr rot="-54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title>
        <c:numFmt formatCode="_ * #\ ##0.0_)_ ;_ * \(#\ ##0.0\)_ ;_ * &quot;-&quot;??_)_ ;_ @_ " sourceLinked="1"/>
        <c:majorTickMark val="out"/>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accent1"/>
                </a:solidFill>
                <a:latin typeface="+mn-lt"/>
                <a:ea typeface="+mn-ea"/>
                <a:cs typeface="+mn-cs"/>
              </a:defRPr>
            </a:pPr>
            <a:endParaRPr lang="en-US"/>
          </a:p>
        </c:txPr>
        <c:crossAx val="164974368"/>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1400" b="1" i="0" u="none" strike="noStrike" kern="1200" baseline="0">
              <a:solidFill>
                <a:schemeClr val="accent1"/>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US" b="1">
                <a:solidFill>
                  <a:schemeClr val="accent1"/>
                </a:solidFill>
              </a:rPr>
              <a:t>Répartition des types de plastique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doughnutChart>
        <c:varyColors val="1"/>
        <c:ser>
          <c:idx val="0"/>
          <c:order val="0"/>
          <c:tx>
            <c:strRef>
              <c:f>'Consommables plastiques'!$C$64</c:f>
              <c:strCache>
                <c:ptCount val="1"/>
                <c:pt idx="0">
                  <c:v>Répartition</c:v>
                </c:pt>
              </c:strCache>
            </c:strRef>
          </c:tx>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multiLvlStrRef>
              <c:f>'Consommables plastiques'!$B$65:$B$72</c:f>
            </c:multiLvlStrRef>
          </c:cat>
          <c:val>
            <c:numRef>
              <c:f>'Consommables plastiques'!$C$65:$C$72</c:f>
            </c:numRef>
          </c:val>
          <c:extLst>
            <c:ext xmlns:c16="http://schemas.microsoft.com/office/drawing/2014/chart" uri="{C3380CC4-5D6E-409C-BE32-E72D297353CC}">
              <c16:uniqueId val="{00000000-1598-4071-8972-2C0407774228}"/>
            </c:ext>
          </c:extLst>
        </c:ser>
        <c:dLbls>
          <c:showLegendKey val="0"/>
          <c:showVal val="0"/>
          <c:showCatName val="0"/>
          <c:showSerName val="0"/>
          <c:showPercent val="1"/>
          <c:showBubbleSize val="0"/>
          <c:showLeaderLines val="1"/>
        </c:dLbls>
        <c:firstSliceAng val="0"/>
        <c:holeSize val="50"/>
      </c:doughnutChart>
      <c:spPr>
        <a:noFill/>
        <a:ln>
          <a:noFill/>
        </a:ln>
        <a:effectLst/>
      </c:spPr>
    </c:plotArea>
    <c:legend>
      <c:legendPos val="r"/>
      <c:layout>
        <c:manualLayout>
          <c:xMode val="edge"/>
          <c:yMode val="edge"/>
          <c:x val="0.63342460378142407"/>
          <c:y val="0.25981205451848338"/>
          <c:w val="0.27394647708654463"/>
          <c:h val="0.7276772072625679"/>
        </c:manualLayout>
      </c:layout>
      <c:overlay val="0"/>
      <c:spPr>
        <a:noFill/>
        <a:ln>
          <a:noFill/>
        </a:ln>
        <a:effectLst/>
      </c:spPr>
      <c:txPr>
        <a:bodyPr rot="0" spcFirstLastPara="1" vertOverflow="ellipsis" vert="horz" wrap="square" anchor="ctr" anchorCtr="1"/>
        <a:lstStyle/>
        <a:p>
          <a:pPr>
            <a:defRPr sz="1000" b="1"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accent1"/>
                </a:solidFill>
                <a:latin typeface="+mn-lt"/>
                <a:ea typeface="+mn-ea"/>
                <a:cs typeface="+mn-cs"/>
              </a:defRPr>
            </a:pPr>
            <a:r>
              <a:rPr lang="en-GB" b="1">
                <a:solidFill>
                  <a:schemeClr val="accent1"/>
                </a:solidFill>
              </a:rPr>
              <a:t>Répartition des émissions - consommables hospitaliers</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accent1"/>
              </a:solidFill>
              <a:latin typeface="+mn-lt"/>
              <a:ea typeface="+mn-ea"/>
              <a:cs typeface="+mn-cs"/>
            </a:defRPr>
          </a:pPr>
          <a:endParaRPr lang="en-US"/>
        </a:p>
      </c:txPr>
    </c:title>
    <c:autoTitleDeleted val="0"/>
    <c:plotArea>
      <c:layout/>
      <c:doughnutChart>
        <c:varyColors val="1"/>
        <c:ser>
          <c:idx val="0"/>
          <c:order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multiLvlStrRef>
              <c:f>'Consommables plastiques'!$B$12:$B$18</c:f>
            </c:multiLvlStrRef>
          </c:cat>
          <c:val>
            <c:numRef>
              <c:f>'Consommables plastiques'!$C$12:$C$18</c:f>
            </c:numRef>
          </c:val>
          <c:extLst>
            <c:ext xmlns:c16="http://schemas.microsoft.com/office/drawing/2014/chart" uri="{C3380CC4-5D6E-409C-BE32-E72D297353CC}">
              <c16:uniqueId val="{00000000-89BC-45AF-8F5A-4937C6D427F1}"/>
            </c:ext>
          </c:extLst>
        </c:ser>
        <c:dLbls>
          <c:showLegendKey val="0"/>
          <c:showVal val="0"/>
          <c:showCatName val="0"/>
          <c:showSerName val="0"/>
          <c:showPercent val="1"/>
          <c:showBubbleSize val="0"/>
          <c:showLeaderLines val="1"/>
        </c:dLbls>
        <c:firstSliceAng val="0"/>
        <c:holeSize val="50"/>
      </c:doughnutChart>
      <c:spPr>
        <a:noFill/>
        <a:ln>
          <a:noFill/>
        </a:ln>
        <a:effectLst/>
      </c:spPr>
    </c:plotArea>
    <c:legend>
      <c:legendPos val="r"/>
      <c:layout>
        <c:manualLayout>
          <c:xMode val="edge"/>
          <c:yMode val="edge"/>
          <c:x val="0.55798362158925385"/>
          <c:y val="0.20816853214061601"/>
          <c:w val="0.32889241267998476"/>
          <c:h val="0.67760360636494266"/>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975532319686938E-2"/>
          <c:y val="4.8802119318491856E-2"/>
          <c:w val="0.89587413088800205"/>
          <c:h val="0.75478068634993201"/>
        </c:manualLayout>
      </c:layout>
      <c:barChart>
        <c:barDir val="col"/>
        <c:grouping val="clustered"/>
        <c:varyColors val="0"/>
        <c:ser>
          <c:idx val="0"/>
          <c:order val="0"/>
          <c:spPr>
            <a:solidFill>
              <a:schemeClr val="accent1"/>
            </a:solidFill>
            <a:ln>
              <a:noFill/>
            </a:ln>
            <a:effectLst/>
          </c:spPr>
          <c:invertIfNegative val="0"/>
          <c:val>
            <c:numRef>
              <c:f>'Consommables plastiques'!$C$176:$P$176</c:f>
            </c:numRef>
          </c:val>
          <c:extLst>
            <c:ext xmlns:c15="http://schemas.microsoft.com/office/drawing/2012/chart" uri="{02D57815-91ED-43cb-92C2-25804820EDAC}">
              <c15:filteredCategoryTitle>
                <c15:cat>
                  <c:multiLvlStrRef>
                    <c:extLst>
                      <c:ext uri="{02D57815-91ED-43cb-92C2-25804820EDAC}">
                        <c15:formulaRef>
                          <c15:sqref>'Consommables plastiques'!$C$174:$P$175</c15:sqref>
                        </c15:formulaRef>
                      </c:ext>
                    </c:extLst>
                  </c:multiLvlStrRef>
                </c15:cat>
              </c15:filteredCategoryTitle>
            </c:ext>
            <c:ext xmlns:c16="http://schemas.microsoft.com/office/drawing/2014/chart" uri="{C3380CC4-5D6E-409C-BE32-E72D297353CC}">
              <c16:uniqueId val="{00000000-91CE-4C6B-83DC-BD4B8B23294D}"/>
            </c:ext>
          </c:extLst>
        </c:ser>
        <c:dLbls>
          <c:showLegendKey val="0"/>
          <c:showVal val="0"/>
          <c:showCatName val="0"/>
          <c:showSerName val="0"/>
          <c:showPercent val="0"/>
          <c:showBubbleSize val="0"/>
        </c:dLbls>
        <c:gapWidth val="219"/>
        <c:overlap val="-27"/>
        <c:axId val="113175823"/>
        <c:axId val="113177071"/>
      </c:barChart>
      <c:catAx>
        <c:axId val="1131758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accent1"/>
                </a:solidFill>
                <a:latin typeface="+mn-lt"/>
                <a:ea typeface="+mn-ea"/>
                <a:cs typeface="+mn-cs"/>
              </a:defRPr>
            </a:pPr>
            <a:endParaRPr lang="en-US"/>
          </a:p>
        </c:txPr>
        <c:crossAx val="113177071"/>
        <c:crosses val="autoZero"/>
        <c:auto val="1"/>
        <c:lblAlgn val="ctr"/>
        <c:lblOffset val="100"/>
        <c:noMultiLvlLbl val="0"/>
      </c:catAx>
      <c:valAx>
        <c:axId val="11317707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r>
                  <a:rPr lang="en-GB" sz="1050" b="1">
                    <a:solidFill>
                      <a:schemeClr val="accent1"/>
                    </a:solidFill>
                  </a:rPr>
                  <a:t>kgCO2e</a:t>
                </a:r>
                <a:r>
                  <a:rPr lang="en-GB" sz="1050" b="1" baseline="0">
                    <a:solidFill>
                      <a:schemeClr val="accent1"/>
                    </a:solidFill>
                  </a:rPr>
                  <a:t> / kg transporté</a:t>
                </a:r>
                <a:endParaRPr lang="en-GB" sz="1050" b="1">
                  <a:solidFill>
                    <a:schemeClr val="accent1"/>
                  </a:solidFill>
                </a:endParaRPr>
              </a:p>
            </c:rich>
          </c:tx>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accent1"/>
                </a:solidFill>
                <a:latin typeface="+mn-lt"/>
                <a:ea typeface="+mn-ea"/>
                <a:cs typeface="+mn-cs"/>
              </a:defRPr>
            </a:pPr>
            <a:endParaRPr lang="en-US"/>
          </a:p>
        </c:txPr>
        <c:crossAx val="113175823"/>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'Consommables plastiques'!$V$174</c:f>
              <c:strCache>
                <c:ptCount val="1"/>
                <c:pt idx="0">
                  <c:v>Transport camion - pays de production</c:v>
                </c:pt>
              </c:strCache>
            </c:strRef>
          </c:tx>
          <c:spPr>
            <a:solidFill>
              <a:schemeClr val="accent1"/>
            </a:solidFill>
            <a:ln>
              <a:noFill/>
            </a:ln>
            <a:effectLst/>
          </c:spPr>
          <c:invertIfNegative val="0"/>
          <c:cat>
            <c:multiLvlStrRef>
              <c:f>'Consommables plastiques'!$U$175:$U$177</c:f>
            </c:multiLvlStrRef>
          </c:cat>
          <c:val>
            <c:numRef>
              <c:f>'Consommables plastiques'!$V$175:$V$177</c:f>
            </c:numRef>
          </c:val>
          <c:extLst>
            <c:ext xmlns:c16="http://schemas.microsoft.com/office/drawing/2014/chart" uri="{C3380CC4-5D6E-409C-BE32-E72D297353CC}">
              <c16:uniqueId val="{00000000-25C3-4144-8AC8-EA0299235575}"/>
            </c:ext>
          </c:extLst>
        </c:ser>
        <c:ser>
          <c:idx val="1"/>
          <c:order val="1"/>
          <c:tx>
            <c:strRef>
              <c:f>'Consommables plastiques'!$W$174</c:f>
              <c:strCache>
                <c:ptCount val="1"/>
                <c:pt idx="0">
                  <c:v>Transport bâteau</c:v>
                </c:pt>
              </c:strCache>
            </c:strRef>
          </c:tx>
          <c:spPr>
            <a:solidFill>
              <a:schemeClr val="accent2"/>
            </a:solidFill>
            <a:ln>
              <a:noFill/>
            </a:ln>
            <a:effectLst/>
          </c:spPr>
          <c:invertIfNegative val="0"/>
          <c:cat>
            <c:multiLvlStrRef>
              <c:f>'Consommables plastiques'!$U$175:$U$177</c:f>
            </c:multiLvlStrRef>
          </c:cat>
          <c:val>
            <c:numRef>
              <c:f>'Consommables plastiques'!$W$175:$W$177</c:f>
            </c:numRef>
          </c:val>
          <c:extLst>
            <c:ext xmlns:c16="http://schemas.microsoft.com/office/drawing/2014/chart" uri="{C3380CC4-5D6E-409C-BE32-E72D297353CC}">
              <c16:uniqueId val="{00000001-25C3-4144-8AC8-EA0299235575}"/>
            </c:ext>
          </c:extLst>
        </c:ser>
        <c:ser>
          <c:idx val="2"/>
          <c:order val="2"/>
          <c:tx>
            <c:strRef>
              <c:f>'Consommables plastiques'!$X$174</c:f>
              <c:strCache>
                <c:ptCount val="1"/>
                <c:pt idx="0">
                  <c:v>Transport en avion</c:v>
                </c:pt>
              </c:strCache>
            </c:strRef>
          </c:tx>
          <c:spPr>
            <a:solidFill>
              <a:schemeClr val="accent3"/>
            </a:solidFill>
            <a:ln>
              <a:noFill/>
            </a:ln>
            <a:effectLst/>
          </c:spPr>
          <c:invertIfNegative val="0"/>
          <c:cat>
            <c:multiLvlStrRef>
              <c:f>'Consommables plastiques'!$U$175:$U$177</c:f>
            </c:multiLvlStrRef>
          </c:cat>
          <c:val>
            <c:numRef>
              <c:f>'Consommables plastiques'!$X$175:$X$177</c:f>
            </c:numRef>
          </c:val>
          <c:extLst>
            <c:ext xmlns:c16="http://schemas.microsoft.com/office/drawing/2014/chart" uri="{C3380CC4-5D6E-409C-BE32-E72D297353CC}">
              <c16:uniqueId val="{00000002-25C3-4144-8AC8-EA0299235575}"/>
            </c:ext>
          </c:extLst>
        </c:ser>
        <c:ser>
          <c:idx val="3"/>
          <c:order val="3"/>
          <c:tx>
            <c:strRef>
              <c:f>'Consommables plastiques'!$Y$174</c:f>
              <c:strCache>
                <c:ptCount val="1"/>
                <c:pt idx="0">
                  <c:v>Transport camion - France</c:v>
                </c:pt>
              </c:strCache>
            </c:strRef>
          </c:tx>
          <c:spPr>
            <a:solidFill>
              <a:schemeClr val="accent4"/>
            </a:solidFill>
            <a:ln>
              <a:noFill/>
            </a:ln>
            <a:effectLst/>
          </c:spPr>
          <c:invertIfNegative val="0"/>
          <c:cat>
            <c:multiLvlStrRef>
              <c:f>'Consommables plastiques'!$U$175:$U$177</c:f>
            </c:multiLvlStrRef>
          </c:cat>
          <c:val>
            <c:numRef>
              <c:f>'Consommables plastiques'!$Y$175:$Y$177</c:f>
            </c:numRef>
          </c:val>
          <c:extLst>
            <c:ext xmlns:c16="http://schemas.microsoft.com/office/drawing/2014/chart" uri="{C3380CC4-5D6E-409C-BE32-E72D297353CC}">
              <c16:uniqueId val="{00000003-25C3-4144-8AC8-EA0299235575}"/>
            </c:ext>
          </c:extLst>
        </c:ser>
        <c:ser>
          <c:idx val="4"/>
          <c:order val="4"/>
          <c:tx>
            <c:strRef>
              <c:f>'Consommables plastiques'!$Z$174</c:f>
              <c:strCache>
                <c:ptCount val="1"/>
                <c:pt idx="0">
                  <c:v>Livraison</c:v>
                </c:pt>
              </c:strCache>
            </c:strRef>
          </c:tx>
          <c:spPr>
            <a:solidFill>
              <a:schemeClr val="accent5"/>
            </a:solidFill>
            <a:ln>
              <a:noFill/>
            </a:ln>
            <a:effectLst/>
          </c:spPr>
          <c:invertIfNegative val="0"/>
          <c:cat>
            <c:multiLvlStrRef>
              <c:f>'Consommables plastiques'!$U$175:$U$177</c:f>
            </c:multiLvlStrRef>
          </c:cat>
          <c:val>
            <c:numRef>
              <c:f>'Consommables plastiques'!$Z$175:$Z$177</c:f>
            </c:numRef>
          </c:val>
          <c:extLst>
            <c:ext xmlns:c16="http://schemas.microsoft.com/office/drawing/2014/chart" uri="{C3380CC4-5D6E-409C-BE32-E72D297353CC}">
              <c16:uniqueId val="{00000004-25C3-4144-8AC8-EA0299235575}"/>
            </c:ext>
          </c:extLst>
        </c:ser>
        <c:dLbls>
          <c:showLegendKey val="0"/>
          <c:showVal val="0"/>
          <c:showCatName val="0"/>
          <c:showSerName val="0"/>
          <c:showPercent val="0"/>
          <c:showBubbleSize val="0"/>
        </c:dLbls>
        <c:gapWidth val="75"/>
        <c:overlap val="100"/>
        <c:axId val="647147327"/>
        <c:axId val="647153983"/>
      </c:barChart>
      <c:catAx>
        <c:axId val="64714732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chemeClr val="accent1"/>
                </a:solidFill>
                <a:latin typeface="+mn-lt"/>
                <a:ea typeface="+mn-ea"/>
                <a:cs typeface="+mn-cs"/>
              </a:defRPr>
            </a:pPr>
            <a:endParaRPr lang="en-US"/>
          </a:p>
        </c:txPr>
        <c:crossAx val="647153983"/>
        <c:crosses val="autoZero"/>
        <c:auto val="1"/>
        <c:lblAlgn val="ctr"/>
        <c:lblOffset val="100"/>
        <c:noMultiLvlLbl val="0"/>
      </c:catAx>
      <c:valAx>
        <c:axId val="647153983"/>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r>
                  <a:rPr lang="en-GB" sz="1200" b="1">
                    <a:solidFill>
                      <a:schemeClr val="accent1"/>
                    </a:solidFill>
                  </a:rPr>
                  <a:t>kgCO2e / kg transporté</a:t>
                </a:r>
              </a:p>
            </c:rich>
          </c:tx>
          <c:overlay val="0"/>
          <c:spPr>
            <a:noFill/>
            <a:ln>
              <a:noFill/>
            </a:ln>
            <a:effectLst/>
          </c:spPr>
          <c:txPr>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accent1"/>
                </a:solidFill>
                <a:latin typeface="+mn-lt"/>
                <a:ea typeface="+mn-ea"/>
                <a:cs typeface="+mn-cs"/>
              </a:defRPr>
            </a:pPr>
            <a:endParaRPr lang="en-US"/>
          </a:p>
        </c:txPr>
        <c:crossAx val="647147327"/>
        <c:crosses val="autoZero"/>
        <c:crossBetween val="between"/>
      </c:valAx>
      <c:spPr>
        <a:noFill/>
        <a:ln>
          <a:noFill/>
        </a:ln>
        <a:effectLst/>
      </c:spPr>
    </c:plotArea>
    <c:legend>
      <c:legendPos val="r"/>
      <c:layout>
        <c:manualLayout>
          <c:xMode val="edge"/>
          <c:yMode val="edge"/>
          <c:x val="0.65403911513896495"/>
          <c:y val="0.28380198045024513"/>
          <c:w val="0.33754251717590056"/>
          <c:h val="0.44318014157597468"/>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accent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189926907519862E-2"/>
          <c:y val="0.15877719369550092"/>
          <c:w val="0.42702284174315042"/>
          <c:h val="0.71741589271298889"/>
        </c:manualLayout>
      </c:layout>
      <c:doughnut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C8BB-437E-B4F2-3FFD8F2910B7}"/>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C8BB-437E-B4F2-3FFD8F2910B7}"/>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C8BB-437E-B4F2-3FFD8F2910B7}"/>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C8BB-437E-B4F2-3FFD8F2910B7}"/>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C8BB-437E-B4F2-3FFD8F2910B7}"/>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C8BB-437E-B4F2-3FFD8F2910B7}"/>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C8BB-437E-B4F2-3FFD8F2910B7}"/>
              </c:ext>
            </c:extLst>
          </c:dPt>
          <c:dLbls>
            <c:dLbl>
              <c:idx val="0"/>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bg2"/>
                      </a:solidFill>
                      <a:latin typeface="+mn-lt"/>
                      <a:ea typeface="+mn-ea"/>
                      <a:cs typeface="+mn-cs"/>
                    </a:defRPr>
                  </a:pPr>
                  <a:endParaRPr lang="en-US"/>
                </a:p>
              </c:txPr>
              <c:showLegendKey val="0"/>
              <c:showVal val="0"/>
              <c:showCatName val="0"/>
              <c:showSerName val="0"/>
              <c:showPercent val="1"/>
              <c:showBubbleSize val="0"/>
              <c:extLst>
                <c:ext xmlns:c16="http://schemas.microsoft.com/office/drawing/2014/chart" uri="{C3380CC4-5D6E-409C-BE32-E72D297353CC}">
                  <c16:uniqueId val="{00000001-C8BB-437E-B4F2-3FFD8F2910B7}"/>
                </c:ext>
              </c:extLst>
            </c:dLbl>
            <c:dLbl>
              <c:idx val="5"/>
              <c:layout>
                <c:manualLayout>
                  <c:x val="-8.1967924569034109E-2"/>
                  <c:y val="-8.0726244554530591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B-C8BB-437E-B4F2-3FFD8F2910B7}"/>
                </c:ext>
              </c:extLst>
            </c:dLbl>
            <c:dLbl>
              <c:idx val="6"/>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bg2"/>
                      </a:solidFill>
                      <a:latin typeface="+mn-lt"/>
                      <a:ea typeface="+mn-ea"/>
                      <a:cs typeface="+mn-cs"/>
                    </a:defRPr>
                  </a:pPr>
                  <a:endParaRPr lang="en-US"/>
                </a:p>
              </c:txPr>
              <c:showLegendKey val="0"/>
              <c:showVal val="0"/>
              <c:showCatName val="0"/>
              <c:showSerName val="0"/>
              <c:showPercent val="1"/>
              <c:showBubbleSize val="0"/>
              <c:extLst>
                <c:ext xmlns:c16="http://schemas.microsoft.com/office/drawing/2014/chart" uri="{C3380CC4-5D6E-409C-BE32-E72D297353CC}">
                  <c16:uniqueId val="{0000000D-C8BB-437E-B4F2-3FFD8F2910B7}"/>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multiLvlStrRef>
              <c:f>'Consommables plastiques'!$B$12:$B$18</c:f>
            </c:multiLvlStrRef>
          </c:cat>
          <c:val>
            <c:numRef>
              <c:f>'Consommables plastiques'!$C$12:$C$18</c:f>
            </c:numRef>
          </c:val>
          <c:extLst>
            <c:ext xmlns:c16="http://schemas.microsoft.com/office/drawing/2014/chart" uri="{C3380CC4-5D6E-409C-BE32-E72D297353CC}">
              <c16:uniqueId val="{0000000E-C8BB-437E-B4F2-3FFD8F2910B7}"/>
            </c:ext>
          </c:extLst>
        </c:ser>
        <c:dLbls>
          <c:showLegendKey val="0"/>
          <c:showVal val="0"/>
          <c:showCatName val="0"/>
          <c:showSerName val="0"/>
          <c:showPercent val="1"/>
          <c:showBubbleSize val="0"/>
          <c:showLeaderLines val="1"/>
        </c:dLbls>
        <c:firstSliceAng val="0"/>
        <c:holeSize val="50"/>
      </c:doughnutChart>
      <c:spPr>
        <a:noFill/>
        <a:ln>
          <a:noFill/>
        </a:ln>
        <a:effectLst/>
      </c:spPr>
    </c:plotArea>
    <c:legend>
      <c:legendPos val="r"/>
      <c:layout>
        <c:manualLayout>
          <c:xMode val="edge"/>
          <c:yMode val="edge"/>
          <c:x val="0.54162837750468995"/>
          <c:y val="0.16430352021016492"/>
          <c:w val="0.39390139056147022"/>
          <c:h val="0.7250895597671464"/>
        </c:manualLayout>
      </c:layout>
      <c:overlay val="0"/>
      <c:spPr>
        <a:noFill/>
        <a:ln>
          <a:noFill/>
        </a:ln>
        <a:effectLst/>
      </c:spPr>
      <c:txPr>
        <a:bodyPr rot="0" spcFirstLastPara="1" vertOverflow="ellipsis" vert="horz" wrap="square" anchor="ctr" anchorCtr="1"/>
        <a:lstStyle/>
        <a:p>
          <a:pPr>
            <a:defRPr sz="1050" b="1"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542466999080324E-2"/>
          <c:y val="0.14840344956880389"/>
          <c:w val="0.49336245728579708"/>
          <c:h val="0.69818335208098992"/>
        </c:manualLayout>
      </c:layout>
      <c:doughnutChart>
        <c:varyColors val="1"/>
        <c:ser>
          <c:idx val="0"/>
          <c:order val="0"/>
          <c:tx>
            <c:strRef>
              <c:f>'Consommables plastiques'!$L$65</c:f>
              <c:strCache>
                <c:ptCount val="1"/>
                <c:pt idx="0">
                  <c:v>Répartition</c:v>
                </c:pt>
              </c:strCache>
            </c:strRef>
          </c:tx>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multiLvlStrRef>
              <c:f>'Consommables plastiques'!$K$66:$K$70</c:f>
            </c:multiLvlStrRef>
          </c:cat>
          <c:val>
            <c:numRef>
              <c:f>'Consommables plastiques'!$L$66:$L$70</c:f>
            </c:numRef>
          </c:val>
          <c:extLst>
            <c:ext xmlns:c16="http://schemas.microsoft.com/office/drawing/2014/chart" uri="{C3380CC4-5D6E-409C-BE32-E72D297353CC}">
              <c16:uniqueId val="{00000010-2DA8-4705-AA6B-EF1185DAE8B2}"/>
            </c:ext>
          </c:extLst>
        </c:ser>
        <c:dLbls>
          <c:showLegendKey val="0"/>
          <c:showVal val="0"/>
          <c:showCatName val="0"/>
          <c:showSerName val="0"/>
          <c:showPercent val="1"/>
          <c:showBubbleSize val="0"/>
          <c:showLeaderLines val="1"/>
        </c:dLbls>
        <c:firstSliceAng val="0"/>
        <c:holeSize val="50"/>
      </c:doughnutChart>
      <c:spPr>
        <a:noFill/>
        <a:ln>
          <a:noFill/>
        </a:ln>
        <a:effectLst/>
      </c:spPr>
    </c:plotArea>
    <c:legend>
      <c:legendPos val="r"/>
      <c:layout>
        <c:manualLayout>
          <c:xMode val="edge"/>
          <c:yMode val="edge"/>
          <c:x val="0.60823855829193529"/>
          <c:y val="0.17352740430141061"/>
          <c:w val="0.37425020792414204"/>
          <c:h val="0.67666054001901177"/>
        </c:manualLayout>
      </c:layout>
      <c:overlay val="0"/>
      <c:spPr>
        <a:noFill/>
        <a:ln>
          <a:noFill/>
        </a:ln>
        <a:effectLst/>
      </c:spPr>
      <c:txPr>
        <a:bodyPr rot="0" spcFirstLastPara="1" vertOverflow="ellipsis" vert="horz" wrap="square" anchor="ctr" anchorCtr="1"/>
        <a:lstStyle/>
        <a:p>
          <a:pPr>
            <a:defRPr sz="1050" b="1"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b="1">
                <a:solidFill>
                  <a:schemeClr val="tx2"/>
                </a:solidFill>
              </a:rPr>
              <a:t>Répartition des émissions</a:t>
            </a:r>
          </a:p>
          <a:p>
            <a:pPr>
              <a:defRPr/>
            </a:pPr>
            <a:r>
              <a:rPr lang="en-GB" b="1">
                <a:solidFill>
                  <a:schemeClr val="tx2"/>
                </a:solidFill>
              </a:rPr>
              <a:t>Dispositifs urologiques et de stomathérapie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2953169857079191"/>
          <c:y val="0.2304233605411225"/>
          <c:w val="0.42234501613096659"/>
          <c:h val="0.66134634361220712"/>
        </c:manualLayout>
      </c:layout>
      <c:doughnutChart>
        <c:varyColors val="1"/>
        <c:ser>
          <c:idx val="0"/>
          <c:order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val>
            <c:numRef>
              <c:f>'Dispositifs urologie'!$D$19:$I$19</c:f>
            </c:numRef>
          </c:val>
          <c:extLst>
            <c:ext xmlns:c15="http://schemas.microsoft.com/office/drawing/2012/chart" uri="{02D57815-91ED-43cb-92C2-25804820EDAC}">
              <c15:filteredCategoryTitle>
                <c15:cat>
                  <c:multiLvlStrRef>
                    <c:extLst>
                      <c:ext uri="{02D57815-91ED-43cb-92C2-25804820EDAC}">
                        <c15:formulaRef>
                          <c15:sqref>'Dispositifs urologie'!$D$11:$I$11</c15:sqref>
                        </c15:formulaRef>
                      </c:ext>
                    </c:extLst>
                  </c:multiLvlStrRef>
                </c15:cat>
              </c15:filteredCategoryTitle>
            </c:ext>
            <c:ext xmlns:c16="http://schemas.microsoft.com/office/drawing/2014/chart" uri="{C3380CC4-5D6E-409C-BE32-E72D297353CC}">
              <c16:uniqueId val="{00000000-112B-419C-B66C-CF590CEFC00E}"/>
            </c:ext>
          </c:extLst>
        </c:ser>
        <c:dLbls>
          <c:showLegendKey val="0"/>
          <c:showVal val="0"/>
          <c:showCatName val="0"/>
          <c:showSerName val="0"/>
          <c:showPercent val="1"/>
          <c:showBubbleSize val="0"/>
          <c:showLeaderLines val="1"/>
        </c:dLbls>
        <c:firstSliceAng val="0"/>
        <c:holeSize val="50"/>
      </c:doughnutChart>
      <c:spPr>
        <a:noFill/>
        <a:ln>
          <a:noFill/>
        </a:ln>
        <a:effectLst/>
      </c:spPr>
    </c:plotArea>
    <c:legend>
      <c:legendPos val="r"/>
      <c:layout>
        <c:manualLayout>
          <c:xMode val="edge"/>
          <c:yMode val="edge"/>
          <c:x val="0.57679254348106113"/>
          <c:y val="0.30992478130646656"/>
          <c:w val="0.30098521784577936"/>
          <c:h val="0.50005920001651527"/>
        </c:manualLayout>
      </c:layout>
      <c:overlay val="0"/>
      <c:spPr>
        <a:noFill/>
        <a:ln>
          <a:noFill/>
        </a:ln>
        <a:effectLst/>
      </c:spPr>
      <c:txPr>
        <a:bodyPr rot="0" spcFirstLastPara="1" vertOverflow="ellipsis" vert="horz" wrap="square" anchor="ctr" anchorCtr="1"/>
        <a:lstStyle/>
        <a:p>
          <a:pPr>
            <a:defRPr sz="1100" b="1"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sz="1400" b="1" i="0" baseline="0">
                <a:solidFill>
                  <a:schemeClr val="tx2"/>
                </a:solidFill>
                <a:effectLst/>
              </a:rPr>
              <a:t>Répartition des émissions</a:t>
            </a:r>
            <a:endParaRPr lang="en-GB" sz="1400">
              <a:solidFill>
                <a:schemeClr val="tx2"/>
              </a:solidFill>
              <a:effectLst/>
            </a:endParaRPr>
          </a:p>
          <a:p>
            <a:pPr>
              <a:defRPr/>
            </a:pPr>
            <a:r>
              <a:rPr lang="en-GB" sz="1400" b="1" i="0" baseline="0">
                <a:solidFill>
                  <a:schemeClr val="tx2"/>
                </a:solidFill>
                <a:effectLst/>
              </a:rPr>
              <a:t>Dispositifs urologiques et de stomathérapie</a:t>
            </a:r>
            <a:endParaRPr lang="en-GB" sz="1400">
              <a:solidFill>
                <a:schemeClr val="tx2"/>
              </a:solidFill>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25897452505726998"/>
          <c:y val="0.23825655987571159"/>
          <c:w val="0.37837203187468377"/>
          <c:h val="0.62928801832286141"/>
        </c:manualLayout>
      </c:layout>
      <c:doughnutChart>
        <c:varyColors val="1"/>
        <c:ser>
          <c:idx val="0"/>
          <c:order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multiLvlStrRef>
              <c:f>'Dispositifs urologie'!$B$12:$B$18</c:f>
            </c:multiLvlStrRef>
          </c:cat>
          <c:val>
            <c:numRef>
              <c:f>'Dispositifs urologie'!$C$12:$C$18</c:f>
            </c:numRef>
          </c:val>
          <c:extLst>
            <c:ext xmlns:c16="http://schemas.microsoft.com/office/drawing/2014/chart" uri="{C3380CC4-5D6E-409C-BE32-E72D297353CC}">
              <c16:uniqueId val="{00000000-8FA0-49EF-BBEF-703632D19414}"/>
            </c:ext>
          </c:extLst>
        </c:ser>
        <c:dLbls>
          <c:showLegendKey val="0"/>
          <c:showVal val="0"/>
          <c:showCatName val="0"/>
          <c:showSerName val="0"/>
          <c:showPercent val="1"/>
          <c:showBubbleSize val="0"/>
          <c:showLeaderLines val="1"/>
        </c:dLbls>
        <c:firstSliceAng val="0"/>
        <c:holeSize val="50"/>
      </c:doughnutChart>
      <c:spPr>
        <a:noFill/>
        <a:ln>
          <a:noFill/>
        </a:ln>
        <a:effectLst/>
      </c:spPr>
    </c:plotArea>
    <c:legend>
      <c:legendPos val="r"/>
      <c:layout>
        <c:manualLayout>
          <c:xMode val="edge"/>
          <c:yMode val="edge"/>
          <c:x val="0.64336553037245103"/>
          <c:y val="0.27786833425686996"/>
          <c:w val="0.31371283896476065"/>
          <c:h val="0.52219681063334167"/>
        </c:manualLayout>
      </c:layout>
      <c:overlay val="0"/>
      <c:spPr>
        <a:noFill/>
        <a:ln>
          <a:noFill/>
        </a:ln>
        <a:effectLst/>
      </c:spPr>
      <c:txPr>
        <a:bodyPr rot="0" spcFirstLastPara="1" vertOverflow="ellipsis" vert="horz" wrap="square" anchor="ctr" anchorCtr="1"/>
        <a:lstStyle/>
        <a:p>
          <a:pPr>
            <a:defRPr sz="1100" b="1"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tx>
            <c:strRef>
              <c:f>Incontinence!$B$119</c:f>
              <c:strCache>
                <c:ptCount val="1"/>
                <c:pt idx="0">
                  <c:v> Tena Slip </c:v>
                </c:pt>
              </c:strCache>
            </c:strRef>
          </c:tx>
          <c:spPr>
            <a:ln w="19050" cap="rnd">
              <a:solidFill>
                <a:schemeClr val="accent1"/>
              </a:solid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inear"/>
            <c:intercept val="0"/>
            <c:dispRSqr val="0"/>
            <c:dispEq val="1"/>
            <c:trendlineLbl>
              <c:numFmt formatCode="#,##0.000000" sourceLinked="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trendlineLbl>
          </c:trendline>
          <c:xVal>
            <c:numRef>
              <c:f>Incontinence!$D$119:$AA$119</c:f>
            </c:numRef>
          </c:xVal>
          <c:yVal>
            <c:numRef>
              <c:f>Incontinence!$D$120:$AA$120</c:f>
            </c:numRef>
          </c:yVal>
          <c:smooth val="0"/>
          <c:extLst>
            <c:ext xmlns:c16="http://schemas.microsoft.com/office/drawing/2014/chart" uri="{C3380CC4-5D6E-409C-BE32-E72D297353CC}">
              <c16:uniqueId val="{00000000-61EF-40EB-8DA5-848F310A63F4}"/>
            </c:ext>
          </c:extLst>
        </c:ser>
        <c:ser>
          <c:idx val="1"/>
          <c:order val="1"/>
          <c:tx>
            <c:strRef>
              <c:f>Incontinence!$B$121</c:f>
              <c:strCache>
                <c:ptCount val="1"/>
                <c:pt idx="0">
                  <c:v> Tena Men </c:v>
                </c:pt>
              </c:strCache>
            </c:strRef>
          </c:tx>
          <c:spPr>
            <a:ln w="19050" cap="rnd">
              <a:solidFill>
                <a:schemeClr val="accent2"/>
              </a:solidFill>
              <a:round/>
            </a:ln>
            <a:effectLst/>
          </c:spPr>
          <c:marker>
            <c:symbol val="circle"/>
            <c:size val="5"/>
            <c:spPr>
              <a:solidFill>
                <a:schemeClr val="accent2"/>
              </a:solidFill>
              <a:ln w="9525">
                <a:solidFill>
                  <a:schemeClr val="accent2"/>
                </a:solidFill>
              </a:ln>
              <a:effectLst/>
            </c:spPr>
          </c:marker>
          <c:trendline>
            <c:spPr>
              <a:ln w="19050" cap="rnd">
                <a:solidFill>
                  <a:schemeClr val="accent2"/>
                </a:solidFill>
                <a:prstDash val="sysDot"/>
              </a:ln>
              <a:effectLst/>
            </c:spPr>
            <c:trendlineType val="linear"/>
            <c:intercept val="0"/>
            <c:dispRSqr val="0"/>
            <c:dispEq val="1"/>
            <c:trendlineLbl>
              <c:layout>
                <c:manualLayout>
                  <c:x val="-4.3628173917951716E-3"/>
                  <c:y val="-2.0814246122540302E-2"/>
                </c:manualLayout>
              </c:layout>
              <c:numFmt formatCode="#,##0.000000" sourceLinked="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trendlineLbl>
          </c:trendline>
          <c:xVal>
            <c:numRef>
              <c:f>Incontinence!$D$121:$N$121</c:f>
            </c:numRef>
          </c:xVal>
          <c:yVal>
            <c:numRef>
              <c:f>Incontinence!$D$122:$N$122</c:f>
            </c:numRef>
          </c:yVal>
          <c:smooth val="0"/>
          <c:extLst>
            <c:ext xmlns:c16="http://schemas.microsoft.com/office/drawing/2014/chart" uri="{C3380CC4-5D6E-409C-BE32-E72D297353CC}">
              <c16:uniqueId val="{00000002-61EF-40EB-8DA5-848F310A63F4}"/>
            </c:ext>
          </c:extLst>
        </c:ser>
        <c:ser>
          <c:idx val="2"/>
          <c:order val="2"/>
          <c:tx>
            <c:strRef>
              <c:f>Incontinence!$B$123</c:f>
              <c:strCache>
                <c:ptCount val="1"/>
                <c:pt idx="0">
                  <c:v> Tena Bed </c:v>
                </c:pt>
              </c:strCache>
            </c:strRef>
          </c:tx>
          <c:spPr>
            <a:ln w="19050" cap="rnd">
              <a:solidFill>
                <a:schemeClr val="accent3"/>
              </a:solidFill>
              <a:round/>
            </a:ln>
            <a:effectLst/>
          </c:spPr>
          <c:marker>
            <c:symbol val="circle"/>
            <c:size val="5"/>
            <c:spPr>
              <a:solidFill>
                <a:schemeClr val="accent3"/>
              </a:solidFill>
              <a:ln w="9525">
                <a:solidFill>
                  <a:schemeClr val="accent3"/>
                </a:solidFill>
              </a:ln>
              <a:effectLst/>
            </c:spPr>
          </c:marker>
          <c:trendline>
            <c:spPr>
              <a:ln w="19050" cap="rnd">
                <a:solidFill>
                  <a:schemeClr val="accent3"/>
                </a:solidFill>
                <a:prstDash val="sysDot"/>
              </a:ln>
              <a:effectLst/>
            </c:spPr>
            <c:trendlineType val="linear"/>
            <c:intercept val="0"/>
            <c:dispRSqr val="0"/>
            <c:dispEq val="1"/>
            <c:trendlineLbl>
              <c:layout>
                <c:manualLayout>
                  <c:x val="0.10282848904213333"/>
                  <c:y val="0.11349888375541586"/>
                </c:manualLayout>
              </c:layout>
              <c:numFmt formatCode="#,##0.000000" sourceLinked="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trendlineLbl>
          </c:trendline>
          <c:xVal>
            <c:numRef>
              <c:f>Incontinence!$D$123:$N$123</c:f>
            </c:numRef>
          </c:xVal>
          <c:yVal>
            <c:numRef>
              <c:f>Incontinence!$D$124:$N$124</c:f>
            </c:numRef>
          </c:yVal>
          <c:smooth val="0"/>
          <c:extLst>
            <c:ext xmlns:c16="http://schemas.microsoft.com/office/drawing/2014/chart" uri="{C3380CC4-5D6E-409C-BE32-E72D297353CC}">
              <c16:uniqueId val="{00000005-61EF-40EB-8DA5-848F310A63F4}"/>
            </c:ext>
          </c:extLst>
        </c:ser>
        <c:dLbls>
          <c:showLegendKey val="0"/>
          <c:showVal val="0"/>
          <c:showCatName val="0"/>
          <c:showSerName val="0"/>
          <c:showPercent val="0"/>
          <c:showBubbleSize val="0"/>
        </c:dLbls>
        <c:axId val="689807071"/>
        <c:axId val="689809151"/>
      </c:scatterChart>
      <c:valAx>
        <c:axId val="689807071"/>
        <c:scaling>
          <c:orientation val="minMax"/>
        </c:scaling>
        <c:delete val="0"/>
        <c:axPos val="b"/>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0" spcFirstLastPara="1" vertOverflow="ellipsis" vert="horz" wrap="square" anchor="ctr" anchorCtr="1"/>
              <a:lstStyle/>
              <a:p>
                <a:pPr>
                  <a:defRPr sz="1000" b="1" i="0" u="none" strike="noStrike" kern="1200" baseline="0">
                    <a:solidFill>
                      <a:schemeClr val="tx2"/>
                    </a:solidFill>
                    <a:latin typeface="+mn-lt"/>
                    <a:ea typeface="+mn-ea"/>
                    <a:cs typeface="+mn-cs"/>
                  </a:defRPr>
                </a:pPr>
                <a:r>
                  <a:rPr lang="en-GB" b="1">
                    <a:solidFill>
                      <a:schemeClr val="tx2"/>
                    </a:solidFill>
                  </a:rPr>
                  <a:t>Poids d'une unité (g)</a:t>
                </a:r>
              </a:p>
            </c:rich>
          </c:tx>
          <c:overlay val="0"/>
          <c:spPr>
            <a:noFill/>
            <a:ln>
              <a:noFill/>
            </a:ln>
            <a:effectLst/>
          </c:spPr>
          <c:txPr>
            <a:bodyPr rot="0" spcFirstLastPara="1" vertOverflow="ellipsis" vert="horz" wrap="square" anchor="ctr" anchorCtr="1"/>
            <a:lstStyle/>
            <a:p>
              <a:pPr>
                <a:defRPr sz="1000" b="1" i="0" u="none" strike="noStrike" kern="1200" baseline="0">
                  <a:solidFill>
                    <a:schemeClr val="tx2"/>
                  </a:solidFill>
                  <a:latin typeface="+mn-lt"/>
                  <a:ea typeface="+mn-ea"/>
                  <a:cs typeface="+mn-cs"/>
                </a:defRPr>
              </a:pPr>
              <a:endParaRPr lang="en-US"/>
            </a:p>
          </c:txPr>
        </c:title>
        <c:numFmt formatCode="_ * #\ ##0_)_ ;_ * \(#\ ##0\)_ ;_ * &quot;-&quot;??_)_ ;_ @_ " sourceLinked="1"/>
        <c:majorTickMark val="out"/>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1" i="0" u="none" strike="noStrike" kern="1200" baseline="0">
                <a:solidFill>
                  <a:schemeClr val="tx2"/>
                </a:solidFill>
                <a:latin typeface="+mn-lt"/>
                <a:ea typeface="+mn-ea"/>
                <a:cs typeface="+mn-cs"/>
              </a:defRPr>
            </a:pPr>
            <a:endParaRPr lang="en-US"/>
          </a:p>
        </c:txPr>
        <c:crossAx val="689809151"/>
        <c:crosses val="autoZero"/>
        <c:crossBetween val="midCat"/>
      </c:valAx>
      <c:valAx>
        <c:axId val="689809151"/>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5400000" spcFirstLastPara="1" vertOverflow="ellipsis" vert="horz" wrap="square" anchor="ctr" anchorCtr="1"/>
              <a:lstStyle/>
              <a:p>
                <a:pPr>
                  <a:defRPr sz="1000" b="1" i="0" u="none" strike="noStrike" kern="1200" baseline="0">
                    <a:solidFill>
                      <a:schemeClr val="tx2"/>
                    </a:solidFill>
                    <a:latin typeface="+mn-lt"/>
                    <a:ea typeface="+mn-ea"/>
                    <a:cs typeface="+mn-cs"/>
                  </a:defRPr>
                </a:pPr>
                <a:r>
                  <a:rPr lang="en-GB" b="1">
                    <a:solidFill>
                      <a:schemeClr val="tx2"/>
                    </a:solidFill>
                  </a:rPr>
                  <a:t>Emissions liés à la production</a:t>
                </a:r>
                <a:r>
                  <a:rPr lang="en-GB" b="1" baseline="0">
                    <a:solidFill>
                      <a:schemeClr val="tx2"/>
                    </a:solidFill>
                  </a:rPr>
                  <a:t> (kgCO2e)</a:t>
                </a:r>
                <a:endParaRPr lang="en-GB" b="1">
                  <a:solidFill>
                    <a:schemeClr val="tx2"/>
                  </a:solidFill>
                </a:endParaRPr>
              </a:p>
            </c:rich>
          </c:tx>
          <c:overlay val="0"/>
          <c:spPr>
            <a:noFill/>
            <a:ln>
              <a:noFill/>
            </a:ln>
            <a:effectLst/>
          </c:spPr>
          <c:txPr>
            <a:bodyPr rot="-5400000" spcFirstLastPara="1" vertOverflow="ellipsis" vert="horz" wrap="square" anchor="ctr" anchorCtr="1"/>
            <a:lstStyle/>
            <a:p>
              <a:pPr>
                <a:defRPr sz="1000" b="1" i="0" u="none" strike="noStrike" kern="1200" baseline="0">
                  <a:solidFill>
                    <a:schemeClr val="tx2"/>
                  </a:solidFill>
                  <a:latin typeface="+mn-lt"/>
                  <a:ea typeface="+mn-ea"/>
                  <a:cs typeface="+mn-cs"/>
                </a:defRPr>
              </a:pPr>
              <a:endParaRPr lang="en-US"/>
            </a:p>
          </c:txPr>
        </c:title>
        <c:numFmt formatCode="_ * #\ ##0.00_)_ ;_ * \(#\ ##0.00\)_ ;_ * &quot;-&quot;??_)_ ;_ @_ " sourceLinked="1"/>
        <c:majorTickMark val="out"/>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1" i="0" u="none" strike="noStrike" kern="1200" baseline="0">
                <a:solidFill>
                  <a:schemeClr val="tx2"/>
                </a:solidFill>
                <a:latin typeface="+mn-lt"/>
                <a:ea typeface="+mn-ea"/>
                <a:cs typeface="+mn-cs"/>
              </a:defRPr>
            </a:pPr>
            <a:endParaRPr lang="en-US"/>
          </a:p>
        </c:txPr>
        <c:crossAx val="689807071"/>
        <c:crosses val="autoZero"/>
        <c:crossBetween val="midCat"/>
      </c:valAx>
      <c:spPr>
        <a:noFill/>
        <a:ln>
          <a:noFill/>
        </a:ln>
        <a:effectLst/>
      </c:spPr>
    </c:plotArea>
    <c:legend>
      <c:legendPos val="r"/>
      <c:layout>
        <c:manualLayout>
          <c:xMode val="edge"/>
          <c:yMode val="edge"/>
          <c:x val="0.80206704640027893"/>
          <c:y val="0.33644346500656452"/>
          <c:w val="0.14346921959589082"/>
          <c:h val="0.27397528174571906"/>
        </c:manualLayout>
      </c:layout>
      <c:overlay val="0"/>
      <c:spPr>
        <a:noFill/>
        <a:ln>
          <a:noFill/>
        </a:ln>
        <a:effectLst/>
      </c:spPr>
      <c:txPr>
        <a:bodyPr rot="0" spcFirstLastPara="1" vertOverflow="ellipsis" vert="horz" wrap="square" anchor="ctr" anchorCtr="1"/>
        <a:lstStyle/>
        <a:p>
          <a:pPr>
            <a:defRPr sz="1050" b="1"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20" b="1" i="0" u="none" strike="noStrike" kern="1200" spc="0" baseline="0">
                <a:solidFill>
                  <a:schemeClr val="tx2"/>
                </a:solidFill>
                <a:latin typeface="+mn-lt"/>
                <a:ea typeface="+mn-ea"/>
                <a:cs typeface="+mn-cs"/>
              </a:defRPr>
            </a:pPr>
            <a:r>
              <a:rPr lang="en-GB"/>
              <a:t>Répartition des émissions des industries des DM </a:t>
            </a:r>
          </a:p>
          <a:p>
            <a:pPr>
              <a:defRPr/>
            </a:pPr>
            <a:r>
              <a:rPr lang="en-GB"/>
              <a:t>(hors R&amp;D et activités corporatives)</a:t>
            </a:r>
          </a:p>
        </c:rich>
      </c:tx>
      <c:overlay val="0"/>
      <c:spPr>
        <a:noFill/>
        <a:ln>
          <a:noFill/>
        </a:ln>
        <a:effectLst/>
      </c:spPr>
      <c:txPr>
        <a:bodyPr rot="0" spcFirstLastPara="1" vertOverflow="ellipsis" vert="horz" wrap="square" anchor="ctr" anchorCtr="1"/>
        <a:lstStyle/>
        <a:p>
          <a:pPr>
            <a:defRPr sz="1320" b="1" i="0" u="none" strike="noStrike" kern="1200" spc="0" baseline="0">
              <a:solidFill>
                <a:schemeClr val="tx2"/>
              </a:solidFill>
              <a:latin typeface="+mn-lt"/>
              <a:ea typeface="+mn-ea"/>
              <a:cs typeface="+mn-cs"/>
            </a:defRPr>
          </a:pPr>
          <a:endParaRPr lang="en-US"/>
        </a:p>
      </c:txPr>
    </c:title>
    <c:autoTitleDeleted val="0"/>
    <c:plotArea>
      <c:layout>
        <c:manualLayout>
          <c:layoutTarget val="inner"/>
          <c:xMode val="edge"/>
          <c:yMode val="edge"/>
          <c:x val="9.4840441536565359E-2"/>
          <c:y val="0.2172973183130352"/>
          <c:w val="0.38305172871787962"/>
          <c:h val="0.67597340113110449"/>
        </c:manualLayout>
      </c:layout>
      <c:doughnutChart>
        <c:varyColors val="1"/>
        <c:ser>
          <c:idx val="0"/>
          <c:order val="0"/>
          <c:dLbls>
            <c:dLbl>
              <c:idx val="0"/>
              <c:spPr>
                <a:noFill/>
                <a:ln>
                  <a:noFill/>
                </a:ln>
                <a:effectLst/>
              </c:spPr>
              <c:txPr>
                <a:bodyPr rot="0" spcFirstLastPara="1" vertOverflow="ellipsis" vert="horz" wrap="square" anchor="ctr" anchorCtr="1"/>
                <a:lstStyle/>
                <a:p>
                  <a:pPr>
                    <a:defRPr sz="1100" b="1" i="0" u="none" strike="noStrike" kern="1200" baseline="0">
                      <a:solidFill>
                        <a:schemeClr val="bg2"/>
                      </a:solidFill>
                      <a:latin typeface="+mn-lt"/>
                      <a:ea typeface="+mn-ea"/>
                      <a:cs typeface="+mn-cs"/>
                    </a:defRPr>
                  </a:pPr>
                  <a:endParaRPr lang="en-US"/>
                </a:p>
              </c:txPr>
              <c:showLegendKey val="0"/>
              <c:showVal val="0"/>
              <c:showCatName val="0"/>
              <c:showSerName val="0"/>
              <c:showPercent val="1"/>
              <c:showBubbleSize val="0"/>
              <c:extLst>
                <c:ext xmlns:c16="http://schemas.microsoft.com/office/drawing/2014/chart" uri="{C3380CC4-5D6E-409C-BE32-E72D297353CC}">
                  <c16:uniqueId val="{00000001-3E7A-4392-925A-EA1C4F450922}"/>
                </c:ext>
              </c:extLst>
            </c:dLbl>
            <c:spPr>
              <a:noFill/>
              <a:ln>
                <a:noFill/>
              </a:ln>
              <a:effectLst/>
            </c:spPr>
            <c:txPr>
              <a:bodyPr rot="0" spcFirstLastPara="1" vertOverflow="ellipsis" vert="horz" wrap="square" anchor="ctr" anchorCtr="1"/>
              <a:lstStyle/>
              <a:p>
                <a:pPr>
                  <a:defRPr sz="1100" b="1"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val>
            <c:numRef>
              <c:f>'Résultats généraux'!$D$61:$I$61</c:f>
            </c:numRef>
          </c:val>
          <c:extLst>
            <c:ext xmlns:c15="http://schemas.microsoft.com/office/drawing/2012/chart" uri="{02D57815-91ED-43cb-92C2-25804820EDAC}">
              <c15:filteredCategoryTitle>
                <c15:cat>
                  <c:multiLvlStrRef>
                    <c:extLst>
                      <c:ext uri="{02D57815-91ED-43cb-92C2-25804820EDAC}">
                        <c15:formulaRef>
                          <c15:sqref>'Résultats généraux'!$D$44:$I$44</c15:sqref>
                        </c15:formulaRef>
                      </c:ext>
                    </c:extLst>
                  </c:multiLvlStrRef>
                </c15:cat>
              </c15:filteredCategoryTitle>
            </c:ext>
            <c:ext xmlns:c16="http://schemas.microsoft.com/office/drawing/2014/chart" uri="{C3380CC4-5D6E-409C-BE32-E72D297353CC}">
              <c16:uniqueId val="{00000000-0DEF-4BDE-93B6-10CB11E1FC96}"/>
            </c:ext>
          </c:extLst>
        </c:ser>
        <c:dLbls>
          <c:showLegendKey val="0"/>
          <c:showVal val="0"/>
          <c:showCatName val="0"/>
          <c:showSerName val="0"/>
          <c:showPercent val="1"/>
          <c:showBubbleSize val="0"/>
          <c:showLeaderLines val="1"/>
        </c:dLbls>
        <c:firstSliceAng val="0"/>
        <c:holeSize val="50"/>
      </c:doughnutChart>
      <c:spPr>
        <a:noFill/>
        <a:ln>
          <a:noFill/>
        </a:ln>
        <a:effectLst/>
      </c:spPr>
    </c:plotArea>
    <c:legend>
      <c:legendPos val="r"/>
      <c:layout>
        <c:manualLayout>
          <c:xMode val="edge"/>
          <c:yMode val="edge"/>
          <c:x val="0.47879986831453941"/>
          <c:y val="0.18377518984810762"/>
          <c:w val="0.50521155281833319"/>
          <c:h val="0.77123278731318934"/>
        </c:manualLayout>
      </c:layout>
      <c:overlay val="0"/>
      <c:spPr>
        <a:noFill/>
        <a:ln>
          <a:noFill/>
        </a:ln>
        <a:effectLst/>
      </c:spPr>
      <c:txPr>
        <a:bodyPr rot="0" spcFirstLastPara="1" vertOverflow="ellipsis" vert="horz" wrap="square" anchor="ctr" anchorCtr="1"/>
        <a:lstStyle/>
        <a:p>
          <a:pPr rtl="0">
            <a:defRPr sz="1100" b="1"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100" b="1">
          <a:solidFill>
            <a:schemeClr val="tx2"/>
          </a:solidFill>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2"/>
                </a:solidFill>
                <a:latin typeface="+mn-lt"/>
                <a:ea typeface="+mn-ea"/>
                <a:cs typeface="+mn-cs"/>
              </a:defRPr>
            </a:pPr>
            <a:r>
              <a:rPr lang="en-GB" b="1">
                <a:solidFill>
                  <a:schemeClr val="tx2"/>
                </a:solidFill>
              </a:rPr>
              <a:t>Répartition des émissions des produits pour l'incontinence</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2"/>
              </a:solidFill>
              <a:latin typeface="+mn-lt"/>
              <a:ea typeface="+mn-ea"/>
              <a:cs typeface="+mn-cs"/>
            </a:defRPr>
          </a:pPr>
          <a:endParaRPr lang="en-US"/>
        </a:p>
      </c:txPr>
    </c:title>
    <c:autoTitleDeleted val="0"/>
    <c:plotArea>
      <c:layout>
        <c:manualLayout>
          <c:layoutTarget val="inner"/>
          <c:xMode val="edge"/>
          <c:yMode val="edge"/>
          <c:x val="0.12682741557635147"/>
          <c:y val="0.24472858765399846"/>
          <c:w val="0.44676657930069474"/>
          <c:h val="0.62682729615039956"/>
        </c:manualLayout>
      </c:layout>
      <c:doughnutChart>
        <c:varyColors val="1"/>
        <c:ser>
          <c:idx val="0"/>
          <c:order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val>
            <c:numRef>
              <c:f>Incontinence!$J$18:$N$18</c:f>
            </c:numRef>
          </c:val>
          <c:extLst>
            <c:ext xmlns:c15="http://schemas.microsoft.com/office/drawing/2012/chart" uri="{02D57815-91ED-43cb-92C2-25804820EDAC}">
              <c15:filteredCategoryTitle>
                <c15:cat>
                  <c:multiLvlStrRef>
                    <c:extLst>
                      <c:ext uri="{02D57815-91ED-43cb-92C2-25804820EDAC}">
                        <c15:formulaRef>
                          <c15:sqref>Incontinence!$J$12:$N$12</c15:sqref>
                        </c15:formulaRef>
                      </c:ext>
                    </c:extLst>
                  </c:multiLvlStrRef>
                </c15:cat>
              </c15:filteredCategoryTitle>
            </c:ext>
            <c:ext xmlns:c16="http://schemas.microsoft.com/office/drawing/2014/chart" uri="{C3380CC4-5D6E-409C-BE32-E72D297353CC}">
              <c16:uniqueId val="{00000000-90D5-484D-B7A3-1BAB460CB54C}"/>
            </c:ext>
          </c:extLst>
        </c:ser>
        <c:dLbls>
          <c:showLegendKey val="0"/>
          <c:showVal val="0"/>
          <c:showCatName val="0"/>
          <c:showSerName val="0"/>
          <c:showPercent val="1"/>
          <c:showBubbleSize val="0"/>
          <c:showLeaderLines val="1"/>
        </c:dLbls>
        <c:firstSliceAng val="0"/>
        <c:holeSize val="50"/>
      </c:doughnutChart>
      <c:spPr>
        <a:noFill/>
        <a:ln>
          <a:noFill/>
        </a:ln>
        <a:effectLst/>
      </c:spPr>
    </c:plotArea>
    <c:legend>
      <c:legendPos val="r"/>
      <c:layout>
        <c:manualLayout>
          <c:xMode val="edge"/>
          <c:yMode val="edge"/>
          <c:x val="0.59761467863494111"/>
          <c:y val="0.25493108233024064"/>
          <c:w val="0.40238532136505895"/>
          <c:h val="0.60842490151973683"/>
        </c:manualLayout>
      </c:layout>
      <c:overlay val="0"/>
      <c:spPr>
        <a:noFill/>
        <a:ln>
          <a:noFill/>
        </a:ln>
        <a:effectLst/>
      </c:spPr>
      <c:txPr>
        <a:bodyPr rot="0" spcFirstLastPara="1" vertOverflow="ellipsis" vert="horz" wrap="square" anchor="ctr" anchorCtr="1"/>
        <a:lstStyle/>
        <a:p>
          <a:pPr>
            <a:defRPr sz="1100" b="1"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2"/>
                </a:solidFill>
                <a:latin typeface="+mn-lt"/>
                <a:ea typeface="+mn-ea"/>
                <a:cs typeface="+mn-cs"/>
              </a:defRPr>
            </a:pPr>
            <a:r>
              <a:rPr lang="en-GB" b="1">
                <a:solidFill>
                  <a:schemeClr val="tx2"/>
                </a:solidFill>
              </a:rPr>
              <a:t>Répartition des émissions des produits pour l'incontinence</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2"/>
              </a:solidFill>
              <a:latin typeface="+mn-lt"/>
              <a:ea typeface="+mn-ea"/>
              <a:cs typeface="+mn-cs"/>
            </a:defRPr>
          </a:pPr>
          <a:endParaRPr lang="en-US"/>
        </a:p>
      </c:txPr>
    </c:title>
    <c:autoTitleDeleted val="0"/>
    <c:plotArea>
      <c:layout>
        <c:manualLayout>
          <c:layoutTarget val="inner"/>
          <c:xMode val="edge"/>
          <c:yMode val="edge"/>
          <c:x val="5.060235346752899E-2"/>
          <c:y val="0.24045342326214572"/>
          <c:w val="0.44676657930069474"/>
          <c:h val="0.62682729615039956"/>
        </c:manualLayout>
      </c:layout>
      <c:doughnutChart>
        <c:varyColors val="1"/>
        <c:ser>
          <c:idx val="0"/>
          <c:order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multiLvlStrRef>
              <c:f>Incontinence!$B$13:$B$17</c:f>
            </c:multiLvlStrRef>
          </c:cat>
          <c:val>
            <c:numRef>
              <c:f>Incontinence!$O$13:$O$17</c:f>
            </c:numRef>
          </c:val>
          <c:extLst>
            <c:ext xmlns:c16="http://schemas.microsoft.com/office/drawing/2014/chart" uri="{C3380CC4-5D6E-409C-BE32-E72D297353CC}">
              <c16:uniqueId val="{0000000A-A2E1-4084-94E9-4F6523B32C94}"/>
            </c:ext>
          </c:extLst>
        </c:ser>
        <c:dLbls>
          <c:showLegendKey val="0"/>
          <c:showVal val="0"/>
          <c:showCatName val="0"/>
          <c:showSerName val="0"/>
          <c:showPercent val="1"/>
          <c:showBubbleSize val="0"/>
          <c:showLeaderLines val="1"/>
        </c:dLbls>
        <c:firstSliceAng val="0"/>
        <c:holeSize val="50"/>
      </c:doughnutChart>
      <c:spPr>
        <a:noFill/>
        <a:ln>
          <a:noFill/>
        </a:ln>
        <a:effectLst/>
      </c:spPr>
    </c:plotArea>
    <c:legend>
      <c:legendPos val="r"/>
      <c:layout>
        <c:manualLayout>
          <c:xMode val="edge"/>
          <c:yMode val="edge"/>
          <c:x val="0.49712088066726706"/>
          <c:y val="0.24210558915468219"/>
          <c:w val="0.49201492159064675"/>
          <c:h val="0.60414973712788389"/>
        </c:manualLayout>
      </c:layout>
      <c:overlay val="0"/>
      <c:spPr>
        <a:noFill/>
        <a:ln>
          <a:noFill/>
        </a:ln>
        <a:effectLst/>
      </c:spPr>
      <c:txPr>
        <a:bodyPr rot="0" spcFirstLastPara="1" vertOverflow="ellipsis" vert="horz" wrap="square" anchor="ctr" anchorCtr="1"/>
        <a:lstStyle/>
        <a:p>
          <a:pPr>
            <a:defRPr sz="1100" b="1"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ofPieChart>
        <c:ofPieType val="bar"/>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5-0A67-422B-BADD-DAA096F8EBF7}"/>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6-0A67-422B-BADD-DAA096F8EBF7}"/>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7-0A67-422B-BADD-DAA096F8EBF7}"/>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8-0A67-422B-BADD-DAA096F8EBF7}"/>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0A67-422B-BADD-DAA096F8EBF7}"/>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A-0A67-422B-BADD-DAA096F8EBF7}"/>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3-0A67-422B-BADD-DAA096F8EBF7}"/>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4-0A67-422B-BADD-DAA096F8EBF7}"/>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02-0A67-422B-BADD-DAA096F8EBF7}"/>
              </c:ext>
            </c:extLst>
          </c:dPt>
          <c:dPt>
            <c:idx val="9"/>
            <c:bubble3D val="0"/>
            <c:spPr>
              <a:solidFill>
                <a:schemeClr val="tx2"/>
              </a:solidFill>
              <a:ln w="19050">
                <a:solidFill>
                  <a:schemeClr val="lt1"/>
                </a:solidFill>
              </a:ln>
              <a:effectLst/>
            </c:spPr>
            <c:extLst>
              <c:ext xmlns:c16="http://schemas.microsoft.com/office/drawing/2014/chart" uri="{C3380CC4-5D6E-409C-BE32-E72D297353CC}">
                <c16:uniqueId val="{00000013-E012-4B7E-BC7F-257A522C01BB}"/>
              </c:ext>
            </c:extLst>
          </c:dPt>
          <c:dLbls>
            <c:dLbl>
              <c:idx val="9"/>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bg2"/>
                      </a:solidFill>
                      <a:latin typeface="+mn-lt"/>
                      <a:ea typeface="+mn-ea"/>
                      <a:cs typeface="+mn-cs"/>
                    </a:defRPr>
                  </a:pPr>
                  <a:endParaRPr lang="en-US"/>
                </a:p>
              </c:txPr>
              <c:showLegendKey val="0"/>
              <c:showVal val="0"/>
              <c:showCatName val="0"/>
              <c:showSerName val="0"/>
              <c:showPercent val="1"/>
              <c:showBubbleSize val="0"/>
              <c:extLst>
                <c:ext xmlns:c16="http://schemas.microsoft.com/office/drawing/2014/chart" uri="{C3380CC4-5D6E-409C-BE32-E72D297353CC}">
                  <c16:uniqueId val="{00000013-E012-4B7E-BC7F-257A522C01BB}"/>
                </c:ext>
              </c:extLst>
            </c:dLbl>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multiLvlStrRef>
              <c:f>Pansements!$B$34:$B$42</c:f>
            </c:multiLvlStrRef>
          </c:cat>
          <c:val>
            <c:numRef>
              <c:f>Pansements!$C$34:$C$42</c:f>
            </c:numRef>
          </c:val>
          <c:extLst>
            <c:ext xmlns:c16="http://schemas.microsoft.com/office/drawing/2014/chart" uri="{C3380CC4-5D6E-409C-BE32-E72D297353CC}">
              <c16:uniqueId val="{00000000-0A67-422B-BADD-DAA096F8EBF7}"/>
            </c:ext>
          </c:extLst>
        </c:ser>
        <c:dLbls>
          <c:showLegendKey val="0"/>
          <c:showVal val="0"/>
          <c:showCatName val="0"/>
          <c:showSerName val="0"/>
          <c:showPercent val="1"/>
          <c:showBubbleSize val="0"/>
          <c:showLeaderLines val="1"/>
        </c:dLbls>
        <c:gapWidth val="150"/>
        <c:splitType val="cust"/>
        <c:custSplit>
          <c:secondPiePt val="0"/>
          <c:secondPiePt val="1"/>
          <c:secondPiePt val="2"/>
          <c:secondPiePt val="3"/>
          <c:secondPiePt val="4"/>
          <c:secondPiePt val="5"/>
          <c:secondPiePt val="6"/>
        </c:custSplit>
        <c:secondPieSize val="75"/>
        <c:serLines>
          <c:spPr>
            <a:ln w="15875" cap="flat" cmpd="sng" algn="ctr">
              <a:solidFill>
                <a:schemeClr val="accent1"/>
              </a:solidFill>
              <a:round/>
            </a:ln>
            <a:effectLst/>
          </c:spPr>
        </c:serLines>
      </c:ofPieChart>
      <c:spPr>
        <a:noFill/>
        <a:ln>
          <a:noFill/>
        </a:ln>
        <a:effectLst/>
      </c:spPr>
    </c:plotArea>
    <c:legend>
      <c:legendPos val="r"/>
      <c:layout>
        <c:manualLayout>
          <c:xMode val="edge"/>
          <c:yMode val="edge"/>
          <c:x val="0.66131058344910565"/>
          <c:y val="0.11985307233813544"/>
          <c:w val="0.32808092193108573"/>
          <c:h val="0.7497892939548525"/>
        </c:manualLayout>
      </c:layout>
      <c:overlay val="0"/>
      <c:spPr>
        <a:noFill/>
        <a:ln>
          <a:noFill/>
        </a:ln>
        <a:effectLst/>
      </c:spPr>
      <c:txPr>
        <a:bodyPr rot="0" spcFirstLastPara="1" vertOverflow="ellipsis" vert="horz" wrap="square" anchor="ctr" anchorCtr="1"/>
        <a:lstStyle/>
        <a:p>
          <a:pPr>
            <a:defRPr sz="1000" b="1"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560383290926182"/>
          <c:y val="0.141849356916847"/>
          <c:w val="0.41520472746587234"/>
          <c:h val="0.74415037908217951"/>
        </c:manualLayout>
      </c:layout>
      <c:doughnutChart>
        <c:varyColors val="1"/>
        <c:ser>
          <c:idx val="0"/>
          <c:order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val>
            <c:numRef>
              <c:f>Pansements!$D$10:$H$10</c:f>
            </c:numRef>
          </c:val>
          <c:extLst>
            <c:ext xmlns:c15="http://schemas.microsoft.com/office/drawing/2012/chart" uri="{02D57815-91ED-43cb-92C2-25804820EDAC}">
              <c15:filteredCategoryTitle>
                <c15:cat>
                  <c:multiLvlStrRef>
                    <c:extLst>
                      <c:ext uri="{02D57815-91ED-43cb-92C2-25804820EDAC}">
                        <c15:formulaRef>
                          <c15:sqref>Pansements!$D$9:$H$9</c15:sqref>
                        </c15:formulaRef>
                      </c:ext>
                    </c:extLst>
                  </c:multiLvlStrRef>
                </c15:cat>
              </c15:filteredCategoryTitle>
            </c:ext>
            <c:ext xmlns:c16="http://schemas.microsoft.com/office/drawing/2014/chart" uri="{C3380CC4-5D6E-409C-BE32-E72D297353CC}">
              <c16:uniqueId val="{00000000-B885-4A30-8AA7-E640E2351FA3}"/>
            </c:ext>
          </c:extLst>
        </c:ser>
        <c:dLbls>
          <c:showLegendKey val="0"/>
          <c:showVal val="0"/>
          <c:showCatName val="0"/>
          <c:showSerName val="0"/>
          <c:showPercent val="1"/>
          <c:showBubbleSize val="0"/>
          <c:showLeaderLines val="1"/>
        </c:dLbls>
        <c:firstSliceAng val="0"/>
        <c:holeSize val="50"/>
      </c:doughnutChart>
      <c:spPr>
        <a:noFill/>
        <a:ln>
          <a:noFill/>
        </a:ln>
        <a:effectLst/>
      </c:spPr>
    </c:plotArea>
    <c:legend>
      <c:legendPos val="r"/>
      <c:layout>
        <c:manualLayout>
          <c:xMode val="edge"/>
          <c:yMode val="edge"/>
          <c:x val="0.5519619165697851"/>
          <c:y val="0.17396331246407071"/>
          <c:w val="0.44803808343021484"/>
          <c:h val="0.73452853252866068"/>
        </c:manualLayout>
      </c:layout>
      <c:overlay val="0"/>
      <c:spPr>
        <a:noFill/>
        <a:ln>
          <a:noFill/>
        </a:ln>
        <a:effectLst/>
      </c:spPr>
      <c:txPr>
        <a:bodyPr rot="0" spcFirstLastPara="1" vertOverflow="ellipsis" vert="horz" wrap="square" anchor="ctr" anchorCtr="1"/>
        <a:lstStyle/>
        <a:p>
          <a:pPr rtl="0">
            <a:defRPr sz="1050" b="1"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44872397094083E-2"/>
          <c:y val="0.12269869122085494"/>
          <c:w val="0.42011101829465192"/>
          <c:h val="0.75460261755829006"/>
        </c:manualLayout>
      </c:layout>
      <c:doughnutChart>
        <c:varyColors val="1"/>
        <c:ser>
          <c:idx val="0"/>
          <c:order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val>
            <c:numRef>
              <c:f>Pansements!$D$11:$H$11</c:f>
            </c:numRef>
          </c:val>
          <c:extLst>
            <c:ext xmlns:c15="http://schemas.microsoft.com/office/drawing/2012/chart" uri="{02D57815-91ED-43cb-92C2-25804820EDAC}">
              <c15:filteredCategoryTitle>
                <c15:cat>
                  <c:multiLvlStrRef>
                    <c:extLst>
                      <c:ext uri="{02D57815-91ED-43cb-92C2-25804820EDAC}">
                        <c15:formulaRef>
                          <c15:sqref>Pansements!$D$9:$H$9</c15:sqref>
                        </c15:formulaRef>
                      </c:ext>
                    </c:extLst>
                  </c:multiLvlStrRef>
                </c15:cat>
              </c15:filteredCategoryTitle>
            </c:ext>
            <c:ext xmlns:c16="http://schemas.microsoft.com/office/drawing/2014/chart" uri="{C3380CC4-5D6E-409C-BE32-E72D297353CC}">
              <c16:uniqueId val="{0000000A-0ED1-4F2F-825C-1E4EDAECDBFC}"/>
            </c:ext>
          </c:extLst>
        </c:ser>
        <c:dLbls>
          <c:showLegendKey val="0"/>
          <c:showVal val="0"/>
          <c:showCatName val="0"/>
          <c:showSerName val="0"/>
          <c:showPercent val="1"/>
          <c:showBubbleSize val="0"/>
          <c:showLeaderLines val="1"/>
        </c:dLbls>
        <c:firstSliceAng val="0"/>
        <c:holeSize val="50"/>
      </c:doughnutChart>
      <c:spPr>
        <a:noFill/>
        <a:ln>
          <a:noFill/>
        </a:ln>
        <a:effectLst/>
      </c:spPr>
    </c:plotArea>
    <c:legend>
      <c:legendPos val="r"/>
      <c:layout>
        <c:manualLayout>
          <c:xMode val="edge"/>
          <c:yMode val="edge"/>
          <c:x val="0.59963745603146767"/>
          <c:y val="0.13638588762563417"/>
          <c:w val="0.35161391082550725"/>
          <c:h val="0.74877443374461616"/>
        </c:manualLayout>
      </c:layout>
      <c:overlay val="0"/>
      <c:spPr>
        <a:noFill/>
        <a:ln>
          <a:noFill/>
        </a:ln>
        <a:effectLst/>
      </c:spPr>
      <c:txPr>
        <a:bodyPr rot="0" spcFirstLastPara="1" vertOverflow="ellipsis" vert="horz" wrap="square" anchor="ctr" anchorCtr="1"/>
        <a:lstStyle/>
        <a:p>
          <a:pPr rtl="0">
            <a:defRPr sz="1050" b="1"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Instruments!$B$130</c:f>
              <c:strCache>
                <c:ptCount val="1"/>
                <c:pt idx="0">
                  <c:v>Production des matières premières</c:v>
                </c:pt>
              </c:strCache>
            </c:strRef>
          </c:tx>
          <c:spPr>
            <a:solidFill>
              <a:schemeClr val="accent1"/>
            </a:solidFill>
            <a:ln>
              <a:noFill/>
            </a:ln>
            <a:effectLst/>
          </c:spPr>
          <c:invertIfNegative val="0"/>
          <c:val>
            <c:numRef>
              <c:f>Instruments!$C$130:$D$130</c:f>
            </c:numRef>
          </c:val>
          <c:extLst>
            <c:ext xmlns:c15="http://schemas.microsoft.com/office/drawing/2012/chart" uri="{02D57815-91ED-43cb-92C2-25804820EDAC}">
              <c15:filteredCategoryTitle>
                <c15:cat>
                  <c:multiLvlStrRef>
                    <c:extLst>
                      <c:ext uri="{02D57815-91ED-43cb-92C2-25804820EDAC}">
                        <c15:formulaRef>
                          <c15:sqref>Instruments!$C$129:$D$129</c15:sqref>
                        </c15:formulaRef>
                      </c:ext>
                    </c:extLst>
                  </c:multiLvlStrRef>
                </c15:cat>
              </c15:filteredCategoryTitle>
            </c:ext>
            <c:ext xmlns:c16="http://schemas.microsoft.com/office/drawing/2014/chart" uri="{C3380CC4-5D6E-409C-BE32-E72D297353CC}">
              <c16:uniqueId val="{00000000-D11B-4E04-8A3D-8F653AD07619}"/>
            </c:ext>
          </c:extLst>
        </c:ser>
        <c:ser>
          <c:idx val="1"/>
          <c:order val="1"/>
          <c:tx>
            <c:strRef>
              <c:f>Instruments!$B$131</c:f>
              <c:strCache>
                <c:ptCount val="1"/>
                <c:pt idx="0">
                  <c:v>Production des emballages</c:v>
                </c:pt>
              </c:strCache>
            </c:strRef>
          </c:tx>
          <c:spPr>
            <a:solidFill>
              <a:schemeClr val="accent2"/>
            </a:solidFill>
            <a:ln>
              <a:noFill/>
            </a:ln>
            <a:effectLst/>
          </c:spPr>
          <c:invertIfNegative val="0"/>
          <c:val>
            <c:numRef>
              <c:f>Instruments!$C$131:$D$131</c:f>
            </c:numRef>
          </c:val>
          <c:extLst>
            <c:ext xmlns:c15="http://schemas.microsoft.com/office/drawing/2012/chart" uri="{02D57815-91ED-43cb-92C2-25804820EDAC}">
              <c15:filteredCategoryTitle>
                <c15:cat>
                  <c:multiLvlStrRef>
                    <c:extLst>
                      <c:ext uri="{02D57815-91ED-43cb-92C2-25804820EDAC}">
                        <c15:formulaRef>
                          <c15:sqref>Instruments!$C$129:$D$129</c15:sqref>
                        </c15:formulaRef>
                      </c:ext>
                    </c:extLst>
                  </c:multiLvlStrRef>
                </c15:cat>
              </c15:filteredCategoryTitle>
            </c:ext>
            <c:ext xmlns:c16="http://schemas.microsoft.com/office/drawing/2014/chart" uri="{C3380CC4-5D6E-409C-BE32-E72D297353CC}">
              <c16:uniqueId val="{00000001-D11B-4E04-8A3D-8F653AD07619}"/>
            </c:ext>
          </c:extLst>
        </c:ser>
        <c:ser>
          <c:idx val="2"/>
          <c:order val="2"/>
          <c:tx>
            <c:strRef>
              <c:f>Instruments!$B$132</c:f>
              <c:strCache>
                <c:ptCount val="1"/>
                <c:pt idx="0">
                  <c:v>Production</c:v>
                </c:pt>
              </c:strCache>
            </c:strRef>
          </c:tx>
          <c:spPr>
            <a:solidFill>
              <a:schemeClr val="accent3"/>
            </a:solidFill>
            <a:ln>
              <a:noFill/>
            </a:ln>
            <a:effectLst/>
          </c:spPr>
          <c:invertIfNegative val="0"/>
          <c:val>
            <c:numRef>
              <c:f>Instruments!$C$132:$D$132</c:f>
            </c:numRef>
          </c:val>
          <c:extLst>
            <c:ext xmlns:c15="http://schemas.microsoft.com/office/drawing/2012/chart" uri="{02D57815-91ED-43cb-92C2-25804820EDAC}">
              <c15:filteredCategoryTitle>
                <c15:cat>
                  <c:multiLvlStrRef>
                    <c:extLst>
                      <c:ext uri="{02D57815-91ED-43cb-92C2-25804820EDAC}">
                        <c15:formulaRef>
                          <c15:sqref>Instruments!$C$129:$D$129</c15:sqref>
                        </c15:formulaRef>
                      </c:ext>
                    </c:extLst>
                  </c:multiLvlStrRef>
                </c15:cat>
              </c15:filteredCategoryTitle>
            </c:ext>
            <c:ext xmlns:c16="http://schemas.microsoft.com/office/drawing/2014/chart" uri="{C3380CC4-5D6E-409C-BE32-E72D297353CC}">
              <c16:uniqueId val="{00000002-D11B-4E04-8A3D-8F653AD07619}"/>
            </c:ext>
          </c:extLst>
        </c:ser>
        <c:ser>
          <c:idx val="3"/>
          <c:order val="3"/>
          <c:tx>
            <c:strRef>
              <c:f>Instruments!$B$133</c:f>
              <c:strCache>
                <c:ptCount val="1"/>
                <c:pt idx="0">
                  <c:v>Stérilisation</c:v>
                </c:pt>
              </c:strCache>
            </c:strRef>
          </c:tx>
          <c:spPr>
            <a:solidFill>
              <a:schemeClr val="accent4"/>
            </a:solidFill>
            <a:ln>
              <a:noFill/>
            </a:ln>
            <a:effectLst/>
          </c:spPr>
          <c:invertIfNegative val="0"/>
          <c:val>
            <c:numRef>
              <c:f>Instruments!$C$133:$D$133</c:f>
            </c:numRef>
          </c:val>
          <c:extLst>
            <c:ext xmlns:c15="http://schemas.microsoft.com/office/drawing/2012/chart" uri="{02D57815-91ED-43cb-92C2-25804820EDAC}">
              <c15:filteredCategoryTitle>
                <c15:cat>
                  <c:multiLvlStrRef>
                    <c:extLst>
                      <c:ext uri="{02D57815-91ED-43cb-92C2-25804820EDAC}">
                        <c15:formulaRef>
                          <c15:sqref>Instruments!$C$129:$D$129</c15:sqref>
                        </c15:formulaRef>
                      </c:ext>
                    </c:extLst>
                  </c:multiLvlStrRef>
                </c15:cat>
              </c15:filteredCategoryTitle>
            </c:ext>
            <c:ext xmlns:c16="http://schemas.microsoft.com/office/drawing/2014/chart" uri="{C3380CC4-5D6E-409C-BE32-E72D297353CC}">
              <c16:uniqueId val="{00000003-D11B-4E04-8A3D-8F653AD07619}"/>
            </c:ext>
          </c:extLst>
        </c:ser>
        <c:ser>
          <c:idx val="4"/>
          <c:order val="4"/>
          <c:tx>
            <c:strRef>
              <c:f>Instruments!$B$134</c:f>
              <c:strCache>
                <c:ptCount val="1"/>
                <c:pt idx="0">
                  <c:v>Transport et distribution</c:v>
                </c:pt>
              </c:strCache>
            </c:strRef>
          </c:tx>
          <c:spPr>
            <a:solidFill>
              <a:schemeClr val="accent5"/>
            </a:solidFill>
            <a:ln>
              <a:noFill/>
            </a:ln>
            <a:effectLst/>
          </c:spPr>
          <c:invertIfNegative val="0"/>
          <c:val>
            <c:numRef>
              <c:f>Instruments!$C$134:$D$134</c:f>
            </c:numRef>
          </c:val>
          <c:extLst>
            <c:ext xmlns:c15="http://schemas.microsoft.com/office/drawing/2012/chart" uri="{02D57815-91ED-43cb-92C2-25804820EDAC}">
              <c15:filteredCategoryTitle>
                <c15:cat>
                  <c:multiLvlStrRef>
                    <c:extLst>
                      <c:ext uri="{02D57815-91ED-43cb-92C2-25804820EDAC}">
                        <c15:formulaRef>
                          <c15:sqref>Instruments!$C$129:$D$129</c15:sqref>
                        </c15:formulaRef>
                      </c:ext>
                    </c:extLst>
                  </c:multiLvlStrRef>
                </c15:cat>
              </c15:filteredCategoryTitle>
            </c:ext>
            <c:ext xmlns:c16="http://schemas.microsoft.com/office/drawing/2014/chart" uri="{C3380CC4-5D6E-409C-BE32-E72D297353CC}">
              <c16:uniqueId val="{00000004-D11B-4E04-8A3D-8F653AD07619}"/>
            </c:ext>
          </c:extLst>
        </c:ser>
        <c:ser>
          <c:idx val="5"/>
          <c:order val="5"/>
          <c:tx>
            <c:strRef>
              <c:f>Instruments!$B$135</c:f>
              <c:strCache>
                <c:ptCount val="1"/>
                <c:pt idx="0">
                  <c:v>Utilisation</c:v>
                </c:pt>
              </c:strCache>
            </c:strRef>
          </c:tx>
          <c:spPr>
            <a:solidFill>
              <a:schemeClr val="accent6"/>
            </a:solidFill>
            <a:ln>
              <a:noFill/>
            </a:ln>
            <a:effectLst/>
          </c:spPr>
          <c:invertIfNegative val="0"/>
          <c:val>
            <c:numRef>
              <c:f>Instruments!$C$135:$D$135</c:f>
            </c:numRef>
          </c:val>
          <c:extLst>
            <c:ext xmlns:c15="http://schemas.microsoft.com/office/drawing/2012/chart" uri="{02D57815-91ED-43cb-92C2-25804820EDAC}">
              <c15:filteredCategoryTitle>
                <c15:cat>
                  <c:multiLvlStrRef>
                    <c:extLst>
                      <c:ext uri="{02D57815-91ED-43cb-92C2-25804820EDAC}">
                        <c15:formulaRef>
                          <c15:sqref>Instruments!$C$129:$D$129</c15:sqref>
                        </c15:formulaRef>
                      </c:ext>
                    </c:extLst>
                  </c:multiLvlStrRef>
                </c15:cat>
              </c15:filteredCategoryTitle>
            </c:ext>
            <c:ext xmlns:c16="http://schemas.microsoft.com/office/drawing/2014/chart" uri="{C3380CC4-5D6E-409C-BE32-E72D297353CC}">
              <c16:uniqueId val="{00000005-D11B-4E04-8A3D-8F653AD07619}"/>
            </c:ext>
          </c:extLst>
        </c:ser>
        <c:ser>
          <c:idx val="6"/>
          <c:order val="6"/>
          <c:tx>
            <c:strRef>
              <c:f>Instruments!$B$136</c:f>
              <c:strCache>
                <c:ptCount val="1"/>
                <c:pt idx="0">
                  <c:v>Fin de vie</c:v>
                </c:pt>
              </c:strCache>
            </c:strRef>
          </c:tx>
          <c:spPr>
            <a:solidFill>
              <a:schemeClr val="accent1">
                <a:lumMod val="60000"/>
              </a:schemeClr>
            </a:solidFill>
            <a:ln>
              <a:noFill/>
            </a:ln>
            <a:effectLst/>
          </c:spPr>
          <c:invertIfNegative val="0"/>
          <c:val>
            <c:numRef>
              <c:f>Instruments!$C$136:$D$136</c:f>
            </c:numRef>
          </c:val>
          <c:extLst>
            <c:ext xmlns:c15="http://schemas.microsoft.com/office/drawing/2012/chart" uri="{02D57815-91ED-43cb-92C2-25804820EDAC}">
              <c15:filteredCategoryTitle>
                <c15:cat>
                  <c:multiLvlStrRef>
                    <c:extLst>
                      <c:ext uri="{02D57815-91ED-43cb-92C2-25804820EDAC}">
                        <c15:formulaRef>
                          <c15:sqref>Instruments!$C$129:$D$129</c15:sqref>
                        </c15:formulaRef>
                      </c:ext>
                    </c:extLst>
                  </c:multiLvlStrRef>
                </c15:cat>
              </c15:filteredCategoryTitle>
            </c:ext>
            <c:ext xmlns:c16="http://schemas.microsoft.com/office/drawing/2014/chart" uri="{C3380CC4-5D6E-409C-BE32-E72D297353CC}">
              <c16:uniqueId val="{00000006-D11B-4E04-8A3D-8F653AD07619}"/>
            </c:ext>
          </c:extLst>
        </c:ser>
        <c:dLbls>
          <c:showLegendKey val="0"/>
          <c:showVal val="0"/>
          <c:showCatName val="0"/>
          <c:showSerName val="0"/>
          <c:showPercent val="0"/>
          <c:showBubbleSize val="0"/>
        </c:dLbls>
        <c:gapWidth val="75"/>
        <c:overlap val="100"/>
        <c:axId val="547470096"/>
        <c:axId val="547463856"/>
      </c:barChart>
      <c:catAx>
        <c:axId val="547470096"/>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b="1">
                    <a:solidFill>
                      <a:schemeClr val="accent1"/>
                    </a:solidFill>
                  </a:rPr>
                  <a:t>Empreinte carbone</a:t>
                </a:r>
                <a:r>
                  <a:rPr lang="en-GB" b="1" baseline="0">
                    <a:solidFill>
                      <a:schemeClr val="accent1"/>
                    </a:solidFill>
                  </a:rPr>
                  <a:t> d'un urétéroscope à usage unique de 208g environ </a:t>
                </a:r>
                <a:endParaRPr lang="en-GB" b="1">
                  <a:solidFill>
                    <a:schemeClr val="accent1"/>
                  </a:solidFill>
                </a:endParaRPr>
              </a:p>
            </c:rich>
          </c:tx>
          <c:layout>
            <c:manualLayout>
              <c:xMode val="edge"/>
              <c:yMode val="edge"/>
              <c:x val="0.13025265989225218"/>
              <c:y val="0.92697200139913061"/>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accent1"/>
                </a:solidFill>
                <a:latin typeface="+mn-lt"/>
                <a:ea typeface="+mn-ea"/>
                <a:cs typeface="+mn-cs"/>
              </a:defRPr>
            </a:pPr>
            <a:endParaRPr lang="en-US"/>
          </a:p>
        </c:txPr>
        <c:crossAx val="547463856"/>
        <c:crosses val="autoZero"/>
        <c:auto val="1"/>
        <c:lblAlgn val="ctr"/>
        <c:lblOffset val="100"/>
        <c:noMultiLvlLbl val="0"/>
      </c:catAx>
      <c:valAx>
        <c:axId val="547463856"/>
        <c:scaling>
          <c:orientation val="minMax"/>
          <c:max val="5.2"/>
          <c:min val="0"/>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b="1">
                    <a:solidFill>
                      <a:schemeClr val="accent1"/>
                    </a:solidFill>
                  </a:rPr>
                  <a:t>Emissions (en</a:t>
                </a:r>
                <a:r>
                  <a:rPr lang="en-GB" b="1" baseline="0">
                    <a:solidFill>
                      <a:schemeClr val="accent1"/>
                    </a:solidFill>
                  </a:rPr>
                  <a:t> </a:t>
                </a:r>
                <a:r>
                  <a:rPr lang="en-GB" b="1">
                    <a:solidFill>
                      <a:schemeClr val="accent1"/>
                    </a:solidFill>
                  </a:rPr>
                  <a:t>kgCO2e)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accent1"/>
                </a:solidFill>
                <a:latin typeface="+mn-lt"/>
                <a:ea typeface="+mn-ea"/>
                <a:cs typeface="+mn-cs"/>
              </a:defRPr>
            </a:pPr>
            <a:endParaRPr lang="en-US"/>
          </a:p>
        </c:txPr>
        <c:crossAx val="54747009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1" i="0" u="none" strike="noStrike" kern="1200" baseline="0">
              <a:solidFill>
                <a:schemeClr val="accent1"/>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2"/>
                </a:solidFill>
                <a:latin typeface="+mn-lt"/>
                <a:ea typeface="+mn-ea"/>
                <a:cs typeface="+mn-cs"/>
              </a:defRPr>
            </a:pPr>
            <a:r>
              <a:rPr lang="en-GB"/>
              <a:t>Empreinte</a:t>
            </a:r>
            <a:r>
              <a:rPr lang="en-GB" baseline="0"/>
              <a:t> carbone de bronchoscopes flexibles</a:t>
            </a:r>
            <a:endParaRPr lang="en-GB"/>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2"/>
              </a:solidFill>
              <a:latin typeface="+mn-lt"/>
              <a:ea typeface="+mn-ea"/>
              <a:cs typeface="+mn-cs"/>
            </a:defRPr>
          </a:pPr>
          <a:endParaRPr lang="en-US"/>
        </a:p>
      </c:txPr>
    </c:title>
    <c:autoTitleDeleted val="0"/>
    <c:plotArea>
      <c:layout>
        <c:manualLayout>
          <c:layoutTarget val="inner"/>
          <c:xMode val="edge"/>
          <c:yMode val="edge"/>
          <c:x val="0.10123801788919148"/>
          <c:y val="0.15070953167852097"/>
          <c:w val="0.5581067424334698"/>
          <c:h val="0.66589438728868466"/>
        </c:manualLayout>
      </c:layout>
      <c:barChart>
        <c:barDir val="col"/>
        <c:grouping val="clustered"/>
        <c:varyColors val="0"/>
        <c:ser>
          <c:idx val="0"/>
          <c:order val="0"/>
          <c:tx>
            <c:strRef>
              <c:f>Instruments!$C$203</c:f>
              <c:strCache>
                <c:ptCount val="1"/>
                <c:pt idx="0">
                  <c:v>Usage Unique</c:v>
                </c:pt>
              </c:strCache>
            </c:strRef>
          </c:tx>
          <c:spPr>
            <a:solidFill>
              <a:schemeClr val="accent1"/>
            </a:solidFill>
            <a:ln>
              <a:noFill/>
            </a:ln>
            <a:effectLst/>
          </c:spPr>
          <c:invertIfNegative val="0"/>
          <c:cat>
            <c:multiLvlStrRef>
              <c:f>Instruments!$B$204:$B$206</c:f>
            </c:multiLvlStrRef>
          </c:cat>
          <c:val>
            <c:numRef>
              <c:f>Instruments!$C$204:$C$206</c:f>
            </c:numRef>
          </c:val>
          <c:extLst>
            <c:ext xmlns:c16="http://schemas.microsoft.com/office/drawing/2014/chart" uri="{C3380CC4-5D6E-409C-BE32-E72D297353CC}">
              <c16:uniqueId val="{00000000-BD0E-4068-9F9E-1B97C9A89630}"/>
            </c:ext>
          </c:extLst>
        </c:ser>
        <c:ser>
          <c:idx val="1"/>
          <c:order val="1"/>
          <c:tx>
            <c:strRef>
              <c:f>Instruments!$D$203</c:f>
              <c:strCache>
                <c:ptCount val="1"/>
                <c:pt idx="0">
                  <c:v>Réutilisable</c:v>
                </c:pt>
              </c:strCache>
            </c:strRef>
          </c:tx>
          <c:spPr>
            <a:solidFill>
              <a:schemeClr val="accent2"/>
            </a:solidFill>
            <a:ln>
              <a:noFill/>
            </a:ln>
            <a:effectLst/>
          </c:spPr>
          <c:invertIfNegative val="0"/>
          <c:cat>
            <c:multiLvlStrRef>
              <c:f>Instruments!$B$204:$B$206</c:f>
            </c:multiLvlStrRef>
          </c:cat>
          <c:val>
            <c:numRef>
              <c:f>Instruments!$D$204:$D$206</c:f>
            </c:numRef>
          </c:val>
          <c:extLst>
            <c:ext xmlns:c16="http://schemas.microsoft.com/office/drawing/2014/chart" uri="{C3380CC4-5D6E-409C-BE32-E72D297353CC}">
              <c16:uniqueId val="{00000001-BD0E-4068-9F9E-1B97C9A89630}"/>
            </c:ext>
          </c:extLst>
        </c:ser>
        <c:dLbls>
          <c:showLegendKey val="0"/>
          <c:showVal val="0"/>
          <c:showCatName val="0"/>
          <c:showSerName val="0"/>
          <c:showPercent val="0"/>
          <c:showBubbleSize val="0"/>
        </c:dLbls>
        <c:gapWidth val="100"/>
        <c:axId val="1934678576"/>
        <c:axId val="1934679408"/>
      </c:barChart>
      <c:barChart>
        <c:barDir val="col"/>
        <c:grouping val="stacked"/>
        <c:varyColors val="0"/>
        <c:ser>
          <c:idx val="2"/>
          <c:order val="2"/>
          <c:spPr>
            <a:solidFill>
              <a:schemeClr val="accent3"/>
            </a:solidFill>
            <a:ln>
              <a:noFill/>
            </a:ln>
            <a:effectLst/>
          </c:spPr>
          <c:invertIfNegative val="0"/>
          <c:cat>
            <c:multiLvlStrRef>
              <c:f>Instruments!$B$204:$B$206</c:f>
            </c:multiLvlStrRef>
          </c:cat>
          <c:val>
            <c:numRef>
              <c:f>Instruments!$E$204:$E$206</c:f>
            </c:numRef>
          </c:val>
          <c:extLst>
            <c:ext xmlns:c16="http://schemas.microsoft.com/office/drawing/2014/chart" uri="{C3380CC4-5D6E-409C-BE32-E72D297353CC}">
              <c16:uniqueId val="{00000002-BD0E-4068-9F9E-1B97C9A89630}"/>
            </c:ext>
          </c:extLst>
        </c:ser>
        <c:ser>
          <c:idx val="3"/>
          <c:order val="3"/>
          <c:tx>
            <c:strRef>
              <c:f>Instruments!$F$203</c:f>
              <c:strCache>
                <c:ptCount val="1"/>
              </c:strCache>
            </c:strRef>
          </c:tx>
          <c:spPr>
            <a:solidFill>
              <a:schemeClr val="accent4"/>
            </a:solidFill>
            <a:ln>
              <a:noFill/>
            </a:ln>
            <a:effectLst/>
          </c:spPr>
          <c:invertIfNegative val="0"/>
          <c:cat>
            <c:multiLvlStrRef>
              <c:f>Instruments!$B$204:$B$206</c:f>
            </c:multiLvlStrRef>
          </c:cat>
          <c:val>
            <c:numRef>
              <c:f>Instruments!$F$204:$F$206</c:f>
            </c:numRef>
          </c:val>
          <c:extLst>
            <c:ext xmlns:c16="http://schemas.microsoft.com/office/drawing/2014/chart" uri="{C3380CC4-5D6E-409C-BE32-E72D297353CC}">
              <c16:uniqueId val="{00000004-BD0E-4068-9F9E-1B97C9A89630}"/>
            </c:ext>
          </c:extLst>
        </c:ser>
        <c:dLbls>
          <c:showLegendKey val="0"/>
          <c:showVal val="0"/>
          <c:showCatName val="0"/>
          <c:showSerName val="0"/>
          <c:showPercent val="0"/>
          <c:showBubbleSize val="0"/>
        </c:dLbls>
        <c:gapWidth val="200"/>
        <c:overlap val="100"/>
        <c:axId val="1551856192"/>
        <c:axId val="1551851616"/>
      </c:barChart>
      <c:catAx>
        <c:axId val="19346785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2"/>
                </a:solidFill>
                <a:latin typeface="+mn-lt"/>
                <a:ea typeface="+mn-ea"/>
                <a:cs typeface="+mn-cs"/>
              </a:defRPr>
            </a:pPr>
            <a:endParaRPr lang="en-US"/>
          </a:p>
        </c:txPr>
        <c:crossAx val="1934679408"/>
        <c:crosses val="autoZero"/>
        <c:auto val="1"/>
        <c:lblAlgn val="ctr"/>
        <c:lblOffset val="100"/>
        <c:noMultiLvlLbl val="0"/>
      </c:catAx>
      <c:valAx>
        <c:axId val="1934679408"/>
        <c:scaling>
          <c:orientation val="minMax"/>
          <c:max val="6"/>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tx2"/>
                    </a:solidFill>
                    <a:latin typeface="+mn-lt"/>
                    <a:ea typeface="+mn-ea"/>
                    <a:cs typeface="+mn-cs"/>
                  </a:defRPr>
                </a:pPr>
                <a:r>
                  <a:rPr lang="en-GB"/>
                  <a:t>Emissions par unité (en kgCO2e)</a:t>
                </a:r>
              </a:p>
            </c:rich>
          </c:tx>
          <c:overlay val="0"/>
          <c:spPr>
            <a:noFill/>
            <a:ln>
              <a:noFill/>
            </a:ln>
            <a:effectLst/>
          </c:spPr>
          <c:txPr>
            <a:bodyPr rot="-5400000" spcFirstLastPara="1" vertOverflow="ellipsis" vert="horz" wrap="square" anchor="ctr" anchorCtr="1"/>
            <a:lstStyle/>
            <a:p>
              <a:pPr>
                <a:defRPr sz="1000" b="1" i="0" u="none" strike="noStrike" kern="1200" baseline="0">
                  <a:solidFill>
                    <a:schemeClr val="tx2"/>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2"/>
                </a:solidFill>
                <a:latin typeface="+mn-lt"/>
                <a:ea typeface="+mn-ea"/>
                <a:cs typeface="+mn-cs"/>
              </a:defRPr>
            </a:pPr>
            <a:endParaRPr lang="en-US"/>
          </a:p>
        </c:txPr>
        <c:crossAx val="1934678576"/>
        <c:crosses val="autoZero"/>
        <c:crossBetween val="between"/>
      </c:valAx>
      <c:valAx>
        <c:axId val="1551851616"/>
        <c:scaling>
          <c:orientation val="minMax"/>
          <c:max val="6"/>
          <c:min val="0"/>
        </c:scaling>
        <c:delete val="1"/>
        <c:axPos val="r"/>
        <c:numFmt formatCode="0.0" sourceLinked="1"/>
        <c:majorTickMark val="out"/>
        <c:minorTickMark val="none"/>
        <c:tickLblPos val="nextTo"/>
        <c:crossAx val="1551856192"/>
        <c:crosses val="max"/>
        <c:crossBetween val="between"/>
      </c:valAx>
      <c:catAx>
        <c:axId val="1551856192"/>
        <c:scaling>
          <c:orientation val="minMax"/>
        </c:scaling>
        <c:delete val="1"/>
        <c:axPos val="b"/>
        <c:numFmt formatCode="General" sourceLinked="1"/>
        <c:majorTickMark val="out"/>
        <c:minorTickMark val="none"/>
        <c:tickLblPos val="nextTo"/>
        <c:crossAx val="1551851616"/>
        <c:crosses val="autoZero"/>
        <c:auto val="1"/>
        <c:lblAlgn val="ctr"/>
        <c:lblOffset val="100"/>
        <c:noMultiLvlLbl val="0"/>
      </c:catAx>
      <c:spPr>
        <a:noFill/>
        <a:ln>
          <a:noFill/>
        </a:ln>
        <a:effectLst/>
      </c:spPr>
    </c:plotArea>
    <c:legend>
      <c:legendPos val="r"/>
      <c:layout>
        <c:manualLayout>
          <c:xMode val="edge"/>
          <c:yMode val="edge"/>
          <c:x val="0.7471650761989409"/>
          <c:y val="0.41320006579273055"/>
          <c:w val="0.17434163319106957"/>
          <c:h val="0.16994901063382992"/>
        </c:manualLayout>
      </c:layout>
      <c:overlay val="0"/>
      <c:spPr>
        <a:noFill/>
        <a:ln>
          <a:noFill/>
        </a:ln>
        <a:effectLst/>
      </c:spPr>
      <c:txPr>
        <a:bodyPr rot="0" spcFirstLastPara="1" vertOverflow="ellipsis" vert="horz" wrap="square" anchor="ctr" anchorCtr="1"/>
        <a:lstStyle/>
        <a:p>
          <a:pPr>
            <a:defRPr sz="1000" b="1"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chemeClr val="tx2"/>
          </a:solidFill>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346835515594934E-2"/>
          <c:y val="3.640662209613537E-2"/>
          <c:w val="0.52356802030124772"/>
          <c:h val="0.78875845861085669"/>
        </c:manualLayout>
      </c:layout>
      <c:barChart>
        <c:barDir val="col"/>
        <c:grouping val="stacked"/>
        <c:varyColors val="0"/>
        <c:ser>
          <c:idx val="0"/>
          <c:order val="0"/>
          <c:tx>
            <c:strRef>
              <c:f>Instruments!$B$130</c:f>
              <c:strCache>
                <c:ptCount val="1"/>
                <c:pt idx="0">
                  <c:v>Production des matières premières</c:v>
                </c:pt>
              </c:strCache>
            </c:strRef>
          </c:tx>
          <c:spPr>
            <a:solidFill>
              <a:schemeClr val="accent1"/>
            </a:solidFill>
            <a:ln>
              <a:noFill/>
            </a:ln>
            <a:effectLst/>
          </c:spPr>
          <c:invertIfNegative val="0"/>
          <c:val>
            <c:numRef>
              <c:f>Instruments!$C$130:$E$130</c:f>
            </c:numRef>
          </c:val>
          <c:extLst>
            <c:ext xmlns:c15="http://schemas.microsoft.com/office/drawing/2012/chart" uri="{02D57815-91ED-43cb-92C2-25804820EDAC}">
              <c15:filteredCategoryTitle>
                <c15:cat>
                  <c:multiLvlStrRef>
                    <c:extLst>
                      <c:ext uri="{02D57815-91ED-43cb-92C2-25804820EDAC}">
                        <c15:formulaRef>
                          <c15:sqref>Instruments!$C$129:$E$129</c15:sqref>
                        </c15:formulaRef>
                      </c:ext>
                    </c:extLst>
                  </c:multiLvlStrRef>
                </c15:cat>
              </c15:filteredCategoryTitle>
            </c:ext>
            <c:ext xmlns:c16="http://schemas.microsoft.com/office/drawing/2014/chart" uri="{C3380CC4-5D6E-409C-BE32-E72D297353CC}">
              <c16:uniqueId val="{00000000-1182-4417-AB21-2D2607BAE560}"/>
            </c:ext>
          </c:extLst>
        </c:ser>
        <c:ser>
          <c:idx val="1"/>
          <c:order val="1"/>
          <c:tx>
            <c:strRef>
              <c:f>Instruments!$B$131</c:f>
              <c:strCache>
                <c:ptCount val="1"/>
                <c:pt idx="0">
                  <c:v>Production des emballages</c:v>
                </c:pt>
              </c:strCache>
            </c:strRef>
          </c:tx>
          <c:spPr>
            <a:solidFill>
              <a:schemeClr val="accent2"/>
            </a:solidFill>
            <a:ln>
              <a:noFill/>
            </a:ln>
            <a:effectLst/>
          </c:spPr>
          <c:invertIfNegative val="0"/>
          <c:val>
            <c:numRef>
              <c:f>Instruments!$C$131:$E$131</c:f>
            </c:numRef>
          </c:val>
          <c:extLst>
            <c:ext xmlns:c15="http://schemas.microsoft.com/office/drawing/2012/chart" uri="{02D57815-91ED-43cb-92C2-25804820EDAC}">
              <c15:filteredCategoryTitle>
                <c15:cat>
                  <c:multiLvlStrRef>
                    <c:extLst>
                      <c:ext uri="{02D57815-91ED-43cb-92C2-25804820EDAC}">
                        <c15:formulaRef>
                          <c15:sqref>Instruments!$C$129:$E$129</c15:sqref>
                        </c15:formulaRef>
                      </c:ext>
                    </c:extLst>
                  </c:multiLvlStrRef>
                </c15:cat>
              </c15:filteredCategoryTitle>
            </c:ext>
            <c:ext xmlns:c16="http://schemas.microsoft.com/office/drawing/2014/chart" uri="{C3380CC4-5D6E-409C-BE32-E72D297353CC}">
              <c16:uniqueId val="{00000001-1182-4417-AB21-2D2607BAE560}"/>
            </c:ext>
          </c:extLst>
        </c:ser>
        <c:ser>
          <c:idx val="2"/>
          <c:order val="2"/>
          <c:tx>
            <c:strRef>
              <c:f>Instruments!$B$132</c:f>
              <c:strCache>
                <c:ptCount val="1"/>
                <c:pt idx="0">
                  <c:v>Production</c:v>
                </c:pt>
              </c:strCache>
            </c:strRef>
          </c:tx>
          <c:spPr>
            <a:solidFill>
              <a:schemeClr val="accent3"/>
            </a:solidFill>
            <a:ln>
              <a:noFill/>
            </a:ln>
            <a:effectLst/>
          </c:spPr>
          <c:invertIfNegative val="0"/>
          <c:val>
            <c:numRef>
              <c:f>Instruments!$C$132:$E$132</c:f>
            </c:numRef>
          </c:val>
          <c:extLst>
            <c:ext xmlns:c15="http://schemas.microsoft.com/office/drawing/2012/chart" uri="{02D57815-91ED-43cb-92C2-25804820EDAC}">
              <c15:filteredCategoryTitle>
                <c15:cat>
                  <c:multiLvlStrRef>
                    <c:extLst>
                      <c:ext uri="{02D57815-91ED-43cb-92C2-25804820EDAC}">
                        <c15:formulaRef>
                          <c15:sqref>Instruments!$C$129:$E$129</c15:sqref>
                        </c15:formulaRef>
                      </c:ext>
                    </c:extLst>
                  </c:multiLvlStrRef>
                </c15:cat>
              </c15:filteredCategoryTitle>
            </c:ext>
            <c:ext xmlns:c16="http://schemas.microsoft.com/office/drawing/2014/chart" uri="{C3380CC4-5D6E-409C-BE32-E72D297353CC}">
              <c16:uniqueId val="{00000002-1182-4417-AB21-2D2607BAE560}"/>
            </c:ext>
          </c:extLst>
        </c:ser>
        <c:ser>
          <c:idx val="3"/>
          <c:order val="3"/>
          <c:tx>
            <c:strRef>
              <c:f>Instruments!$B$133</c:f>
              <c:strCache>
                <c:ptCount val="1"/>
                <c:pt idx="0">
                  <c:v>Stérilisation</c:v>
                </c:pt>
              </c:strCache>
            </c:strRef>
          </c:tx>
          <c:spPr>
            <a:solidFill>
              <a:schemeClr val="accent4"/>
            </a:solidFill>
            <a:ln>
              <a:noFill/>
            </a:ln>
            <a:effectLst/>
          </c:spPr>
          <c:invertIfNegative val="0"/>
          <c:val>
            <c:numRef>
              <c:f>Instruments!$C$133:$E$133</c:f>
            </c:numRef>
          </c:val>
          <c:extLst>
            <c:ext xmlns:c15="http://schemas.microsoft.com/office/drawing/2012/chart" uri="{02D57815-91ED-43cb-92C2-25804820EDAC}">
              <c15:filteredCategoryTitle>
                <c15:cat>
                  <c:multiLvlStrRef>
                    <c:extLst>
                      <c:ext uri="{02D57815-91ED-43cb-92C2-25804820EDAC}">
                        <c15:formulaRef>
                          <c15:sqref>Instruments!$C$129:$E$129</c15:sqref>
                        </c15:formulaRef>
                      </c:ext>
                    </c:extLst>
                  </c:multiLvlStrRef>
                </c15:cat>
              </c15:filteredCategoryTitle>
            </c:ext>
            <c:ext xmlns:c16="http://schemas.microsoft.com/office/drawing/2014/chart" uri="{C3380CC4-5D6E-409C-BE32-E72D297353CC}">
              <c16:uniqueId val="{00000003-1182-4417-AB21-2D2607BAE560}"/>
            </c:ext>
          </c:extLst>
        </c:ser>
        <c:ser>
          <c:idx val="4"/>
          <c:order val="4"/>
          <c:tx>
            <c:strRef>
              <c:f>Instruments!$B$134</c:f>
              <c:strCache>
                <c:ptCount val="1"/>
                <c:pt idx="0">
                  <c:v>Transport et distribution</c:v>
                </c:pt>
              </c:strCache>
            </c:strRef>
          </c:tx>
          <c:spPr>
            <a:solidFill>
              <a:schemeClr val="accent5"/>
            </a:solidFill>
            <a:ln>
              <a:noFill/>
            </a:ln>
            <a:effectLst/>
          </c:spPr>
          <c:invertIfNegative val="0"/>
          <c:val>
            <c:numRef>
              <c:f>Instruments!$C$134:$E$134</c:f>
            </c:numRef>
          </c:val>
          <c:extLst>
            <c:ext xmlns:c15="http://schemas.microsoft.com/office/drawing/2012/chart" uri="{02D57815-91ED-43cb-92C2-25804820EDAC}">
              <c15:filteredCategoryTitle>
                <c15:cat>
                  <c:multiLvlStrRef>
                    <c:extLst>
                      <c:ext uri="{02D57815-91ED-43cb-92C2-25804820EDAC}">
                        <c15:formulaRef>
                          <c15:sqref>Instruments!$C$129:$E$129</c15:sqref>
                        </c15:formulaRef>
                      </c:ext>
                    </c:extLst>
                  </c:multiLvlStrRef>
                </c15:cat>
              </c15:filteredCategoryTitle>
            </c:ext>
            <c:ext xmlns:c16="http://schemas.microsoft.com/office/drawing/2014/chart" uri="{C3380CC4-5D6E-409C-BE32-E72D297353CC}">
              <c16:uniqueId val="{00000004-1182-4417-AB21-2D2607BAE560}"/>
            </c:ext>
          </c:extLst>
        </c:ser>
        <c:ser>
          <c:idx val="5"/>
          <c:order val="5"/>
          <c:tx>
            <c:strRef>
              <c:f>Instruments!$B$135</c:f>
              <c:strCache>
                <c:ptCount val="1"/>
                <c:pt idx="0">
                  <c:v>Utilisation</c:v>
                </c:pt>
              </c:strCache>
            </c:strRef>
          </c:tx>
          <c:spPr>
            <a:solidFill>
              <a:schemeClr val="accent6"/>
            </a:solidFill>
            <a:ln>
              <a:noFill/>
            </a:ln>
            <a:effectLst/>
          </c:spPr>
          <c:invertIfNegative val="0"/>
          <c:val>
            <c:numRef>
              <c:f>Instruments!$C$135:$E$135</c:f>
            </c:numRef>
          </c:val>
          <c:extLst>
            <c:ext xmlns:c15="http://schemas.microsoft.com/office/drawing/2012/chart" uri="{02D57815-91ED-43cb-92C2-25804820EDAC}">
              <c15:filteredCategoryTitle>
                <c15:cat>
                  <c:multiLvlStrRef>
                    <c:extLst>
                      <c:ext uri="{02D57815-91ED-43cb-92C2-25804820EDAC}">
                        <c15:formulaRef>
                          <c15:sqref>Instruments!$C$129:$E$129</c15:sqref>
                        </c15:formulaRef>
                      </c:ext>
                    </c:extLst>
                  </c:multiLvlStrRef>
                </c15:cat>
              </c15:filteredCategoryTitle>
            </c:ext>
            <c:ext xmlns:c16="http://schemas.microsoft.com/office/drawing/2014/chart" uri="{C3380CC4-5D6E-409C-BE32-E72D297353CC}">
              <c16:uniqueId val="{00000005-1182-4417-AB21-2D2607BAE560}"/>
            </c:ext>
          </c:extLst>
        </c:ser>
        <c:ser>
          <c:idx val="6"/>
          <c:order val="6"/>
          <c:tx>
            <c:strRef>
              <c:f>Instruments!$B$136</c:f>
              <c:strCache>
                <c:ptCount val="1"/>
                <c:pt idx="0">
                  <c:v>Fin de vie</c:v>
                </c:pt>
              </c:strCache>
            </c:strRef>
          </c:tx>
          <c:spPr>
            <a:solidFill>
              <a:schemeClr val="accent1">
                <a:lumMod val="60000"/>
              </a:schemeClr>
            </a:solidFill>
            <a:ln>
              <a:noFill/>
            </a:ln>
            <a:effectLst/>
          </c:spPr>
          <c:invertIfNegative val="0"/>
          <c:val>
            <c:numRef>
              <c:f>Instruments!$C$136:$E$136</c:f>
            </c:numRef>
          </c:val>
          <c:extLst>
            <c:ext xmlns:c15="http://schemas.microsoft.com/office/drawing/2012/chart" uri="{02D57815-91ED-43cb-92C2-25804820EDAC}">
              <c15:filteredCategoryTitle>
                <c15:cat>
                  <c:multiLvlStrRef>
                    <c:extLst>
                      <c:ext uri="{02D57815-91ED-43cb-92C2-25804820EDAC}">
                        <c15:formulaRef>
                          <c15:sqref>Instruments!$C$129:$E$129</c15:sqref>
                        </c15:formulaRef>
                      </c:ext>
                    </c:extLst>
                  </c:multiLvlStrRef>
                </c15:cat>
              </c15:filteredCategoryTitle>
            </c:ext>
            <c:ext xmlns:c16="http://schemas.microsoft.com/office/drawing/2014/chart" uri="{C3380CC4-5D6E-409C-BE32-E72D297353CC}">
              <c16:uniqueId val="{00000006-1182-4417-AB21-2D2607BAE560}"/>
            </c:ext>
          </c:extLst>
        </c:ser>
        <c:ser>
          <c:idx val="7"/>
          <c:order val="7"/>
          <c:tx>
            <c:strRef>
              <c:f>Instruments!$B$137</c:f>
              <c:strCache>
                <c:ptCount val="1"/>
                <c:pt idx="0">
                  <c:v>Total bas</c:v>
                </c:pt>
              </c:strCache>
            </c:strRef>
          </c:tx>
          <c:spPr>
            <a:solidFill>
              <a:schemeClr val="accent2">
                <a:lumMod val="60000"/>
              </a:schemeClr>
            </a:solidFill>
            <a:ln>
              <a:noFill/>
            </a:ln>
            <a:effectLst/>
          </c:spPr>
          <c:invertIfNegative val="0"/>
          <c:val>
            <c:numRef>
              <c:f>Instruments!$C$137:$E$137</c:f>
            </c:numRef>
          </c:val>
          <c:extLst>
            <c:ext xmlns:c15="http://schemas.microsoft.com/office/drawing/2012/chart" uri="{02D57815-91ED-43cb-92C2-25804820EDAC}">
              <c15:filteredCategoryTitle>
                <c15:cat>
                  <c:multiLvlStrRef>
                    <c:extLst>
                      <c:ext uri="{02D57815-91ED-43cb-92C2-25804820EDAC}">
                        <c15:formulaRef>
                          <c15:sqref>Instruments!$C$129:$E$129</c15:sqref>
                        </c15:formulaRef>
                      </c:ext>
                    </c:extLst>
                  </c:multiLvlStrRef>
                </c15:cat>
              </c15:filteredCategoryTitle>
            </c:ext>
            <c:ext xmlns:c16="http://schemas.microsoft.com/office/drawing/2014/chart" uri="{C3380CC4-5D6E-409C-BE32-E72D297353CC}">
              <c16:uniqueId val="{00000008-1182-4417-AB21-2D2607BAE560}"/>
            </c:ext>
          </c:extLst>
        </c:ser>
        <c:ser>
          <c:idx val="8"/>
          <c:order val="8"/>
          <c:tx>
            <c:strRef>
              <c:f>Instruments!$B$138</c:f>
              <c:strCache>
                <c:ptCount val="1"/>
                <c:pt idx="0">
                  <c:v>Total haut</c:v>
                </c:pt>
              </c:strCache>
            </c:strRef>
          </c:tx>
          <c:spPr>
            <a:solidFill>
              <a:schemeClr val="accent3">
                <a:lumMod val="60000"/>
              </a:schemeClr>
            </a:solidFill>
            <a:ln>
              <a:noFill/>
            </a:ln>
            <a:effectLst/>
          </c:spPr>
          <c:invertIfNegative val="0"/>
          <c:val>
            <c:numRef>
              <c:f>Instruments!$C$138:$E$138</c:f>
            </c:numRef>
          </c:val>
          <c:extLst>
            <c:ext xmlns:c15="http://schemas.microsoft.com/office/drawing/2012/chart" uri="{02D57815-91ED-43cb-92C2-25804820EDAC}">
              <c15:filteredCategoryTitle>
                <c15:cat>
                  <c:multiLvlStrRef>
                    <c:extLst>
                      <c:ext uri="{02D57815-91ED-43cb-92C2-25804820EDAC}">
                        <c15:formulaRef>
                          <c15:sqref>Instruments!$C$129:$E$129</c15:sqref>
                        </c15:formulaRef>
                      </c:ext>
                    </c:extLst>
                  </c:multiLvlStrRef>
                </c15:cat>
              </c15:filteredCategoryTitle>
            </c:ext>
            <c:ext xmlns:c16="http://schemas.microsoft.com/office/drawing/2014/chart" uri="{C3380CC4-5D6E-409C-BE32-E72D297353CC}">
              <c16:uniqueId val="{00000009-1182-4417-AB21-2D2607BAE560}"/>
            </c:ext>
          </c:extLst>
        </c:ser>
        <c:dLbls>
          <c:showLegendKey val="0"/>
          <c:showVal val="0"/>
          <c:showCatName val="0"/>
          <c:showSerName val="0"/>
          <c:showPercent val="0"/>
          <c:showBubbleSize val="0"/>
        </c:dLbls>
        <c:gapWidth val="75"/>
        <c:overlap val="100"/>
        <c:axId val="547470096"/>
        <c:axId val="547463856"/>
      </c:barChart>
      <c:catAx>
        <c:axId val="547470096"/>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b="1">
                    <a:solidFill>
                      <a:schemeClr val="accent1"/>
                    </a:solidFill>
                  </a:rPr>
                  <a:t>Empreinte carbone</a:t>
                </a:r>
                <a:r>
                  <a:rPr lang="en-GB" b="1" baseline="0">
                    <a:solidFill>
                      <a:schemeClr val="accent1"/>
                    </a:solidFill>
                  </a:rPr>
                  <a:t> d'un urétéroscope à usage unique de 208g environ </a:t>
                </a:r>
                <a:endParaRPr lang="en-GB" b="1">
                  <a:solidFill>
                    <a:schemeClr val="accent1"/>
                  </a:solidFill>
                </a:endParaRPr>
              </a:p>
            </c:rich>
          </c:tx>
          <c:layout>
            <c:manualLayout>
              <c:xMode val="edge"/>
              <c:yMode val="edge"/>
              <c:x val="0.13025265989225218"/>
              <c:y val="0.92697200139913061"/>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accent1"/>
                </a:solidFill>
                <a:latin typeface="+mn-lt"/>
                <a:ea typeface="+mn-ea"/>
                <a:cs typeface="+mn-cs"/>
              </a:defRPr>
            </a:pPr>
            <a:endParaRPr lang="en-US"/>
          </a:p>
        </c:txPr>
        <c:crossAx val="547463856"/>
        <c:crosses val="autoZero"/>
        <c:auto val="1"/>
        <c:lblAlgn val="ctr"/>
        <c:lblOffset val="100"/>
        <c:noMultiLvlLbl val="0"/>
      </c:catAx>
      <c:valAx>
        <c:axId val="547463856"/>
        <c:scaling>
          <c:orientation val="minMax"/>
          <c:max val="8"/>
          <c:min val="0"/>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b="1">
                    <a:solidFill>
                      <a:schemeClr val="accent1"/>
                    </a:solidFill>
                  </a:rPr>
                  <a:t>Emissions (en</a:t>
                </a:r>
                <a:r>
                  <a:rPr lang="en-GB" b="1" baseline="0">
                    <a:solidFill>
                      <a:schemeClr val="accent1"/>
                    </a:solidFill>
                  </a:rPr>
                  <a:t> </a:t>
                </a:r>
                <a:r>
                  <a:rPr lang="en-GB" b="1">
                    <a:solidFill>
                      <a:schemeClr val="accent1"/>
                    </a:solidFill>
                  </a:rPr>
                  <a:t>kgCO2e)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accent1"/>
                </a:solidFill>
                <a:latin typeface="+mn-lt"/>
                <a:ea typeface="+mn-ea"/>
                <a:cs typeface="+mn-cs"/>
              </a:defRPr>
            </a:pPr>
            <a:endParaRPr lang="en-US"/>
          </a:p>
        </c:txPr>
        <c:crossAx val="547470096"/>
        <c:crosses val="autoZero"/>
        <c:crossBetween val="between"/>
      </c:valAx>
      <c:spPr>
        <a:noFill/>
        <a:ln>
          <a:noFill/>
        </a:ln>
        <a:effectLst/>
      </c:spPr>
    </c:plotArea>
    <c:legend>
      <c:legendPos val="r"/>
      <c:layout>
        <c:manualLayout>
          <c:xMode val="edge"/>
          <c:yMode val="edge"/>
          <c:x val="0.71129435609074931"/>
          <c:y val="0.19278309732008692"/>
          <c:w val="0.27966454928660189"/>
          <c:h val="0.49859429263001753"/>
        </c:manualLayout>
      </c:layout>
      <c:overlay val="0"/>
      <c:spPr>
        <a:noFill/>
        <a:ln>
          <a:noFill/>
        </a:ln>
        <a:effectLst/>
      </c:spPr>
      <c:txPr>
        <a:bodyPr rot="0" spcFirstLastPara="1" vertOverflow="ellipsis" vert="horz" wrap="square" anchor="ctr" anchorCtr="1"/>
        <a:lstStyle/>
        <a:p>
          <a:pPr>
            <a:defRPr sz="1000" b="1" i="0" u="none" strike="noStrike" kern="1200" baseline="0">
              <a:solidFill>
                <a:schemeClr val="accent1"/>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Instruments!$B$235</c:f>
              <c:strCache>
                <c:ptCount val="1"/>
                <c:pt idx="0">
                  <c:v>Matières premières</c:v>
                </c:pt>
              </c:strCache>
            </c:strRef>
          </c:tx>
          <c:spPr>
            <a:solidFill>
              <a:schemeClr val="accent1"/>
            </a:solidFill>
            <a:ln>
              <a:noFill/>
            </a:ln>
            <a:effectLst/>
          </c:spPr>
          <c:invertIfNegative val="0"/>
          <c:val>
            <c:numRef>
              <c:f>Instruments!$F$235:$H$235</c:f>
            </c:numRef>
          </c:val>
          <c:extLst>
            <c:ext xmlns:c15="http://schemas.microsoft.com/office/drawing/2012/chart" uri="{02D57815-91ED-43cb-92C2-25804820EDAC}">
              <c15:filteredCategoryTitle>
                <c15:cat>
                  <c:multiLvlStrRef>
                    <c:extLst>
                      <c:ext uri="{02D57815-91ED-43cb-92C2-25804820EDAC}">
                        <c15:formulaRef>
                          <c15:sqref>Instruments!$F$234:$H$234</c15:sqref>
                        </c15:formulaRef>
                      </c:ext>
                    </c:extLst>
                  </c:multiLvlStrRef>
                </c15:cat>
              </c15:filteredCategoryTitle>
            </c:ext>
            <c:ext xmlns:c16="http://schemas.microsoft.com/office/drawing/2014/chart" uri="{C3380CC4-5D6E-409C-BE32-E72D297353CC}">
              <c16:uniqueId val="{00000000-B479-4693-8897-031FDD853C89}"/>
            </c:ext>
          </c:extLst>
        </c:ser>
        <c:ser>
          <c:idx val="1"/>
          <c:order val="1"/>
          <c:tx>
            <c:strRef>
              <c:f>Instruments!$B$236</c:f>
              <c:strCache>
                <c:ptCount val="1"/>
                <c:pt idx="0">
                  <c:v>Production</c:v>
                </c:pt>
              </c:strCache>
            </c:strRef>
          </c:tx>
          <c:spPr>
            <a:solidFill>
              <a:schemeClr val="accent2"/>
            </a:solidFill>
            <a:ln>
              <a:noFill/>
            </a:ln>
            <a:effectLst/>
          </c:spPr>
          <c:invertIfNegative val="0"/>
          <c:val>
            <c:numRef>
              <c:f>Instruments!$F$236:$H$236</c:f>
            </c:numRef>
          </c:val>
          <c:extLst>
            <c:ext xmlns:c15="http://schemas.microsoft.com/office/drawing/2012/chart" uri="{02D57815-91ED-43cb-92C2-25804820EDAC}">
              <c15:filteredCategoryTitle>
                <c15:cat>
                  <c:multiLvlStrRef>
                    <c:extLst>
                      <c:ext uri="{02D57815-91ED-43cb-92C2-25804820EDAC}">
                        <c15:formulaRef>
                          <c15:sqref>Instruments!$F$234:$H$234</c15:sqref>
                        </c15:formulaRef>
                      </c:ext>
                    </c:extLst>
                  </c:multiLvlStrRef>
                </c15:cat>
              </c15:filteredCategoryTitle>
            </c:ext>
            <c:ext xmlns:c16="http://schemas.microsoft.com/office/drawing/2014/chart" uri="{C3380CC4-5D6E-409C-BE32-E72D297353CC}">
              <c16:uniqueId val="{00000001-B479-4693-8897-031FDD853C89}"/>
            </c:ext>
          </c:extLst>
        </c:ser>
        <c:ser>
          <c:idx val="2"/>
          <c:order val="2"/>
          <c:tx>
            <c:strRef>
              <c:f>Instruments!$B$237</c:f>
              <c:strCache>
                <c:ptCount val="1"/>
                <c:pt idx="0">
                  <c:v>Restérilisation - électricité</c:v>
                </c:pt>
              </c:strCache>
            </c:strRef>
          </c:tx>
          <c:spPr>
            <a:solidFill>
              <a:schemeClr val="accent3"/>
            </a:solidFill>
            <a:ln>
              <a:noFill/>
            </a:ln>
            <a:effectLst/>
          </c:spPr>
          <c:invertIfNegative val="0"/>
          <c:val>
            <c:numRef>
              <c:f>Instruments!$F$237:$H$237</c:f>
            </c:numRef>
          </c:val>
          <c:extLst>
            <c:ext xmlns:c15="http://schemas.microsoft.com/office/drawing/2012/chart" uri="{02D57815-91ED-43cb-92C2-25804820EDAC}">
              <c15:filteredCategoryTitle>
                <c15:cat>
                  <c:multiLvlStrRef>
                    <c:extLst>
                      <c:ext uri="{02D57815-91ED-43cb-92C2-25804820EDAC}">
                        <c15:formulaRef>
                          <c15:sqref>Instruments!$F$234:$H$234</c15:sqref>
                        </c15:formulaRef>
                      </c:ext>
                    </c:extLst>
                  </c:multiLvlStrRef>
                </c15:cat>
              </c15:filteredCategoryTitle>
            </c:ext>
            <c:ext xmlns:c16="http://schemas.microsoft.com/office/drawing/2014/chart" uri="{C3380CC4-5D6E-409C-BE32-E72D297353CC}">
              <c16:uniqueId val="{00000002-B479-4693-8897-031FDD853C89}"/>
            </c:ext>
          </c:extLst>
        </c:ser>
        <c:ser>
          <c:idx val="3"/>
          <c:order val="3"/>
          <c:tx>
            <c:strRef>
              <c:f>Instruments!$B$238</c:f>
              <c:strCache>
                <c:ptCount val="1"/>
                <c:pt idx="0">
                  <c:v>Restérilisation - autre</c:v>
                </c:pt>
              </c:strCache>
            </c:strRef>
          </c:tx>
          <c:spPr>
            <a:solidFill>
              <a:schemeClr val="accent4"/>
            </a:solidFill>
            <a:ln>
              <a:noFill/>
            </a:ln>
            <a:effectLst/>
          </c:spPr>
          <c:invertIfNegative val="0"/>
          <c:val>
            <c:numRef>
              <c:f>Instruments!$F$238:$H$238</c:f>
            </c:numRef>
          </c:val>
          <c:extLst>
            <c:ext xmlns:c15="http://schemas.microsoft.com/office/drawing/2012/chart" uri="{02D57815-91ED-43cb-92C2-25804820EDAC}">
              <c15:filteredCategoryTitle>
                <c15:cat>
                  <c:multiLvlStrRef>
                    <c:extLst>
                      <c:ext uri="{02D57815-91ED-43cb-92C2-25804820EDAC}">
                        <c15:formulaRef>
                          <c15:sqref>Instruments!$F$234:$H$234</c15:sqref>
                        </c15:formulaRef>
                      </c:ext>
                    </c:extLst>
                  </c:multiLvlStrRef>
                </c15:cat>
              </c15:filteredCategoryTitle>
            </c:ext>
            <c:ext xmlns:c16="http://schemas.microsoft.com/office/drawing/2014/chart" uri="{C3380CC4-5D6E-409C-BE32-E72D297353CC}">
              <c16:uniqueId val="{00000003-B479-4693-8897-031FDD853C89}"/>
            </c:ext>
          </c:extLst>
        </c:ser>
        <c:ser>
          <c:idx val="4"/>
          <c:order val="4"/>
          <c:tx>
            <c:strRef>
              <c:f>Instruments!$B$239</c:f>
              <c:strCache>
                <c:ptCount val="1"/>
                <c:pt idx="0">
                  <c:v>Utilisation</c:v>
                </c:pt>
              </c:strCache>
            </c:strRef>
          </c:tx>
          <c:spPr>
            <a:solidFill>
              <a:schemeClr val="accent5"/>
            </a:solidFill>
            <a:ln>
              <a:noFill/>
            </a:ln>
            <a:effectLst/>
          </c:spPr>
          <c:invertIfNegative val="0"/>
          <c:val>
            <c:numRef>
              <c:f>Instruments!$F$239:$H$239</c:f>
            </c:numRef>
          </c:val>
          <c:extLst>
            <c:ext xmlns:c15="http://schemas.microsoft.com/office/drawing/2012/chart" uri="{02D57815-91ED-43cb-92C2-25804820EDAC}">
              <c15:filteredCategoryTitle>
                <c15:cat>
                  <c:multiLvlStrRef>
                    <c:extLst>
                      <c:ext uri="{02D57815-91ED-43cb-92C2-25804820EDAC}">
                        <c15:formulaRef>
                          <c15:sqref>Instruments!$F$234:$H$234</c15:sqref>
                        </c15:formulaRef>
                      </c:ext>
                    </c:extLst>
                  </c:multiLvlStrRef>
                </c15:cat>
              </c15:filteredCategoryTitle>
            </c:ext>
            <c:ext xmlns:c16="http://schemas.microsoft.com/office/drawing/2014/chart" uri="{C3380CC4-5D6E-409C-BE32-E72D297353CC}">
              <c16:uniqueId val="{00000004-B479-4693-8897-031FDD853C89}"/>
            </c:ext>
          </c:extLst>
        </c:ser>
        <c:ser>
          <c:idx val="5"/>
          <c:order val="5"/>
          <c:tx>
            <c:strRef>
              <c:f>Instruments!$B$240</c:f>
              <c:strCache>
                <c:ptCount val="1"/>
                <c:pt idx="0">
                  <c:v>Fin de vie</c:v>
                </c:pt>
              </c:strCache>
            </c:strRef>
          </c:tx>
          <c:spPr>
            <a:solidFill>
              <a:schemeClr val="accent6"/>
            </a:solidFill>
            <a:ln>
              <a:noFill/>
            </a:ln>
            <a:effectLst/>
          </c:spPr>
          <c:invertIfNegative val="0"/>
          <c:val>
            <c:numRef>
              <c:f>Instruments!$F$240:$H$240</c:f>
            </c:numRef>
          </c:val>
          <c:extLst>
            <c:ext xmlns:c15="http://schemas.microsoft.com/office/drawing/2012/chart" uri="{02D57815-91ED-43cb-92C2-25804820EDAC}">
              <c15:filteredCategoryTitle>
                <c15:cat>
                  <c:multiLvlStrRef>
                    <c:extLst>
                      <c:ext uri="{02D57815-91ED-43cb-92C2-25804820EDAC}">
                        <c15:formulaRef>
                          <c15:sqref>Instruments!$F$234:$H$234</c15:sqref>
                        </c15:formulaRef>
                      </c:ext>
                    </c:extLst>
                  </c:multiLvlStrRef>
                </c15:cat>
              </c15:filteredCategoryTitle>
            </c:ext>
            <c:ext xmlns:c16="http://schemas.microsoft.com/office/drawing/2014/chart" uri="{C3380CC4-5D6E-409C-BE32-E72D297353CC}">
              <c16:uniqueId val="{00000005-B479-4693-8897-031FDD853C89}"/>
            </c:ext>
          </c:extLst>
        </c:ser>
        <c:dLbls>
          <c:showLegendKey val="0"/>
          <c:showVal val="0"/>
          <c:showCatName val="0"/>
          <c:showSerName val="0"/>
          <c:showPercent val="0"/>
          <c:showBubbleSize val="0"/>
        </c:dLbls>
        <c:gapWidth val="75"/>
        <c:overlap val="100"/>
        <c:axId val="678813504"/>
        <c:axId val="678815168"/>
      </c:barChart>
      <c:catAx>
        <c:axId val="678813504"/>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b="1">
                    <a:solidFill>
                      <a:schemeClr val="accent1"/>
                    </a:solidFill>
                  </a:rPr>
                  <a:t>Empreinte carbone de bronchoscopes,</a:t>
                </a:r>
                <a:r>
                  <a:rPr lang="en-GB" b="1" baseline="0">
                    <a:solidFill>
                      <a:schemeClr val="accent1"/>
                    </a:solidFill>
                  </a:rPr>
                  <a:t> rapportée à une utilisation</a:t>
                </a:r>
                <a:endParaRPr lang="en-GB" b="1">
                  <a:solidFill>
                    <a:schemeClr val="accent1"/>
                  </a:solidFill>
                </a:endParaRP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accent1"/>
                </a:solidFill>
                <a:latin typeface="+mn-lt"/>
                <a:ea typeface="+mn-ea"/>
                <a:cs typeface="+mn-cs"/>
              </a:defRPr>
            </a:pPr>
            <a:endParaRPr lang="en-US"/>
          </a:p>
        </c:txPr>
        <c:crossAx val="678815168"/>
        <c:crosses val="autoZero"/>
        <c:auto val="1"/>
        <c:lblAlgn val="ctr"/>
        <c:lblOffset val="100"/>
        <c:noMultiLvlLbl val="0"/>
      </c:catAx>
      <c:valAx>
        <c:axId val="678815168"/>
        <c:scaling>
          <c:orientation val="minMax"/>
          <c:max val="3"/>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b="1">
                    <a:solidFill>
                      <a:schemeClr val="accent1"/>
                    </a:solidFill>
                  </a:rPr>
                  <a:t>empreinte carbone (en kgCO2e)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accent1"/>
                </a:solidFill>
                <a:latin typeface="+mn-lt"/>
                <a:ea typeface="+mn-ea"/>
                <a:cs typeface="+mn-cs"/>
              </a:defRPr>
            </a:pPr>
            <a:endParaRPr lang="en-US"/>
          </a:p>
        </c:txPr>
        <c:crossAx val="678813504"/>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1"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0473040227852966"/>
          <c:y val="0.16387811388790791"/>
          <c:w val="0.50945258726301434"/>
          <c:h val="0.63670116255627984"/>
        </c:manualLayout>
      </c:layout>
      <c:scatterChart>
        <c:scatterStyle val="lineMarker"/>
        <c:varyColors val="0"/>
        <c:ser>
          <c:idx val="0"/>
          <c:order val="0"/>
          <c:tx>
            <c:strRef>
              <c:f>Instruments!$G$10</c:f>
              <c:strCache>
                <c:ptCount val="1"/>
                <c:pt idx="0">
                  <c:v>Réutilisable</c:v>
                </c:pt>
              </c:strCache>
            </c:strRef>
          </c:tx>
          <c:spPr>
            <a:ln w="19050" cap="rnd">
              <a:solidFill>
                <a:schemeClr val="accent1"/>
              </a:solidFill>
              <a:round/>
            </a:ln>
            <a:effectLst/>
          </c:spPr>
          <c:marker>
            <c:symbol val="circle"/>
            <c:size val="5"/>
            <c:spPr>
              <a:solidFill>
                <a:schemeClr val="accent6"/>
              </a:solidFill>
              <a:ln w="9525">
                <a:noFill/>
              </a:ln>
              <a:effectLst/>
            </c:spPr>
          </c:marker>
          <c:xVal>
            <c:numRef>
              <c:f>Instruments!$G$11:$G$18</c:f>
            </c:numRef>
          </c:xVal>
          <c:yVal>
            <c:numRef>
              <c:f>Instruments!$E$11:$E$18</c:f>
            </c:numRef>
          </c:yVal>
          <c:smooth val="0"/>
          <c:extLst>
            <c:ext xmlns:c16="http://schemas.microsoft.com/office/drawing/2014/chart" uri="{C3380CC4-5D6E-409C-BE32-E72D297353CC}">
              <c16:uniqueId val="{00000000-B70F-4920-B6F4-43C876F8D5FC}"/>
            </c:ext>
          </c:extLst>
        </c:ser>
        <c:ser>
          <c:idx val="1"/>
          <c:order val="1"/>
          <c:tx>
            <c:strRef>
              <c:f>Instruments!$H$10</c:f>
              <c:strCache>
                <c:ptCount val="1"/>
                <c:pt idx="0">
                  <c:v>Réutilisable</c:v>
                </c:pt>
              </c:strCache>
            </c:strRef>
          </c:tx>
          <c:spPr>
            <a:ln w="19050" cap="rnd">
              <a:solidFill>
                <a:schemeClr val="accent2"/>
              </a:solidFill>
              <a:round/>
            </a:ln>
            <a:effectLst/>
          </c:spPr>
          <c:marker>
            <c:symbol val="circle"/>
            <c:size val="5"/>
            <c:spPr>
              <a:solidFill>
                <a:schemeClr val="accent6"/>
              </a:solidFill>
              <a:ln w="9525">
                <a:noFill/>
              </a:ln>
              <a:effectLst/>
            </c:spPr>
          </c:marker>
          <c:xVal>
            <c:numRef>
              <c:f>Instruments!$H$11:$H$18</c:f>
            </c:numRef>
          </c:xVal>
          <c:yVal>
            <c:numRef>
              <c:f>Instruments!$E$11:$E$18</c:f>
            </c:numRef>
          </c:yVal>
          <c:smooth val="0"/>
          <c:extLst>
            <c:ext xmlns:c16="http://schemas.microsoft.com/office/drawing/2014/chart" uri="{C3380CC4-5D6E-409C-BE32-E72D297353CC}">
              <c16:uniqueId val="{00000001-B70F-4920-B6F4-43C876F8D5FC}"/>
            </c:ext>
          </c:extLst>
        </c:ser>
        <c:ser>
          <c:idx val="2"/>
          <c:order val="2"/>
          <c:tx>
            <c:strRef>
              <c:f>Instruments!$I$10</c:f>
              <c:strCache>
                <c:ptCount val="1"/>
                <c:pt idx="0">
                  <c:v>Mixte</c:v>
                </c:pt>
              </c:strCache>
            </c:strRef>
          </c:tx>
          <c:spPr>
            <a:ln w="19050" cap="rnd">
              <a:solidFill>
                <a:schemeClr val="accent3"/>
              </a:solidFill>
              <a:round/>
            </a:ln>
            <a:effectLst/>
          </c:spPr>
          <c:marker>
            <c:symbol val="triangle"/>
            <c:size val="6"/>
            <c:spPr>
              <a:solidFill>
                <a:schemeClr val="accent4"/>
              </a:solidFill>
              <a:ln w="9525">
                <a:noFill/>
              </a:ln>
              <a:effectLst/>
            </c:spPr>
          </c:marker>
          <c:xVal>
            <c:numRef>
              <c:f>Instruments!$I$11:$I$19</c:f>
            </c:numRef>
          </c:xVal>
          <c:yVal>
            <c:numRef>
              <c:f>Instruments!$E$11:$E$18</c:f>
            </c:numRef>
          </c:yVal>
          <c:smooth val="0"/>
          <c:extLst>
            <c:ext xmlns:c16="http://schemas.microsoft.com/office/drawing/2014/chart" uri="{C3380CC4-5D6E-409C-BE32-E72D297353CC}">
              <c16:uniqueId val="{00000002-B70F-4920-B6F4-43C876F8D5FC}"/>
            </c:ext>
          </c:extLst>
        </c:ser>
        <c:ser>
          <c:idx val="3"/>
          <c:order val="3"/>
          <c:tx>
            <c:strRef>
              <c:f>Instruments!$J$10</c:f>
              <c:strCache>
                <c:ptCount val="1"/>
                <c:pt idx="0">
                  <c:v>Usage Unique</c:v>
                </c:pt>
              </c:strCache>
            </c:strRef>
          </c:tx>
          <c:spPr>
            <a:ln w="19050" cap="rnd">
              <a:solidFill>
                <a:schemeClr val="accent4"/>
              </a:solidFill>
              <a:round/>
            </a:ln>
            <a:effectLst/>
          </c:spPr>
          <c:marker>
            <c:symbol val="diamond"/>
            <c:size val="6"/>
            <c:spPr>
              <a:solidFill>
                <a:srgbClr val="FF0000"/>
              </a:solidFill>
              <a:ln w="9525">
                <a:noFill/>
              </a:ln>
              <a:effectLst/>
            </c:spPr>
          </c:marker>
          <c:xVal>
            <c:numRef>
              <c:f>Instruments!$J$11:$J$18</c:f>
            </c:numRef>
          </c:xVal>
          <c:yVal>
            <c:numRef>
              <c:f>Instruments!$E$11:$E$18</c:f>
            </c:numRef>
          </c:yVal>
          <c:smooth val="0"/>
          <c:extLst>
            <c:ext xmlns:c16="http://schemas.microsoft.com/office/drawing/2014/chart" uri="{C3380CC4-5D6E-409C-BE32-E72D297353CC}">
              <c16:uniqueId val="{00000003-B70F-4920-B6F4-43C876F8D5FC}"/>
            </c:ext>
          </c:extLst>
        </c:ser>
        <c:ser>
          <c:idx val="4"/>
          <c:order val="4"/>
          <c:tx>
            <c:strRef>
              <c:f>Instruments!$K$10</c:f>
              <c:strCache>
                <c:ptCount val="1"/>
                <c:pt idx="0">
                  <c:v>Usage Unique</c:v>
                </c:pt>
              </c:strCache>
            </c:strRef>
          </c:tx>
          <c:spPr>
            <a:ln w="19050" cap="rnd">
              <a:solidFill>
                <a:schemeClr val="accent5"/>
              </a:solidFill>
              <a:round/>
            </a:ln>
            <a:effectLst/>
          </c:spPr>
          <c:marker>
            <c:symbol val="diamond"/>
            <c:size val="6"/>
            <c:spPr>
              <a:solidFill>
                <a:srgbClr val="FF0000"/>
              </a:solidFill>
              <a:ln w="9525">
                <a:noFill/>
              </a:ln>
              <a:effectLst/>
            </c:spPr>
          </c:marker>
          <c:xVal>
            <c:numRef>
              <c:f>Instruments!$K$11:$K$18</c:f>
            </c:numRef>
          </c:xVal>
          <c:yVal>
            <c:numRef>
              <c:f>Instruments!$E$11:$E$18</c:f>
            </c:numRef>
          </c:yVal>
          <c:smooth val="0"/>
          <c:extLst>
            <c:ext xmlns:c16="http://schemas.microsoft.com/office/drawing/2014/chart" uri="{C3380CC4-5D6E-409C-BE32-E72D297353CC}">
              <c16:uniqueId val="{00000004-B70F-4920-B6F4-43C876F8D5FC}"/>
            </c:ext>
          </c:extLst>
        </c:ser>
        <c:dLbls>
          <c:showLegendKey val="0"/>
          <c:showVal val="0"/>
          <c:showCatName val="0"/>
          <c:showSerName val="0"/>
          <c:showPercent val="0"/>
          <c:showBubbleSize val="0"/>
        </c:dLbls>
        <c:axId val="1720010720"/>
        <c:axId val="1720011552"/>
      </c:scatterChart>
      <c:valAx>
        <c:axId val="1720010720"/>
        <c:scaling>
          <c:logBase val="10"/>
          <c:orientation val="minMax"/>
          <c:min val="1.0000000000000002E-2"/>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1" i="0" u="none" strike="noStrike" kern="1200" baseline="0">
                    <a:solidFill>
                      <a:schemeClr val="tx2"/>
                    </a:solidFill>
                    <a:latin typeface="+mn-lt"/>
                    <a:ea typeface="+mn-ea"/>
                    <a:cs typeface="+mn-cs"/>
                  </a:defRPr>
                </a:pPr>
                <a:r>
                  <a:rPr lang="en-GB"/>
                  <a:t>Empreinte carbone par utilisation (en kgCO2e)</a:t>
                </a:r>
              </a:p>
            </c:rich>
          </c:tx>
          <c:overlay val="0"/>
          <c:spPr>
            <a:noFill/>
            <a:ln>
              <a:noFill/>
            </a:ln>
            <a:effectLst/>
          </c:spPr>
          <c:txPr>
            <a:bodyPr rot="0" spcFirstLastPara="1" vertOverflow="ellipsis" vert="horz" wrap="square" anchor="ctr" anchorCtr="1"/>
            <a:lstStyle/>
            <a:p>
              <a:pPr>
                <a:defRPr sz="1000" b="1" i="0" u="none" strike="noStrike" kern="1200" baseline="0">
                  <a:solidFill>
                    <a:schemeClr val="tx2"/>
                  </a:solidFill>
                  <a:latin typeface="+mn-lt"/>
                  <a:ea typeface="+mn-ea"/>
                  <a:cs typeface="+mn-cs"/>
                </a:defRPr>
              </a:pPr>
              <a:endParaRPr lang="en-US"/>
            </a:p>
          </c:txPr>
        </c:title>
        <c:numFmt formatCode="_ * #\ ##0.000_)_ ;_ * \(#\ ##0.000\)_ ;_ * &quot;-&quot;??_)_ ;_ @_ "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1" i="0" u="none" strike="noStrike" kern="1200" baseline="0">
                <a:solidFill>
                  <a:schemeClr val="tx2"/>
                </a:solidFill>
                <a:latin typeface="+mn-lt"/>
                <a:ea typeface="+mn-ea"/>
                <a:cs typeface="+mn-cs"/>
              </a:defRPr>
            </a:pPr>
            <a:endParaRPr lang="en-US"/>
          </a:p>
        </c:txPr>
        <c:crossAx val="1720011552"/>
        <c:crosses val="autoZero"/>
        <c:crossBetween val="midCat"/>
      </c:valAx>
      <c:valAx>
        <c:axId val="1720011552"/>
        <c:scaling>
          <c:orientation val="minMax"/>
        </c:scaling>
        <c:delete val="1"/>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1720010720"/>
        <c:crossesAt val="1.0000000000000002E-3"/>
        <c:crossBetween val="midCat"/>
      </c:valAx>
      <c:spPr>
        <a:noFill/>
        <a:ln>
          <a:noFill/>
        </a:ln>
        <a:effectLst/>
      </c:spPr>
    </c:plotArea>
    <c:legend>
      <c:legendPos val="r"/>
      <c:layout>
        <c:manualLayout>
          <c:xMode val="edge"/>
          <c:yMode val="edge"/>
          <c:x val="0.82912736835759981"/>
          <c:y val="0.3578034677948605"/>
          <c:w val="0.14295212586495268"/>
          <c:h val="0.21721150917848978"/>
        </c:manualLayout>
      </c:layout>
      <c:overlay val="0"/>
      <c:spPr>
        <a:noFill/>
        <a:ln>
          <a:noFill/>
        </a:ln>
        <a:effectLst/>
      </c:spPr>
      <c:txPr>
        <a:bodyPr rot="0" spcFirstLastPara="1" vertOverflow="ellipsis" vert="horz" wrap="square" anchor="ctr" anchorCtr="1"/>
        <a:lstStyle/>
        <a:p>
          <a:pPr>
            <a:defRPr sz="900" b="1"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b="1">
          <a:solidFill>
            <a:schemeClr val="tx2"/>
          </a:solidFill>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spPr>
            <a:ln w="19050" cap="rnd">
              <a:solidFill>
                <a:schemeClr val="accent1"/>
              </a:solidFill>
              <a:round/>
            </a:ln>
            <a:effectLst/>
          </c:spPr>
          <c:marker>
            <c:symbol val="circle"/>
            <c:size val="5"/>
            <c:spPr>
              <a:solidFill>
                <a:schemeClr val="accent1"/>
              </a:solidFill>
              <a:ln w="9525">
                <a:solidFill>
                  <a:schemeClr val="accent1"/>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2"/>
                    </a:solidFill>
                    <a:latin typeface="+mn-lt"/>
                    <a:ea typeface="+mn-ea"/>
                    <a:cs typeface="+mn-cs"/>
                  </a:defRPr>
                </a:pPr>
                <a:endParaRPr lang="en-US"/>
              </a:p>
            </c:txPr>
            <c:dLblPos val="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trendline>
            <c:spPr>
              <a:ln w="19050" cap="rnd">
                <a:solidFill>
                  <a:schemeClr val="accent6"/>
                </a:solidFill>
                <a:prstDash val="sysDot"/>
              </a:ln>
              <a:effectLst/>
            </c:spPr>
            <c:trendlineType val="linear"/>
            <c:intercept val="0"/>
            <c:dispRSqr val="0"/>
            <c:dispEq val="0"/>
          </c:trendline>
          <c:xVal>
            <c:numRef>
              <c:f>'Résultats généraux'!$D$117:$D$126</c:f>
            </c:numRef>
          </c:xVal>
          <c:yVal>
            <c:numRef>
              <c:f>'Résultats généraux'!$C$117:$C$126</c:f>
            </c:numRef>
          </c:yVal>
          <c:smooth val="0"/>
          <c:extLst>
            <c:ext xmlns:c15="http://schemas.microsoft.com/office/drawing/2012/chart" uri="{02D57815-91ED-43cb-92C2-25804820EDAC}">
              <c15:datalabelsRange>
                <c15:f>'Résultats généraux'!$B$117:$B$126</c15:f>
              </c15:datalabelsRange>
            </c:ext>
            <c:ext xmlns:c16="http://schemas.microsoft.com/office/drawing/2014/chart" uri="{C3380CC4-5D6E-409C-BE32-E72D297353CC}">
              <c16:uniqueId val="{0000000C-8199-4F22-9260-63D56A181DE1}"/>
            </c:ext>
          </c:extLst>
        </c:ser>
        <c:dLbls>
          <c:dLblPos val="r"/>
          <c:showLegendKey val="0"/>
          <c:showVal val="1"/>
          <c:showCatName val="1"/>
          <c:showSerName val="0"/>
          <c:showPercent val="0"/>
          <c:showBubbleSize val="0"/>
        </c:dLbls>
        <c:axId val="319049615"/>
        <c:axId val="319040047"/>
      </c:scatterChart>
      <c:valAx>
        <c:axId val="319049615"/>
        <c:scaling>
          <c:logBase val="10"/>
          <c:orientation val="minMax"/>
          <c:min val="10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b="1">
                    <a:solidFill>
                      <a:schemeClr val="tx2"/>
                    </a:solidFill>
                  </a:rPr>
                  <a:t>Masse totales des produits consommées (en tonnes)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 #\ ##0_)_ ;_ * \(#\ ##0\)_ ;_ * &quot;-&quot;??_)_ ;_ @_ " sourceLinked="1"/>
        <c:majorTickMark val="out"/>
        <c:minorTickMark val="out"/>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1" i="0" u="none" strike="noStrike" kern="1200" baseline="0">
                <a:solidFill>
                  <a:schemeClr val="tx2"/>
                </a:solidFill>
                <a:latin typeface="+mn-lt"/>
                <a:ea typeface="+mn-ea"/>
                <a:cs typeface="+mn-cs"/>
              </a:defRPr>
            </a:pPr>
            <a:endParaRPr lang="en-US"/>
          </a:p>
        </c:txPr>
        <c:crossAx val="319040047"/>
        <c:crosses val="autoZero"/>
        <c:crossBetween val="midCat"/>
      </c:valAx>
      <c:valAx>
        <c:axId val="319040047"/>
        <c:scaling>
          <c:logBase val="10"/>
          <c:orientation val="minMax"/>
          <c:min val="1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sz="1000" b="1">
                    <a:solidFill>
                      <a:schemeClr val="tx2"/>
                    </a:solidFill>
                  </a:rPr>
                  <a:t>Emissions totales (ktCO2e)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 #\ ##0_)_ ;_ * \(#\ ##0\)_ ;_ * &quot;-&quot;??_)_ ;_ @_ " sourceLinked="1"/>
        <c:majorTickMark val="out"/>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1" i="0" u="none" strike="noStrike" kern="1200" baseline="0">
                <a:solidFill>
                  <a:schemeClr val="tx2"/>
                </a:solidFill>
                <a:latin typeface="+mn-lt"/>
                <a:ea typeface="+mn-ea"/>
                <a:cs typeface="+mn-cs"/>
              </a:defRPr>
            </a:pPr>
            <a:endParaRPr lang="en-US"/>
          </a:p>
        </c:txPr>
        <c:crossAx val="319049615"/>
        <c:crosses val="autoZero"/>
        <c:crossBetween val="midCat"/>
      </c:valAx>
      <c:spPr>
        <a:noFill/>
        <a:ln w="25400">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solidFill>
      <a:round/>
    </a:ln>
    <a:effectLst/>
  </c:spPr>
  <c:txPr>
    <a:bodyPr/>
    <a:lstStyle/>
    <a:p>
      <a:pPr>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36592809619727"/>
          <c:y val="7.1553298913401869E-2"/>
          <c:w val="0.41818193656025554"/>
          <c:h val="0.88770595374517247"/>
        </c:manualLayout>
      </c:layout>
      <c:doughnutChart>
        <c:varyColors val="1"/>
        <c:ser>
          <c:idx val="0"/>
          <c:order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multiLvlStrRef>
              <c:f>Optique!$B$34:$B$41</c:f>
            </c:multiLvlStrRef>
          </c:cat>
          <c:val>
            <c:numRef>
              <c:f>Optique!$C$34:$C$41</c:f>
            </c:numRef>
          </c:val>
          <c:extLst>
            <c:ext xmlns:c16="http://schemas.microsoft.com/office/drawing/2014/chart" uri="{C3380CC4-5D6E-409C-BE32-E72D297353CC}">
              <c16:uniqueId val="{00000000-4FA0-40BE-8243-61958196CF2A}"/>
            </c:ext>
          </c:extLst>
        </c:ser>
        <c:dLbls>
          <c:showLegendKey val="0"/>
          <c:showVal val="0"/>
          <c:showCatName val="0"/>
          <c:showSerName val="0"/>
          <c:showPercent val="1"/>
          <c:showBubbleSize val="0"/>
          <c:showLeaderLines val="1"/>
        </c:dLbls>
        <c:firstSliceAng val="0"/>
        <c:holeSize val="50"/>
      </c:doughnutChart>
      <c:spPr>
        <a:noFill/>
        <a:ln>
          <a:noFill/>
        </a:ln>
        <a:effectLst/>
      </c:spPr>
    </c:plotArea>
    <c:legend>
      <c:legendPos val="r"/>
      <c:layout>
        <c:manualLayout>
          <c:xMode val="edge"/>
          <c:yMode val="edge"/>
          <c:x val="0.54654484822598759"/>
          <c:y val="0.13248910983425607"/>
          <c:w val="0.31934027503053936"/>
          <c:h val="0.74120349705244037"/>
        </c:manualLayout>
      </c:layout>
      <c:overlay val="0"/>
      <c:spPr>
        <a:noFill/>
        <a:ln>
          <a:noFill/>
        </a:ln>
        <a:effectLst/>
      </c:spPr>
      <c:txPr>
        <a:bodyPr rot="0" spcFirstLastPara="1" vertOverflow="ellipsis" vert="horz" wrap="square" anchor="ctr" anchorCtr="1"/>
        <a:lstStyle/>
        <a:p>
          <a:pPr>
            <a:defRPr sz="1100" b="1"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Optique!$B$15</c:f>
              <c:strCache>
                <c:ptCount val="1"/>
                <c:pt idx="0">
                  <c:v>Matières premières</c:v>
                </c:pt>
              </c:strCache>
            </c:strRef>
          </c:tx>
          <c:spPr>
            <a:solidFill>
              <a:schemeClr val="accent1"/>
            </a:solidFill>
            <a:ln>
              <a:noFill/>
            </a:ln>
            <a:effectLst/>
          </c:spPr>
          <c:invertIfNegative val="0"/>
          <c:val>
            <c:numRef>
              <c:f>Optique!$E$15:$G$15</c:f>
            </c:numRef>
          </c:val>
          <c:extLst>
            <c:ext xmlns:c15="http://schemas.microsoft.com/office/drawing/2012/chart" uri="{02D57815-91ED-43cb-92C2-25804820EDAC}">
              <c15:filteredCategoryTitle>
                <c15:cat>
                  <c:multiLvlStrRef>
                    <c:extLst>
                      <c:ext uri="{02D57815-91ED-43cb-92C2-25804820EDAC}">
                        <c15:formulaRef>
                          <c15:sqref>Optique!$E$14:$G$14</c15:sqref>
                        </c15:formulaRef>
                      </c:ext>
                    </c:extLst>
                  </c:multiLvlStrRef>
                </c15:cat>
              </c15:filteredCategoryTitle>
            </c:ext>
            <c:ext xmlns:c16="http://schemas.microsoft.com/office/drawing/2014/chart" uri="{C3380CC4-5D6E-409C-BE32-E72D297353CC}">
              <c16:uniqueId val="{00000000-63EA-47A5-897A-01DA7E7B22BF}"/>
            </c:ext>
          </c:extLst>
        </c:ser>
        <c:ser>
          <c:idx val="5"/>
          <c:order val="1"/>
          <c:tx>
            <c:strRef>
              <c:f>Optique!$B$16</c:f>
              <c:strCache>
                <c:ptCount val="1"/>
                <c:pt idx="0">
                  <c:v>Intrants chimiques</c:v>
                </c:pt>
              </c:strCache>
            </c:strRef>
          </c:tx>
          <c:spPr>
            <a:solidFill>
              <a:schemeClr val="accent6"/>
            </a:solidFill>
            <a:ln>
              <a:noFill/>
            </a:ln>
            <a:effectLst/>
          </c:spPr>
          <c:invertIfNegative val="0"/>
          <c:val>
            <c:numRef>
              <c:f>Optique!$E$16:$G$16</c:f>
            </c:numRef>
          </c:val>
          <c:extLst>
            <c:ext xmlns:c15="http://schemas.microsoft.com/office/drawing/2012/chart" uri="{02D57815-91ED-43cb-92C2-25804820EDAC}">
              <c15:filteredCategoryTitle>
                <c15:cat>
                  <c:multiLvlStrRef>
                    <c:extLst>
                      <c:ext uri="{02D57815-91ED-43cb-92C2-25804820EDAC}">
                        <c15:formulaRef>
                          <c15:sqref>Optique!$E$14:$G$14</c15:sqref>
                        </c15:formulaRef>
                      </c:ext>
                    </c:extLst>
                  </c:multiLvlStrRef>
                </c15:cat>
              </c15:filteredCategoryTitle>
            </c:ext>
            <c:ext xmlns:c16="http://schemas.microsoft.com/office/drawing/2014/chart" uri="{C3380CC4-5D6E-409C-BE32-E72D297353CC}">
              <c16:uniqueId val="{00000001-EE16-48A8-AFC1-63FBF9550925}"/>
            </c:ext>
          </c:extLst>
        </c:ser>
        <c:ser>
          <c:idx val="1"/>
          <c:order val="2"/>
          <c:tx>
            <c:strRef>
              <c:f>Optique!$B$17</c:f>
              <c:strCache>
                <c:ptCount val="1"/>
                <c:pt idx="0">
                  <c:v>Emballages</c:v>
                </c:pt>
              </c:strCache>
            </c:strRef>
          </c:tx>
          <c:spPr>
            <a:solidFill>
              <a:schemeClr val="accent2"/>
            </a:solidFill>
            <a:ln>
              <a:noFill/>
            </a:ln>
            <a:effectLst/>
          </c:spPr>
          <c:invertIfNegative val="0"/>
          <c:val>
            <c:numRef>
              <c:f>Optique!$E$17:$G$17</c:f>
            </c:numRef>
          </c:val>
          <c:extLst>
            <c:ext xmlns:c15="http://schemas.microsoft.com/office/drawing/2012/chart" uri="{02D57815-91ED-43cb-92C2-25804820EDAC}">
              <c15:filteredCategoryTitle>
                <c15:cat>
                  <c:multiLvlStrRef>
                    <c:extLst>
                      <c:ext uri="{02D57815-91ED-43cb-92C2-25804820EDAC}">
                        <c15:formulaRef>
                          <c15:sqref>Optique!$E$14:$G$14</c15:sqref>
                        </c15:formulaRef>
                      </c:ext>
                    </c:extLst>
                  </c:multiLvlStrRef>
                </c15:cat>
              </c15:filteredCategoryTitle>
            </c:ext>
            <c:ext xmlns:c16="http://schemas.microsoft.com/office/drawing/2014/chart" uri="{C3380CC4-5D6E-409C-BE32-E72D297353CC}">
              <c16:uniqueId val="{00000001-63EA-47A5-897A-01DA7E7B22BF}"/>
            </c:ext>
          </c:extLst>
        </c:ser>
        <c:ser>
          <c:idx val="2"/>
          <c:order val="3"/>
          <c:tx>
            <c:strRef>
              <c:f>Optique!$B$18</c:f>
              <c:strCache>
                <c:ptCount val="1"/>
                <c:pt idx="0">
                  <c:v>Consommations d'énergie</c:v>
                </c:pt>
              </c:strCache>
            </c:strRef>
          </c:tx>
          <c:spPr>
            <a:solidFill>
              <a:schemeClr val="accent3"/>
            </a:solidFill>
            <a:ln>
              <a:noFill/>
            </a:ln>
            <a:effectLst/>
          </c:spPr>
          <c:invertIfNegative val="0"/>
          <c:val>
            <c:numRef>
              <c:f>Optique!$E$18:$G$18</c:f>
            </c:numRef>
          </c:val>
          <c:extLst>
            <c:ext xmlns:c15="http://schemas.microsoft.com/office/drawing/2012/chart" uri="{02D57815-91ED-43cb-92C2-25804820EDAC}">
              <c15:filteredCategoryTitle>
                <c15:cat>
                  <c:multiLvlStrRef>
                    <c:extLst>
                      <c:ext uri="{02D57815-91ED-43cb-92C2-25804820EDAC}">
                        <c15:formulaRef>
                          <c15:sqref>Optique!$E$14:$G$14</c15:sqref>
                        </c15:formulaRef>
                      </c:ext>
                    </c:extLst>
                  </c:multiLvlStrRef>
                </c15:cat>
              </c15:filteredCategoryTitle>
            </c:ext>
            <c:ext xmlns:c16="http://schemas.microsoft.com/office/drawing/2014/chart" uri="{C3380CC4-5D6E-409C-BE32-E72D297353CC}">
              <c16:uniqueId val="{00000002-63EA-47A5-897A-01DA7E7B22BF}"/>
            </c:ext>
          </c:extLst>
        </c:ser>
        <c:ser>
          <c:idx val="3"/>
          <c:order val="4"/>
          <c:tx>
            <c:strRef>
              <c:f>Optique!$B$19</c:f>
              <c:strCache>
                <c:ptCount val="1"/>
                <c:pt idx="0">
                  <c:v>Immobilisations et déplacements domicile-travail</c:v>
                </c:pt>
              </c:strCache>
            </c:strRef>
          </c:tx>
          <c:spPr>
            <a:solidFill>
              <a:schemeClr val="accent4"/>
            </a:solidFill>
            <a:ln>
              <a:noFill/>
            </a:ln>
            <a:effectLst/>
          </c:spPr>
          <c:invertIfNegative val="0"/>
          <c:val>
            <c:numRef>
              <c:f>Optique!$E$19:$G$19</c:f>
            </c:numRef>
          </c:val>
          <c:extLst>
            <c:ext xmlns:c15="http://schemas.microsoft.com/office/drawing/2012/chart" uri="{02D57815-91ED-43cb-92C2-25804820EDAC}">
              <c15:filteredCategoryTitle>
                <c15:cat>
                  <c:multiLvlStrRef>
                    <c:extLst>
                      <c:ext uri="{02D57815-91ED-43cb-92C2-25804820EDAC}">
                        <c15:formulaRef>
                          <c15:sqref>Optique!$E$14:$G$14</c15:sqref>
                        </c15:formulaRef>
                      </c:ext>
                    </c:extLst>
                  </c:multiLvlStrRef>
                </c15:cat>
              </c15:filteredCategoryTitle>
            </c:ext>
            <c:ext xmlns:c16="http://schemas.microsoft.com/office/drawing/2014/chart" uri="{C3380CC4-5D6E-409C-BE32-E72D297353CC}">
              <c16:uniqueId val="{00000004-63EA-47A5-897A-01DA7E7B22BF}"/>
            </c:ext>
          </c:extLst>
        </c:ser>
        <c:ser>
          <c:idx val="4"/>
          <c:order val="5"/>
          <c:tx>
            <c:strRef>
              <c:f>Optique!$B$20</c:f>
              <c:strCache>
                <c:ptCount val="1"/>
                <c:pt idx="0">
                  <c:v>Transport</c:v>
                </c:pt>
              </c:strCache>
            </c:strRef>
          </c:tx>
          <c:spPr>
            <a:solidFill>
              <a:schemeClr val="accent5"/>
            </a:solidFill>
            <a:ln>
              <a:noFill/>
            </a:ln>
            <a:effectLst/>
          </c:spPr>
          <c:invertIfNegative val="0"/>
          <c:val>
            <c:numRef>
              <c:f>Optique!$E$20:$G$20</c:f>
            </c:numRef>
          </c:val>
          <c:extLst>
            <c:ext xmlns:c15="http://schemas.microsoft.com/office/drawing/2012/chart" uri="{02D57815-91ED-43cb-92C2-25804820EDAC}">
              <c15:filteredCategoryTitle>
                <c15:cat>
                  <c:multiLvlStrRef>
                    <c:extLst>
                      <c:ext uri="{02D57815-91ED-43cb-92C2-25804820EDAC}">
                        <c15:formulaRef>
                          <c15:sqref>Optique!$E$14:$G$14</c15:sqref>
                        </c15:formulaRef>
                      </c:ext>
                    </c:extLst>
                  </c:multiLvlStrRef>
                </c15:cat>
              </c15:filteredCategoryTitle>
            </c:ext>
            <c:ext xmlns:c16="http://schemas.microsoft.com/office/drawing/2014/chart" uri="{C3380CC4-5D6E-409C-BE32-E72D297353CC}">
              <c16:uniqueId val="{00000005-63EA-47A5-897A-01DA7E7B22BF}"/>
            </c:ext>
          </c:extLst>
        </c:ser>
        <c:ser>
          <c:idx val="6"/>
          <c:order val="6"/>
          <c:tx>
            <c:strRef>
              <c:f>Optique!$B$22</c:f>
              <c:strCache>
                <c:ptCount val="1"/>
                <c:pt idx="0">
                  <c:v>Fin de vie des déchets industriels</c:v>
                </c:pt>
              </c:strCache>
            </c:strRef>
          </c:tx>
          <c:spPr>
            <a:solidFill>
              <a:schemeClr val="accent1">
                <a:lumMod val="60000"/>
              </a:schemeClr>
            </a:solidFill>
            <a:ln>
              <a:noFill/>
            </a:ln>
            <a:effectLst/>
          </c:spPr>
          <c:invertIfNegative val="0"/>
          <c:val>
            <c:numRef>
              <c:f>Optique!$E$22:$G$22</c:f>
            </c:numRef>
          </c:val>
          <c:extLst>
            <c:ext xmlns:c15="http://schemas.microsoft.com/office/drawing/2012/chart" uri="{02D57815-91ED-43cb-92C2-25804820EDAC}">
              <c15:filteredCategoryTitle>
                <c15:cat>
                  <c:multiLvlStrRef>
                    <c:extLst>
                      <c:ext uri="{02D57815-91ED-43cb-92C2-25804820EDAC}">
                        <c15:formulaRef>
                          <c15:sqref>Optique!$E$14:$G$14</c15:sqref>
                        </c15:formulaRef>
                      </c:ext>
                    </c:extLst>
                  </c:multiLvlStrRef>
                </c15:cat>
              </c15:filteredCategoryTitle>
            </c:ext>
            <c:ext xmlns:c16="http://schemas.microsoft.com/office/drawing/2014/chart" uri="{C3380CC4-5D6E-409C-BE32-E72D297353CC}">
              <c16:uniqueId val="{00000002-EE16-48A8-AFC1-63FBF9550925}"/>
            </c:ext>
          </c:extLst>
        </c:ser>
        <c:dLbls>
          <c:showLegendKey val="0"/>
          <c:showVal val="0"/>
          <c:showCatName val="0"/>
          <c:showSerName val="0"/>
          <c:showPercent val="0"/>
          <c:showBubbleSize val="0"/>
        </c:dLbls>
        <c:gapWidth val="75"/>
        <c:overlap val="100"/>
        <c:axId val="1540204672"/>
        <c:axId val="1540205088"/>
      </c:barChart>
      <c:catAx>
        <c:axId val="1540204672"/>
        <c:scaling>
          <c:orientation val="minMax"/>
        </c:scaling>
        <c:delete val="0"/>
        <c:axPos val="b"/>
        <c:title>
          <c:tx>
            <c:rich>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r>
                  <a:rPr lang="en-GB" sz="1200" b="1">
                    <a:solidFill>
                      <a:schemeClr val="tx2"/>
                    </a:solidFill>
                  </a:rPr>
                  <a:t>Emisisions</a:t>
                </a:r>
                <a:r>
                  <a:rPr lang="en-GB" sz="1200" b="1" baseline="0">
                    <a:solidFill>
                      <a:schemeClr val="tx2"/>
                    </a:solidFill>
                  </a:rPr>
                  <a:t> de GES pour des verres multifocaux</a:t>
                </a:r>
                <a:endParaRPr lang="en-GB" sz="1200" b="1">
                  <a:solidFill>
                    <a:schemeClr val="tx2"/>
                  </a:solidFill>
                </a:endParaRPr>
              </a:p>
            </c:rich>
          </c:tx>
          <c:layout>
            <c:manualLayout>
              <c:xMode val="edge"/>
              <c:yMode val="edge"/>
              <c:x val="0.21558148413266526"/>
              <c:y val="0.92870588337473869"/>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2"/>
                </a:solidFill>
                <a:latin typeface="+mn-lt"/>
                <a:ea typeface="+mn-ea"/>
                <a:cs typeface="+mn-cs"/>
              </a:defRPr>
            </a:pPr>
            <a:endParaRPr lang="en-US"/>
          </a:p>
        </c:txPr>
        <c:crossAx val="1540205088"/>
        <c:crosses val="autoZero"/>
        <c:auto val="1"/>
        <c:lblAlgn val="ctr"/>
        <c:lblOffset val="100"/>
        <c:noMultiLvlLbl val="0"/>
      </c:catAx>
      <c:valAx>
        <c:axId val="1540205088"/>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5400000" spcFirstLastPara="1" vertOverflow="ellipsis" vert="horz" wrap="square" anchor="ctr" anchorCtr="1"/>
              <a:lstStyle/>
              <a:p>
                <a:pPr>
                  <a:defRPr sz="1100" b="1" i="0" u="none" strike="noStrike" kern="1200" baseline="0">
                    <a:solidFill>
                      <a:schemeClr val="tx2"/>
                    </a:solidFill>
                    <a:latin typeface="+mn-lt"/>
                    <a:ea typeface="+mn-ea"/>
                    <a:cs typeface="+mn-cs"/>
                  </a:defRPr>
                </a:pPr>
                <a:r>
                  <a:rPr lang="en-GB" sz="1100" b="1">
                    <a:solidFill>
                      <a:schemeClr val="tx2"/>
                    </a:solidFill>
                  </a:rPr>
                  <a:t>Emissions par verre (en kgCO2e)</a:t>
                </a:r>
              </a:p>
            </c:rich>
          </c:tx>
          <c:overlay val="0"/>
          <c:spPr>
            <a:noFill/>
            <a:ln>
              <a:noFill/>
            </a:ln>
            <a:effectLst/>
          </c:spPr>
          <c:txPr>
            <a:bodyPr rot="-5400000" spcFirstLastPara="1" vertOverflow="ellipsis" vert="horz" wrap="square" anchor="ctr" anchorCtr="1"/>
            <a:lstStyle/>
            <a:p>
              <a:pPr>
                <a:defRPr sz="1100" b="1" i="0" u="none" strike="noStrike" kern="1200" baseline="0">
                  <a:solidFill>
                    <a:schemeClr val="tx2"/>
                  </a:solidFill>
                  <a:latin typeface="+mn-lt"/>
                  <a:ea typeface="+mn-ea"/>
                  <a:cs typeface="+mn-cs"/>
                </a:defRPr>
              </a:pPr>
              <a:endParaRPr lang="en-US"/>
            </a:p>
          </c:txPr>
        </c:title>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2"/>
                </a:solidFill>
                <a:latin typeface="+mn-lt"/>
                <a:ea typeface="+mn-ea"/>
                <a:cs typeface="+mn-cs"/>
              </a:defRPr>
            </a:pPr>
            <a:endParaRPr lang="en-US"/>
          </a:p>
        </c:txPr>
        <c:crossAx val="1540204672"/>
        <c:crosses val="autoZero"/>
        <c:crossBetween val="between"/>
      </c:valAx>
      <c:spPr>
        <a:noFill/>
        <a:ln>
          <a:noFill/>
        </a:ln>
        <a:effectLst/>
      </c:spPr>
    </c:plotArea>
    <c:legend>
      <c:legendPos val="r"/>
      <c:layout>
        <c:manualLayout>
          <c:xMode val="edge"/>
          <c:yMode val="edge"/>
          <c:x val="0.66034659900879955"/>
          <c:y val="0.10828029809685258"/>
          <c:w val="0.32621399961542147"/>
          <c:h val="0.68639138110171805"/>
        </c:manualLayout>
      </c:layout>
      <c:overlay val="0"/>
      <c:spPr>
        <a:noFill/>
        <a:ln>
          <a:noFill/>
        </a:ln>
        <a:effectLst/>
      </c:spPr>
      <c:txPr>
        <a:bodyPr rot="0" spcFirstLastPara="1" vertOverflow="ellipsis" vert="horz" wrap="square" anchor="ctr" anchorCtr="1"/>
        <a:lstStyle/>
        <a:p>
          <a:pPr>
            <a:defRPr sz="1100" b="1"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702613260298989E-2"/>
          <c:y val="0.12565694504786062"/>
          <c:w val="0.37796439575487845"/>
          <c:h val="0.74868610990427875"/>
        </c:manualLayout>
      </c:layout>
      <c:doughnutChart>
        <c:varyColors val="1"/>
        <c:ser>
          <c:idx val="0"/>
          <c:order val="0"/>
          <c:tx>
            <c:strRef>
              <c:f>Optique!$D$634</c:f>
              <c:strCache>
                <c:ptCount val="1"/>
                <c:pt idx="0">
                  <c:v> Total (en ktCO2e) </c:v>
                </c:pt>
              </c:strCache>
            </c:strRef>
          </c:tx>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multiLvlStrRef>
              <c:f>Optique!$B$635:$B$638</c:f>
            </c:multiLvlStrRef>
          </c:cat>
          <c:val>
            <c:numRef>
              <c:f>Optique!$D$635:$D$638</c:f>
            </c:numRef>
          </c:val>
          <c:extLst>
            <c:ext xmlns:c16="http://schemas.microsoft.com/office/drawing/2014/chart" uri="{C3380CC4-5D6E-409C-BE32-E72D297353CC}">
              <c16:uniqueId val="{00000000-7D56-412D-A512-67424720F1A6}"/>
            </c:ext>
          </c:extLst>
        </c:ser>
        <c:dLbls>
          <c:showLegendKey val="0"/>
          <c:showVal val="0"/>
          <c:showCatName val="0"/>
          <c:showSerName val="0"/>
          <c:showPercent val="1"/>
          <c:showBubbleSize val="0"/>
          <c:showLeaderLines val="1"/>
        </c:dLbls>
        <c:firstSliceAng val="0"/>
        <c:holeSize val="50"/>
      </c:doughnutChart>
      <c:spPr>
        <a:noFill/>
        <a:ln>
          <a:noFill/>
        </a:ln>
        <a:effectLst/>
      </c:spPr>
    </c:plotArea>
    <c:legend>
      <c:legendPos val="r"/>
      <c:layout>
        <c:manualLayout>
          <c:xMode val="edge"/>
          <c:yMode val="edge"/>
          <c:x val="0.466614857925368"/>
          <c:y val="0.2620908404963419"/>
          <c:w val="0.40298709536307958"/>
          <c:h val="0.52086030912802561"/>
        </c:manualLayout>
      </c:layout>
      <c:overlay val="0"/>
      <c:spPr>
        <a:noFill/>
        <a:ln>
          <a:noFill/>
        </a:ln>
        <a:effectLst/>
      </c:spPr>
      <c:txPr>
        <a:bodyPr rot="0" spcFirstLastPara="1" vertOverflow="ellipsis" vert="horz" wrap="square" anchor="ctr" anchorCtr="1"/>
        <a:lstStyle/>
        <a:p>
          <a:pPr>
            <a:defRPr sz="1000" b="1"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2750190801745283E-2"/>
          <c:y val="5.8718133353595811E-2"/>
          <c:w val="0.35211615635163296"/>
          <c:h val="0.89128184696135704"/>
        </c:manualLayout>
      </c:layout>
      <c:doughnutChart>
        <c:varyColors val="1"/>
        <c:ser>
          <c:idx val="0"/>
          <c:order val="0"/>
          <c:dLbls>
            <c:spPr>
              <a:noFill/>
              <a:ln>
                <a:noFill/>
              </a:ln>
              <a:effectLst/>
            </c:spPr>
            <c:txPr>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0"/>
            <c:extLst>
              <c:ext xmlns:c15="http://schemas.microsoft.com/office/drawing/2012/chart" uri="{CE6537A1-D6FC-4f65-9D91-7224C49458BB}"/>
            </c:extLst>
          </c:dLbls>
          <c:cat>
            <c:multiLvlStrRef>
              <c:f>Optique!$B$54:$B$60</c:f>
            </c:multiLvlStrRef>
          </c:cat>
          <c:val>
            <c:numRef>
              <c:f>Optique!$C$54:$C$60</c:f>
            </c:numRef>
          </c:val>
          <c:extLst>
            <c:ext xmlns:c16="http://schemas.microsoft.com/office/drawing/2014/chart" uri="{C3380CC4-5D6E-409C-BE32-E72D297353CC}">
              <c16:uniqueId val="{0000000A-DAAD-48DD-A914-2DFBE55CF17A}"/>
            </c:ext>
          </c:extLst>
        </c:ser>
        <c:dLbls>
          <c:showLegendKey val="0"/>
          <c:showVal val="0"/>
          <c:showCatName val="0"/>
          <c:showSerName val="0"/>
          <c:showPercent val="1"/>
          <c:showBubbleSize val="0"/>
          <c:showLeaderLines val="0"/>
        </c:dLbls>
        <c:firstSliceAng val="0"/>
        <c:holeSize val="50"/>
      </c:doughnutChart>
      <c:spPr>
        <a:noFill/>
        <a:ln>
          <a:noFill/>
        </a:ln>
        <a:effectLst/>
      </c:spPr>
    </c:plotArea>
    <c:legend>
      <c:legendPos val="r"/>
      <c:layout>
        <c:manualLayout>
          <c:xMode val="edge"/>
          <c:yMode val="edge"/>
          <c:x val="0.42645455375453295"/>
          <c:y val="2.8358010808995318E-2"/>
          <c:w val="0.57354544624546711"/>
          <c:h val="0.93814688780892219"/>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200" b="1">
          <a:solidFill>
            <a:schemeClr val="tx2"/>
          </a:solidFill>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2"/>
                </a:solidFill>
                <a:latin typeface="+mn-lt"/>
                <a:ea typeface="+mn-ea"/>
                <a:cs typeface="+mn-cs"/>
              </a:defRPr>
            </a:pPr>
            <a:r>
              <a:rPr lang="en-GB" b="1">
                <a:solidFill>
                  <a:schemeClr val="tx2"/>
                </a:solidFill>
              </a:rPr>
              <a:t>Total des émissions des aides auditives en France</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2"/>
              </a:solidFill>
              <a:latin typeface="+mn-lt"/>
              <a:ea typeface="+mn-ea"/>
              <a:cs typeface="+mn-cs"/>
            </a:defRPr>
          </a:pPr>
          <a:endParaRPr lang="en-US"/>
        </a:p>
      </c:txPr>
    </c:title>
    <c:autoTitleDeleted val="0"/>
    <c:plotArea>
      <c:layout/>
      <c:barChart>
        <c:barDir val="col"/>
        <c:grouping val="stacked"/>
        <c:varyColors val="0"/>
        <c:ser>
          <c:idx val="0"/>
          <c:order val="0"/>
          <c:tx>
            <c:strRef>
              <c:f>'Aides auditives'!$C$23</c:f>
              <c:strCache>
                <c:ptCount val="1"/>
                <c:pt idx="0">
                  <c:v> Production </c:v>
                </c:pt>
              </c:strCache>
            </c:strRef>
          </c:tx>
          <c:spPr>
            <a:solidFill>
              <a:schemeClr val="accent1"/>
            </a:solidFill>
            <a:ln>
              <a:noFill/>
            </a:ln>
            <a:effectLst/>
          </c:spPr>
          <c:invertIfNegative val="0"/>
          <c:cat>
            <c:multiLvlStrRef>
              <c:f>'Aides auditives'!$B$24:$B$25</c:f>
            </c:multiLvlStrRef>
          </c:cat>
          <c:val>
            <c:numRef>
              <c:f>'Aides auditives'!$C$24:$C$25</c:f>
            </c:numRef>
          </c:val>
          <c:extLst>
            <c:ext xmlns:c16="http://schemas.microsoft.com/office/drawing/2014/chart" uri="{C3380CC4-5D6E-409C-BE32-E72D297353CC}">
              <c16:uniqueId val="{00000000-EE2C-4980-8553-AC5C1F0EFA5D}"/>
            </c:ext>
          </c:extLst>
        </c:ser>
        <c:ser>
          <c:idx val="4"/>
          <c:order val="1"/>
          <c:tx>
            <c:strRef>
              <c:f>'Aides auditives'!$D$23</c:f>
              <c:strCache>
                <c:ptCount val="1"/>
                <c:pt idx="0">
                  <c:v> Emballages </c:v>
                </c:pt>
              </c:strCache>
            </c:strRef>
          </c:tx>
          <c:spPr>
            <a:solidFill>
              <a:schemeClr val="accent5"/>
            </a:solidFill>
            <a:ln>
              <a:noFill/>
            </a:ln>
            <a:effectLst/>
          </c:spPr>
          <c:invertIfNegative val="0"/>
          <c:cat>
            <c:multiLvlStrRef>
              <c:f>'Aides auditives'!$B$24:$B$25</c:f>
            </c:multiLvlStrRef>
          </c:cat>
          <c:val>
            <c:numRef>
              <c:f>'Aides auditives'!$D$24:$D$25</c:f>
            </c:numRef>
          </c:val>
          <c:extLst>
            <c:ext xmlns:c16="http://schemas.microsoft.com/office/drawing/2014/chart" uri="{C3380CC4-5D6E-409C-BE32-E72D297353CC}">
              <c16:uniqueId val="{00000001-BD59-483F-A97A-A81643389831}"/>
            </c:ext>
          </c:extLst>
        </c:ser>
        <c:ser>
          <c:idx val="1"/>
          <c:order val="2"/>
          <c:tx>
            <c:strRef>
              <c:f>'Aides auditives'!$E$23</c:f>
              <c:strCache>
                <c:ptCount val="1"/>
                <c:pt idx="0">
                  <c:v> Consommation d'électricité </c:v>
                </c:pt>
              </c:strCache>
            </c:strRef>
          </c:tx>
          <c:spPr>
            <a:solidFill>
              <a:schemeClr val="accent2"/>
            </a:solidFill>
            <a:ln>
              <a:noFill/>
            </a:ln>
            <a:effectLst/>
          </c:spPr>
          <c:invertIfNegative val="0"/>
          <c:cat>
            <c:multiLvlStrRef>
              <c:f>'Aides auditives'!$B$24:$B$25</c:f>
            </c:multiLvlStrRef>
          </c:cat>
          <c:val>
            <c:numRef>
              <c:f>'Aides auditives'!$E$24:$E$25</c:f>
            </c:numRef>
          </c:val>
          <c:extLst>
            <c:ext xmlns:c16="http://schemas.microsoft.com/office/drawing/2014/chart" uri="{C3380CC4-5D6E-409C-BE32-E72D297353CC}">
              <c16:uniqueId val="{00000001-EE2C-4980-8553-AC5C1F0EFA5D}"/>
            </c:ext>
          </c:extLst>
        </c:ser>
        <c:ser>
          <c:idx val="2"/>
          <c:order val="3"/>
          <c:tx>
            <c:strRef>
              <c:f>'Aides auditives'!$F$23</c:f>
              <c:strCache>
                <c:ptCount val="1"/>
                <c:pt idx="0">
                  <c:v> Consommation de piles </c:v>
                </c:pt>
              </c:strCache>
            </c:strRef>
          </c:tx>
          <c:spPr>
            <a:solidFill>
              <a:schemeClr val="accent3"/>
            </a:solidFill>
            <a:ln>
              <a:noFill/>
            </a:ln>
            <a:effectLst/>
          </c:spPr>
          <c:invertIfNegative val="0"/>
          <c:cat>
            <c:multiLvlStrRef>
              <c:f>'Aides auditives'!$B$24:$B$25</c:f>
            </c:multiLvlStrRef>
          </c:cat>
          <c:val>
            <c:numRef>
              <c:f>'Aides auditives'!$F$24:$F$25</c:f>
            </c:numRef>
          </c:val>
          <c:extLst>
            <c:ext xmlns:c16="http://schemas.microsoft.com/office/drawing/2014/chart" uri="{C3380CC4-5D6E-409C-BE32-E72D297353CC}">
              <c16:uniqueId val="{00000002-EE2C-4980-8553-AC5C1F0EFA5D}"/>
            </c:ext>
          </c:extLst>
        </c:ser>
        <c:ser>
          <c:idx val="3"/>
          <c:order val="4"/>
          <c:tx>
            <c:strRef>
              <c:f>'Aides auditives'!$G$23</c:f>
              <c:strCache>
                <c:ptCount val="1"/>
                <c:pt idx="0">
                  <c:v> Transport </c:v>
                </c:pt>
              </c:strCache>
            </c:strRef>
          </c:tx>
          <c:spPr>
            <a:solidFill>
              <a:schemeClr val="accent4"/>
            </a:solidFill>
            <a:ln>
              <a:noFill/>
            </a:ln>
            <a:effectLst/>
          </c:spPr>
          <c:invertIfNegative val="0"/>
          <c:cat>
            <c:multiLvlStrRef>
              <c:f>'Aides auditives'!$B$24:$B$25</c:f>
            </c:multiLvlStrRef>
          </c:cat>
          <c:val>
            <c:numRef>
              <c:f>'Aides auditives'!$G$24:$G$25</c:f>
            </c:numRef>
          </c:val>
          <c:extLst>
            <c:ext xmlns:c16="http://schemas.microsoft.com/office/drawing/2014/chart" uri="{C3380CC4-5D6E-409C-BE32-E72D297353CC}">
              <c16:uniqueId val="{00000003-EE2C-4980-8553-AC5C1F0EFA5D}"/>
            </c:ext>
          </c:extLst>
        </c:ser>
        <c:ser>
          <c:idx val="5"/>
          <c:order val="5"/>
          <c:tx>
            <c:strRef>
              <c:f>'Aides auditives'!$H$23</c:f>
              <c:strCache>
                <c:ptCount val="1"/>
                <c:pt idx="0">
                  <c:v> Fin de vie </c:v>
                </c:pt>
              </c:strCache>
            </c:strRef>
          </c:tx>
          <c:spPr>
            <a:solidFill>
              <a:schemeClr val="accent6"/>
            </a:solidFill>
            <a:ln>
              <a:noFill/>
            </a:ln>
            <a:effectLst/>
          </c:spPr>
          <c:invertIfNegative val="0"/>
          <c:cat>
            <c:multiLvlStrRef>
              <c:f>'Aides auditives'!$B$24:$B$25</c:f>
            </c:multiLvlStrRef>
          </c:cat>
          <c:val>
            <c:numRef>
              <c:f>'Aides auditives'!$H$24:$H$25</c:f>
            </c:numRef>
          </c:val>
          <c:extLst>
            <c:ext xmlns:c16="http://schemas.microsoft.com/office/drawing/2014/chart" uri="{C3380CC4-5D6E-409C-BE32-E72D297353CC}">
              <c16:uniqueId val="{00000001-EB77-4254-8C5F-78CE32587F9C}"/>
            </c:ext>
          </c:extLst>
        </c:ser>
        <c:dLbls>
          <c:showLegendKey val="0"/>
          <c:showVal val="0"/>
          <c:showCatName val="0"/>
          <c:showSerName val="0"/>
          <c:showPercent val="0"/>
          <c:showBubbleSize val="0"/>
        </c:dLbls>
        <c:gapWidth val="55"/>
        <c:overlap val="100"/>
        <c:axId val="314742687"/>
        <c:axId val="314744767"/>
      </c:barChart>
      <c:catAx>
        <c:axId val="31474268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2"/>
                </a:solidFill>
                <a:latin typeface="+mn-lt"/>
                <a:ea typeface="+mn-ea"/>
                <a:cs typeface="+mn-cs"/>
              </a:defRPr>
            </a:pPr>
            <a:endParaRPr lang="en-US"/>
          </a:p>
        </c:txPr>
        <c:crossAx val="314744767"/>
        <c:crosses val="autoZero"/>
        <c:auto val="1"/>
        <c:lblAlgn val="ctr"/>
        <c:lblOffset val="100"/>
        <c:noMultiLvlLbl val="0"/>
      </c:catAx>
      <c:valAx>
        <c:axId val="314744767"/>
        <c:scaling>
          <c:orientation val="minMax"/>
        </c:scaling>
        <c:delete val="0"/>
        <c:axPos val="l"/>
        <c:majorGridlines>
          <c:spPr>
            <a:ln w="9525" cap="flat" cmpd="sng" algn="ctr">
              <a:solidFill>
                <a:schemeClr val="tx1">
                  <a:lumMod val="15000"/>
                  <a:lumOff val="85000"/>
                </a:schemeClr>
              </a:solidFill>
              <a:round/>
            </a:ln>
            <a:effectLst/>
          </c:spPr>
        </c:majorGridlines>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2"/>
                </a:solidFill>
                <a:latin typeface="+mn-lt"/>
                <a:ea typeface="+mn-ea"/>
                <a:cs typeface="+mn-cs"/>
              </a:defRPr>
            </a:pPr>
            <a:endParaRPr lang="en-US"/>
          </a:p>
        </c:txPr>
        <c:crossAx val="314742687"/>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1000" b="1"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sz="1400" b="1" i="0" baseline="0">
                <a:solidFill>
                  <a:schemeClr val="accent1"/>
                </a:solidFill>
                <a:effectLst/>
              </a:rPr>
              <a:t>Total des émissions des aides auditives en France par unité vendue</a:t>
            </a:r>
            <a:endParaRPr lang="en-GB" sz="1100">
              <a:solidFill>
                <a:schemeClr val="accent1"/>
              </a:solidFill>
              <a:effectLst/>
            </a:endParaRPr>
          </a:p>
        </c:rich>
      </c:tx>
      <c:layout>
        <c:manualLayout>
          <c:xMode val="edge"/>
          <c:yMode val="edge"/>
          <c:x val="0.13394042759709149"/>
          <c:y val="0"/>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'Aides auditives'!$K$23</c:f>
              <c:strCache>
                <c:ptCount val="1"/>
                <c:pt idx="0">
                  <c:v> Production </c:v>
                </c:pt>
              </c:strCache>
            </c:strRef>
          </c:tx>
          <c:spPr>
            <a:solidFill>
              <a:schemeClr val="accent1"/>
            </a:solidFill>
            <a:ln>
              <a:noFill/>
            </a:ln>
            <a:effectLst/>
          </c:spPr>
          <c:invertIfNegative val="0"/>
          <c:cat>
            <c:multiLvlStrRef>
              <c:f>'Aides auditives'!$J$24:$J$25</c:f>
            </c:multiLvlStrRef>
          </c:cat>
          <c:val>
            <c:numRef>
              <c:f>'Aides auditives'!$K$24:$K$25</c:f>
            </c:numRef>
          </c:val>
          <c:extLst>
            <c:ext xmlns:c16="http://schemas.microsoft.com/office/drawing/2014/chart" uri="{C3380CC4-5D6E-409C-BE32-E72D297353CC}">
              <c16:uniqueId val="{00000000-E47C-4AF1-A1B6-F38177347897}"/>
            </c:ext>
          </c:extLst>
        </c:ser>
        <c:ser>
          <c:idx val="4"/>
          <c:order val="1"/>
          <c:tx>
            <c:strRef>
              <c:f>'Aides auditives'!$L$23</c:f>
              <c:strCache>
                <c:ptCount val="1"/>
                <c:pt idx="0">
                  <c:v> Emballages </c:v>
                </c:pt>
              </c:strCache>
            </c:strRef>
          </c:tx>
          <c:spPr>
            <a:solidFill>
              <a:schemeClr val="accent5"/>
            </a:solidFill>
            <a:ln>
              <a:noFill/>
            </a:ln>
            <a:effectLst/>
          </c:spPr>
          <c:invertIfNegative val="0"/>
          <c:cat>
            <c:multiLvlStrRef>
              <c:f>'Aides auditives'!$J$24:$J$25</c:f>
            </c:multiLvlStrRef>
          </c:cat>
          <c:val>
            <c:numRef>
              <c:f>'Aides auditives'!$L$24:$L$25</c:f>
            </c:numRef>
          </c:val>
          <c:extLst>
            <c:ext xmlns:c16="http://schemas.microsoft.com/office/drawing/2014/chart" uri="{C3380CC4-5D6E-409C-BE32-E72D297353CC}">
              <c16:uniqueId val="{00000001-0011-491D-ABD1-806AA389CC7F}"/>
            </c:ext>
          </c:extLst>
        </c:ser>
        <c:ser>
          <c:idx val="1"/>
          <c:order val="2"/>
          <c:tx>
            <c:strRef>
              <c:f>'Aides auditives'!$M$23</c:f>
              <c:strCache>
                <c:ptCount val="1"/>
                <c:pt idx="0">
                  <c:v> Consommation d'électricité </c:v>
                </c:pt>
              </c:strCache>
            </c:strRef>
          </c:tx>
          <c:spPr>
            <a:solidFill>
              <a:schemeClr val="accent2"/>
            </a:solidFill>
            <a:ln>
              <a:noFill/>
            </a:ln>
            <a:effectLst/>
          </c:spPr>
          <c:invertIfNegative val="0"/>
          <c:cat>
            <c:multiLvlStrRef>
              <c:f>'Aides auditives'!$J$24:$J$25</c:f>
            </c:multiLvlStrRef>
          </c:cat>
          <c:val>
            <c:numRef>
              <c:f>'Aides auditives'!$M$24:$M$25</c:f>
            </c:numRef>
          </c:val>
          <c:extLst>
            <c:ext xmlns:c16="http://schemas.microsoft.com/office/drawing/2014/chart" uri="{C3380CC4-5D6E-409C-BE32-E72D297353CC}">
              <c16:uniqueId val="{00000001-E47C-4AF1-A1B6-F38177347897}"/>
            </c:ext>
          </c:extLst>
        </c:ser>
        <c:ser>
          <c:idx val="2"/>
          <c:order val="3"/>
          <c:tx>
            <c:strRef>
              <c:f>'Aides auditives'!$N$23</c:f>
              <c:strCache>
                <c:ptCount val="1"/>
                <c:pt idx="0">
                  <c:v> Consommation de piles </c:v>
                </c:pt>
              </c:strCache>
            </c:strRef>
          </c:tx>
          <c:spPr>
            <a:solidFill>
              <a:schemeClr val="accent3"/>
            </a:solidFill>
            <a:ln>
              <a:noFill/>
            </a:ln>
            <a:effectLst/>
          </c:spPr>
          <c:invertIfNegative val="0"/>
          <c:cat>
            <c:multiLvlStrRef>
              <c:f>'Aides auditives'!$J$24:$J$25</c:f>
            </c:multiLvlStrRef>
          </c:cat>
          <c:val>
            <c:numRef>
              <c:f>'Aides auditives'!$N$24:$N$25</c:f>
            </c:numRef>
          </c:val>
          <c:extLst>
            <c:ext xmlns:c16="http://schemas.microsoft.com/office/drawing/2014/chart" uri="{C3380CC4-5D6E-409C-BE32-E72D297353CC}">
              <c16:uniqueId val="{00000002-E47C-4AF1-A1B6-F38177347897}"/>
            </c:ext>
          </c:extLst>
        </c:ser>
        <c:ser>
          <c:idx val="3"/>
          <c:order val="4"/>
          <c:tx>
            <c:strRef>
              <c:f>'Aides auditives'!$O$23</c:f>
              <c:strCache>
                <c:ptCount val="1"/>
                <c:pt idx="0">
                  <c:v> Transport </c:v>
                </c:pt>
              </c:strCache>
            </c:strRef>
          </c:tx>
          <c:spPr>
            <a:solidFill>
              <a:schemeClr val="accent4"/>
            </a:solidFill>
            <a:ln>
              <a:noFill/>
            </a:ln>
            <a:effectLst/>
          </c:spPr>
          <c:invertIfNegative val="0"/>
          <c:cat>
            <c:multiLvlStrRef>
              <c:f>'Aides auditives'!$J$24:$J$25</c:f>
            </c:multiLvlStrRef>
          </c:cat>
          <c:val>
            <c:numRef>
              <c:f>'Aides auditives'!$O$24:$O$25</c:f>
            </c:numRef>
          </c:val>
          <c:extLst>
            <c:ext xmlns:c16="http://schemas.microsoft.com/office/drawing/2014/chart" uri="{C3380CC4-5D6E-409C-BE32-E72D297353CC}">
              <c16:uniqueId val="{00000003-E47C-4AF1-A1B6-F38177347897}"/>
            </c:ext>
          </c:extLst>
        </c:ser>
        <c:ser>
          <c:idx val="5"/>
          <c:order val="5"/>
          <c:tx>
            <c:strRef>
              <c:f>'Aides auditives'!$P$23</c:f>
              <c:strCache>
                <c:ptCount val="1"/>
                <c:pt idx="0">
                  <c:v> Fin de vie </c:v>
                </c:pt>
              </c:strCache>
            </c:strRef>
          </c:tx>
          <c:spPr>
            <a:solidFill>
              <a:schemeClr val="accent6"/>
            </a:solidFill>
            <a:ln>
              <a:noFill/>
            </a:ln>
            <a:effectLst/>
          </c:spPr>
          <c:invertIfNegative val="0"/>
          <c:cat>
            <c:multiLvlStrRef>
              <c:f>'Aides auditives'!$J$24:$J$25</c:f>
            </c:multiLvlStrRef>
          </c:cat>
          <c:val>
            <c:numRef>
              <c:f>'Aides auditives'!$P$24:$P$25</c:f>
            </c:numRef>
          </c:val>
          <c:extLst>
            <c:ext xmlns:c16="http://schemas.microsoft.com/office/drawing/2014/chart" uri="{C3380CC4-5D6E-409C-BE32-E72D297353CC}">
              <c16:uniqueId val="{00000001-163A-496B-8FB3-F584C02B319C}"/>
            </c:ext>
          </c:extLst>
        </c:ser>
        <c:dLbls>
          <c:showLegendKey val="0"/>
          <c:showVal val="0"/>
          <c:showCatName val="0"/>
          <c:showSerName val="0"/>
          <c:showPercent val="0"/>
          <c:showBubbleSize val="0"/>
        </c:dLbls>
        <c:gapWidth val="75"/>
        <c:overlap val="100"/>
        <c:axId val="314742687"/>
        <c:axId val="314744767"/>
      </c:barChart>
      <c:catAx>
        <c:axId val="31474268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2"/>
                </a:solidFill>
                <a:latin typeface="+mn-lt"/>
                <a:ea typeface="+mn-ea"/>
                <a:cs typeface="+mn-cs"/>
              </a:defRPr>
            </a:pPr>
            <a:endParaRPr lang="en-US"/>
          </a:p>
        </c:txPr>
        <c:crossAx val="314744767"/>
        <c:crosses val="autoZero"/>
        <c:auto val="1"/>
        <c:lblAlgn val="ctr"/>
        <c:lblOffset val="100"/>
        <c:noMultiLvlLbl val="0"/>
      </c:catAx>
      <c:valAx>
        <c:axId val="314744767"/>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b="1">
                    <a:solidFill>
                      <a:schemeClr val="accent1"/>
                    </a:solidFill>
                  </a:rPr>
                  <a:t>Emissions par unité (kgCO2e)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2"/>
                </a:solidFill>
                <a:latin typeface="+mn-lt"/>
                <a:ea typeface="+mn-ea"/>
                <a:cs typeface="+mn-cs"/>
              </a:defRPr>
            </a:pPr>
            <a:endParaRPr lang="en-US"/>
          </a:p>
        </c:txPr>
        <c:crossAx val="314742687"/>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1000" b="1"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2"/>
                </a:solidFill>
                <a:latin typeface="+mn-lt"/>
                <a:ea typeface="+mn-ea"/>
                <a:cs typeface="+mn-cs"/>
              </a:defRPr>
            </a:pPr>
            <a:r>
              <a:rPr lang="en-GB" b="1">
                <a:solidFill>
                  <a:schemeClr val="tx2"/>
                </a:solidFill>
              </a:rPr>
              <a:t>Répartition - Attelles - Remboursements</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2"/>
              </a:solidFill>
              <a:latin typeface="+mn-lt"/>
              <a:ea typeface="+mn-ea"/>
              <a:cs typeface="+mn-cs"/>
            </a:defRPr>
          </a:pPr>
          <a:endParaRPr lang="en-US"/>
        </a:p>
      </c:txPr>
    </c:title>
    <c:autoTitleDeleted val="0"/>
    <c:plotArea>
      <c:layout>
        <c:manualLayout>
          <c:layoutTarget val="inner"/>
          <c:xMode val="edge"/>
          <c:yMode val="edge"/>
          <c:x val="8.9249284180386523E-2"/>
          <c:y val="0.22893552385774393"/>
          <c:w val="0.34852290622763066"/>
          <c:h val="0.68004469507830367"/>
        </c:manualLayout>
      </c:layout>
      <c:doughnutChart>
        <c:varyColors val="1"/>
        <c:ser>
          <c:idx val="0"/>
          <c:order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accent1"/>
                    </a:solidFill>
                    <a:latin typeface="+mn-lt"/>
                    <a:ea typeface="+mn-ea"/>
                    <a:cs typeface="+mn-cs"/>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multiLvlStrRef>
              <c:f>Orthèses!$B$81:$B$86</c:f>
            </c:multiLvlStrRef>
          </c:cat>
          <c:val>
            <c:numRef>
              <c:f>Orthèses!$C$81:$C$86</c:f>
            </c:numRef>
          </c:val>
          <c:extLst>
            <c:ext xmlns:c16="http://schemas.microsoft.com/office/drawing/2014/chart" uri="{C3380CC4-5D6E-409C-BE32-E72D297353CC}">
              <c16:uniqueId val="{00000000-D1DF-4AD5-823E-7E79189DF238}"/>
            </c:ext>
          </c:extLst>
        </c:ser>
        <c:dLbls>
          <c:showLegendKey val="0"/>
          <c:showVal val="0"/>
          <c:showCatName val="0"/>
          <c:showSerName val="0"/>
          <c:showPercent val="1"/>
          <c:showBubbleSize val="0"/>
          <c:showLeaderLines val="1"/>
        </c:dLbls>
        <c:firstSliceAng val="0"/>
        <c:holeSize val="50"/>
      </c:doughnutChart>
      <c:spPr>
        <a:noFill/>
        <a:ln>
          <a:noFill/>
        </a:ln>
        <a:effectLst/>
      </c:spPr>
    </c:plotArea>
    <c:legend>
      <c:legendPos val="r"/>
      <c:layout>
        <c:manualLayout>
          <c:xMode val="edge"/>
          <c:yMode val="edge"/>
          <c:x val="0.47929420186113098"/>
          <c:y val="0.15367320215793426"/>
          <c:w val="0.50706943450250541"/>
          <c:h val="0.8039617996752622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2"/>
                </a:solidFill>
                <a:latin typeface="+mn-lt"/>
                <a:ea typeface="+mn-ea"/>
                <a:cs typeface="+mn-cs"/>
              </a:defRPr>
            </a:pPr>
            <a:r>
              <a:rPr lang="en-GB" b="1">
                <a:solidFill>
                  <a:schemeClr val="tx2"/>
                </a:solidFill>
              </a:rPr>
              <a:t>Répartition - Attelles - Quantités</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2"/>
              </a:solidFill>
              <a:latin typeface="+mn-lt"/>
              <a:ea typeface="+mn-ea"/>
              <a:cs typeface="+mn-cs"/>
            </a:defRPr>
          </a:pPr>
          <a:endParaRPr lang="en-US"/>
        </a:p>
      </c:txPr>
    </c:title>
    <c:autoTitleDeleted val="0"/>
    <c:plotArea>
      <c:layout>
        <c:manualLayout>
          <c:layoutTarget val="inner"/>
          <c:xMode val="edge"/>
          <c:yMode val="edge"/>
          <c:x val="8.9249284180386523E-2"/>
          <c:y val="0.22893552385774393"/>
          <c:w val="0.34852290622763066"/>
          <c:h val="0.68004469507830367"/>
        </c:manualLayout>
      </c:layout>
      <c:doughnutChart>
        <c:varyColors val="1"/>
        <c:ser>
          <c:idx val="0"/>
          <c:order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multiLvlStrRef>
              <c:f>Orthèses!$B$81:$B$86</c:f>
            </c:multiLvlStrRef>
          </c:cat>
          <c:val>
            <c:numRef>
              <c:f>Orthèses!$D$81:$D$86</c:f>
            </c:numRef>
          </c:val>
          <c:extLst>
            <c:ext xmlns:c16="http://schemas.microsoft.com/office/drawing/2014/chart" uri="{C3380CC4-5D6E-409C-BE32-E72D297353CC}">
              <c16:uniqueId val="{00000018-8B4F-4826-97D1-3E688B445304}"/>
            </c:ext>
          </c:extLst>
        </c:ser>
        <c:dLbls>
          <c:showLegendKey val="0"/>
          <c:showVal val="0"/>
          <c:showCatName val="0"/>
          <c:showSerName val="0"/>
          <c:showPercent val="1"/>
          <c:showBubbleSize val="0"/>
          <c:showLeaderLines val="1"/>
        </c:dLbls>
        <c:firstSliceAng val="0"/>
        <c:holeSize val="50"/>
      </c:doughnutChart>
      <c:spPr>
        <a:noFill/>
        <a:ln>
          <a:noFill/>
        </a:ln>
        <a:effectLst/>
      </c:spPr>
    </c:plotArea>
    <c:legend>
      <c:legendPos val="r"/>
      <c:layout>
        <c:manualLayout>
          <c:xMode val="edge"/>
          <c:yMode val="edge"/>
          <c:x val="0.47929420186113098"/>
          <c:y val="0.15367320215793426"/>
          <c:w val="0.50706943450250541"/>
          <c:h val="0.8039617996752622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Orthèses!$B$203</c:f>
              <c:strCache>
                <c:ptCount val="1"/>
                <c:pt idx="0">
                  <c:v> Granulés de polymère / fibre de coton </c:v>
                </c:pt>
              </c:strCache>
            </c:strRef>
          </c:tx>
          <c:spPr>
            <a:solidFill>
              <a:schemeClr val="accent1"/>
            </a:solidFill>
            <a:ln>
              <a:noFill/>
            </a:ln>
            <a:effectLst/>
          </c:spPr>
          <c:invertIfNegative val="0"/>
          <c:cat>
            <c:multiLvlStrRef>
              <c:f>(Orthèses!$C$202:$E$202,Orthèses!$N$202:$P$202,Orthèses!$I$202:$K$202)</c:f>
            </c:multiLvlStrRef>
          </c:cat>
          <c:val>
            <c:numRef>
              <c:f>Orthèses!$C$203:$K$203</c:f>
            </c:numRef>
          </c:val>
          <c:extLst>
            <c:ext xmlns:c16="http://schemas.microsoft.com/office/drawing/2014/chart" uri="{C3380CC4-5D6E-409C-BE32-E72D297353CC}">
              <c16:uniqueId val="{00000000-456F-4A69-B81D-8E7AE6A1CF66}"/>
            </c:ext>
          </c:extLst>
        </c:ser>
        <c:ser>
          <c:idx val="1"/>
          <c:order val="1"/>
          <c:tx>
            <c:strRef>
              <c:f>Orthèses!$B$204</c:f>
              <c:strCache>
                <c:ptCount val="1"/>
                <c:pt idx="0">
                  <c:v> Filature </c:v>
                </c:pt>
              </c:strCache>
            </c:strRef>
          </c:tx>
          <c:spPr>
            <a:solidFill>
              <a:schemeClr val="accent2"/>
            </a:solidFill>
            <a:ln>
              <a:noFill/>
            </a:ln>
            <a:effectLst/>
          </c:spPr>
          <c:invertIfNegative val="0"/>
          <c:cat>
            <c:multiLvlStrRef>
              <c:f>(Orthèses!$C$202:$E$202,Orthèses!$N$202:$P$202,Orthèses!$I$202:$K$202)</c:f>
            </c:multiLvlStrRef>
          </c:cat>
          <c:val>
            <c:numRef>
              <c:f>Orthèses!$C$204:$K$204</c:f>
            </c:numRef>
          </c:val>
          <c:extLst>
            <c:ext xmlns:c16="http://schemas.microsoft.com/office/drawing/2014/chart" uri="{C3380CC4-5D6E-409C-BE32-E72D297353CC}">
              <c16:uniqueId val="{00000001-456F-4A69-B81D-8E7AE6A1CF66}"/>
            </c:ext>
          </c:extLst>
        </c:ser>
        <c:ser>
          <c:idx val="2"/>
          <c:order val="2"/>
          <c:tx>
            <c:strRef>
              <c:f>Orthèses!$B$205</c:f>
              <c:strCache>
                <c:ptCount val="1"/>
                <c:pt idx="0">
                  <c:v> Texturation  </c:v>
                </c:pt>
              </c:strCache>
            </c:strRef>
          </c:tx>
          <c:spPr>
            <a:solidFill>
              <a:schemeClr val="accent3"/>
            </a:solidFill>
            <a:ln>
              <a:noFill/>
            </a:ln>
            <a:effectLst/>
          </c:spPr>
          <c:invertIfNegative val="0"/>
          <c:cat>
            <c:multiLvlStrRef>
              <c:f>(Orthèses!$C$202:$E$202,Orthèses!$N$202:$P$202,Orthèses!$I$202:$K$202)</c:f>
            </c:multiLvlStrRef>
          </c:cat>
          <c:val>
            <c:numRef>
              <c:f>Orthèses!$C$205:$K$205</c:f>
            </c:numRef>
          </c:val>
          <c:extLst>
            <c:ext xmlns:c16="http://schemas.microsoft.com/office/drawing/2014/chart" uri="{C3380CC4-5D6E-409C-BE32-E72D297353CC}">
              <c16:uniqueId val="{00000002-456F-4A69-B81D-8E7AE6A1CF66}"/>
            </c:ext>
          </c:extLst>
        </c:ser>
        <c:ser>
          <c:idx val="3"/>
          <c:order val="3"/>
          <c:tx>
            <c:strRef>
              <c:f>Orthèses!$B$206</c:f>
              <c:strCache>
                <c:ptCount val="1"/>
                <c:pt idx="0">
                  <c:v> Tissage (300 dtex) </c:v>
                </c:pt>
              </c:strCache>
            </c:strRef>
          </c:tx>
          <c:spPr>
            <a:solidFill>
              <a:schemeClr val="accent4"/>
            </a:solidFill>
            <a:ln>
              <a:noFill/>
            </a:ln>
            <a:effectLst/>
          </c:spPr>
          <c:invertIfNegative val="0"/>
          <c:cat>
            <c:multiLvlStrRef>
              <c:f>(Orthèses!$C$202:$E$202,Orthèses!$N$202:$P$202,Orthèses!$I$202:$K$202)</c:f>
            </c:multiLvlStrRef>
          </c:cat>
          <c:val>
            <c:numRef>
              <c:f>Orthèses!$C$206:$K$206</c:f>
            </c:numRef>
          </c:val>
          <c:extLst>
            <c:ext xmlns:c16="http://schemas.microsoft.com/office/drawing/2014/chart" uri="{C3380CC4-5D6E-409C-BE32-E72D297353CC}">
              <c16:uniqueId val="{00000003-456F-4A69-B81D-8E7AE6A1CF66}"/>
            </c:ext>
          </c:extLst>
        </c:ser>
        <c:ser>
          <c:idx val="4"/>
          <c:order val="4"/>
          <c:tx>
            <c:strRef>
              <c:f>Orthèses!$B$207</c:f>
              <c:strCache>
                <c:ptCount val="1"/>
                <c:pt idx="0">
                  <c:v> Thermofixage et lavage des tissus synthétiques </c:v>
                </c:pt>
              </c:strCache>
            </c:strRef>
          </c:tx>
          <c:spPr>
            <a:solidFill>
              <a:schemeClr val="accent5"/>
            </a:solidFill>
            <a:ln>
              <a:noFill/>
            </a:ln>
            <a:effectLst/>
          </c:spPr>
          <c:invertIfNegative val="0"/>
          <c:cat>
            <c:multiLvlStrRef>
              <c:f>(Orthèses!$C$202:$E$202,Orthèses!$N$202:$P$202,Orthèses!$I$202:$K$202)</c:f>
            </c:multiLvlStrRef>
          </c:cat>
          <c:val>
            <c:numRef>
              <c:f>Orthèses!$C$207:$K$207</c:f>
            </c:numRef>
          </c:val>
          <c:extLst>
            <c:ext xmlns:c16="http://schemas.microsoft.com/office/drawing/2014/chart" uri="{C3380CC4-5D6E-409C-BE32-E72D297353CC}">
              <c16:uniqueId val="{00000004-456F-4A69-B81D-8E7AE6A1CF66}"/>
            </c:ext>
          </c:extLst>
        </c:ser>
        <c:ser>
          <c:idx val="5"/>
          <c:order val="5"/>
          <c:tx>
            <c:strRef>
              <c:f>Orthèses!$B$208</c:f>
              <c:strCache>
                <c:ptCount val="1"/>
                <c:pt idx="0">
                  <c:v> Prétraitement du coton </c:v>
                </c:pt>
              </c:strCache>
            </c:strRef>
          </c:tx>
          <c:spPr>
            <a:solidFill>
              <a:schemeClr val="accent6"/>
            </a:solidFill>
            <a:ln>
              <a:noFill/>
            </a:ln>
            <a:effectLst/>
          </c:spPr>
          <c:invertIfNegative val="0"/>
          <c:cat>
            <c:multiLvlStrRef>
              <c:f>(Orthèses!$C$202:$E$202,Orthèses!$N$202:$P$202,Orthèses!$I$202:$K$202)</c:f>
            </c:multiLvlStrRef>
          </c:cat>
          <c:val>
            <c:numRef>
              <c:f>Orthèses!$C$208:$K$208</c:f>
            </c:numRef>
          </c:val>
          <c:extLst>
            <c:ext xmlns:c16="http://schemas.microsoft.com/office/drawing/2014/chart" uri="{C3380CC4-5D6E-409C-BE32-E72D297353CC}">
              <c16:uniqueId val="{00000006-456F-4A69-B81D-8E7AE6A1CF66}"/>
            </c:ext>
          </c:extLst>
        </c:ser>
        <c:ser>
          <c:idx val="6"/>
          <c:order val="6"/>
          <c:tx>
            <c:strRef>
              <c:f>Orthèses!$B$209</c:f>
              <c:strCache>
                <c:ptCount val="1"/>
                <c:pt idx="0">
                  <c:v> Teinture (hors pigments) </c:v>
                </c:pt>
              </c:strCache>
            </c:strRef>
          </c:tx>
          <c:spPr>
            <a:solidFill>
              <a:schemeClr val="accent1">
                <a:lumMod val="60000"/>
              </a:schemeClr>
            </a:solidFill>
            <a:ln>
              <a:noFill/>
            </a:ln>
            <a:effectLst/>
          </c:spPr>
          <c:invertIfNegative val="0"/>
          <c:cat>
            <c:multiLvlStrRef>
              <c:f>(Orthèses!$C$202:$E$202,Orthèses!$N$202:$P$202,Orthèses!$I$202:$K$202)</c:f>
            </c:multiLvlStrRef>
          </c:cat>
          <c:val>
            <c:numRef>
              <c:f>Orthèses!$C$209:$K$209</c:f>
            </c:numRef>
          </c:val>
          <c:extLst>
            <c:ext xmlns:c16="http://schemas.microsoft.com/office/drawing/2014/chart" uri="{C3380CC4-5D6E-409C-BE32-E72D297353CC}">
              <c16:uniqueId val="{00000007-456F-4A69-B81D-8E7AE6A1CF66}"/>
            </c:ext>
          </c:extLst>
        </c:ser>
        <c:dLbls>
          <c:showLegendKey val="0"/>
          <c:showVal val="0"/>
          <c:showCatName val="0"/>
          <c:showSerName val="0"/>
          <c:showPercent val="0"/>
          <c:showBubbleSize val="0"/>
        </c:dLbls>
        <c:gapWidth val="55"/>
        <c:overlap val="100"/>
        <c:axId val="387842079"/>
        <c:axId val="387840831"/>
      </c:barChart>
      <c:catAx>
        <c:axId val="387842079"/>
        <c:scaling>
          <c:orientation val="minMax"/>
        </c:scaling>
        <c:delete val="0"/>
        <c:axPos val="b"/>
        <c:numFmt formatCode="General" sourceLinked="1"/>
        <c:majorTickMark val="out"/>
        <c:minorTickMark val="none"/>
        <c:tickLblPos val="nextTo"/>
        <c:spPr>
          <a:noFill/>
          <a:ln w="9525" cap="flat" cmpd="sng" algn="ctr">
            <a:noFill/>
            <a:round/>
          </a:ln>
          <a:effectLst/>
        </c:spPr>
        <c:txPr>
          <a:bodyPr rot="-60000000" spcFirstLastPara="1" vertOverflow="ellipsis" vert="horz" wrap="square" anchor="ctr" anchorCtr="1"/>
          <a:lstStyle/>
          <a:p>
            <a:pPr>
              <a:defRPr sz="900" b="1" i="0" u="none" strike="noStrike" kern="1200" baseline="0">
                <a:solidFill>
                  <a:schemeClr val="accent1"/>
                </a:solidFill>
                <a:latin typeface="+mn-lt"/>
                <a:ea typeface="+mn-ea"/>
                <a:cs typeface="+mn-cs"/>
              </a:defRPr>
            </a:pPr>
            <a:endParaRPr lang="en-US"/>
          </a:p>
        </c:txPr>
        <c:crossAx val="387840831"/>
        <c:crosses val="autoZero"/>
        <c:auto val="1"/>
        <c:lblAlgn val="ctr"/>
        <c:lblOffset val="100"/>
        <c:noMultiLvlLbl val="0"/>
      </c:catAx>
      <c:valAx>
        <c:axId val="38784083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accent1"/>
                    </a:solidFill>
                    <a:latin typeface="+mn-lt"/>
                    <a:ea typeface="+mn-ea"/>
                    <a:cs typeface="+mn-cs"/>
                  </a:defRPr>
                </a:pPr>
                <a:r>
                  <a:rPr lang="en-GB" b="1">
                    <a:solidFill>
                      <a:schemeClr val="accent1"/>
                    </a:solidFill>
                  </a:rPr>
                  <a:t>kgCO2e</a:t>
                </a:r>
                <a:r>
                  <a:rPr lang="en-GB" b="1" baseline="0">
                    <a:solidFill>
                      <a:schemeClr val="accent1"/>
                    </a:solidFill>
                  </a:rPr>
                  <a:t> par </a:t>
                </a:r>
                <a:r>
                  <a:rPr lang="en-GB" b="1">
                    <a:solidFill>
                      <a:schemeClr val="accent1"/>
                    </a:solidFill>
                  </a:rPr>
                  <a:t>kg de</a:t>
                </a:r>
                <a:r>
                  <a:rPr lang="en-GB" b="1" baseline="0">
                    <a:solidFill>
                      <a:schemeClr val="accent1"/>
                    </a:solidFill>
                  </a:rPr>
                  <a:t> matière première</a:t>
                </a:r>
                <a:endParaRPr lang="en-GB" b="1">
                  <a:solidFill>
                    <a:schemeClr val="accent1"/>
                  </a:solidFill>
                </a:endParaRPr>
              </a:p>
            </c:rich>
          </c:tx>
          <c:layout>
            <c:manualLayout>
              <c:xMode val="edge"/>
              <c:yMode val="edge"/>
              <c:x val="1.3908676336948696E-2"/>
              <c:y val="2.7914213557200154E-2"/>
            </c:manualLayout>
          </c:layout>
          <c:overlay val="0"/>
          <c:spPr>
            <a:noFill/>
            <a:ln>
              <a:noFill/>
            </a:ln>
            <a:effectLst/>
          </c:spPr>
          <c:txPr>
            <a:bodyPr rot="-5400000" spcFirstLastPara="1" vertOverflow="ellipsis" vert="horz" wrap="square" anchor="ctr" anchorCtr="1"/>
            <a:lstStyle/>
            <a:p>
              <a:pPr>
                <a:defRPr sz="1000" b="1" i="0" u="none" strike="noStrike" kern="1200" baseline="0">
                  <a:solidFill>
                    <a:schemeClr val="accent1"/>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accent1"/>
                </a:solidFill>
                <a:latin typeface="+mn-lt"/>
                <a:ea typeface="+mn-ea"/>
                <a:cs typeface="+mn-cs"/>
              </a:defRPr>
            </a:pPr>
            <a:endParaRPr lang="en-US"/>
          </a:p>
        </c:txPr>
        <c:crossAx val="387842079"/>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1000" b="1" i="0" u="none" strike="noStrike" kern="1200" baseline="0">
              <a:solidFill>
                <a:schemeClr val="accent1"/>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0"/>
          <c:order val="0"/>
          <c:tx>
            <c:strRef>
              <c:f>Orthèses!$D$33</c:f>
              <c:strCache>
                <c:ptCount val="1"/>
                <c:pt idx="0">
                  <c:v> Matières premières et production </c:v>
                </c:pt>
              </c:strCache>
            </c:strRef>
          </c:tx>
          <c:spPr>
            <a:solidFill>
              <a:schemeClr val="accent1"/>
            </a:solidFill>
            <a:ln>
              <a:noFill/>
            </a:ln>
            <a:effectLst/>
          </c:spPr>
          <c:invertIfNegative val="0"/>
          <c:cat>
            <c:multiLvlStrRef>
              <c:f>Orthèses!$B$34:$B$43</c:f>
            </c:multiLvlStrRef>
          </c:cat>
          <c:val>
            <c:numRef>
              <c:f>Orthèses!$D$34:$D$43</c:f>
            </c:numRef>
          </c:val>
          <c:extLst>
            <c:ext xmlns:c16="http://schemas.microsoft.com/office/drawing/2014/chart" uri="{C3380CC4-5D6E-409C-BE32-E72D297353CC}">
              <c16:uniqueId val="{00000000-0675-4707-BCA7-333D33605283}"/>
            </c:ext>
          </c:extLst>
        </c:ser>
        <c:ser>
          <c:idx val="1"/>
          <c:order val="1"/>
          <c:tx>
            <c:strRef>
              <c:f>Orthèses!$E$33</c:f>
              <c:strCache>
                <c:ptCount val="1"/>
                <c:pt idx="0">
                  <c:v> Emballages </c:v>
                </c:pt>
              </c:strCache>
            </c:strRef>
          </c:tx>
          <c:spPr>
            <a:solidFill>
              <a:schemeClr val="accent2"/>
            </a:solidFill>
            <a:ln>
              <a:noFill/>
            </a:ln>
            <a:effectLst/>
          </c:spPr>
          <c:invertIfNegative val="0"/>
          <c:cat>
            <c:multiLvlStrRef>
              <c:f>Orthèses!$B$34:$B$43</c:f>
            </c:multiLvlStrRef>
          </c:cat>
          <c:val>
            <c:numRef>
              <c:f>Orthèses!$E$34:$E$43</c:f>
            </c:numRef>
          </c:val>
          <c:extLst>
            <c:ext xmlns:c16="http://schemas.microsoft.com/office/drawing/2014/chart" uri="{C3380CC4-5D6E-409C-BE32-E72D297353CC}">
              <c16:uniqueId val="{00000001-0675-4707-BCA7-333D33605283}"/>
            </c:ext>
          </c:extLst>
        </c:ser>
        <c:ser>
          <c:idx val="2"/>
          <c:order val="2"/>
          <c:tx>
            <c:strRef>
              <c:f>Orthèses!$F$33</c:f>
              <c:strCache>
                <c:ptCount val="1"/>
                <c:pt idx="0">
                  <c:v> Transport (hors livraison) </c:v>
                </c:pt>
              </c:strCache>
            </c:strRef>
          </c:tx>
          <c:spPr>
            <a:solidFill>
              <a:schemeClr val="accent3"/>
            </a:solidFill>
            <a:ln>
              <a:noFill/>
            </a:ln>
            <a:effectLst/>
          </c:spPr>
          <c:invertIfNegative val="0"/>
          <c:cat>
            <c:multiLvlStrRef>
              <c:f>Orthèses!$B$34:$B$43</c:f>
            </c:multiLvlStrRef>
          </c:cat>
          <c:val>
            <c:numRef>
              <c:f>Orthèses!$F$34:$F$43</c:f>
            </c:numRef>
          </c:val>
          <c:extLst>
            <c:ext xmlns:c16="http://schemas.microsoft.com/office/drawing/2014/chart" uri="{C3380CC4-5D6E-409C-BE32-E72D297353CC}">
              <c16:uniqueId val="{00000002-0675-4707-BCA7-333D33605283}"/>
            </c:ext>
          </c:extLst>
        </c:ser>
        <c:ser>
          <c:idx val="3"/>
          <c:order val="3"/>
          <c:tx>
            <c:strRef>
              <c:f>Orthèses!$G$33</c:f>
              <c:strCache>
                <c:ptCount val="1"/>
                <c:pt idx="0">
                  <c:v> Livraison </c:v>
                </c:pt>
              </c:strCache>
            </c:strRef>
          </c:tx>
          <c:spPr>
            <a:solidFill>
              <a:schemeClr val="accent4"/>
            </a:solidFill>
            <a:ln>
              <a:noFill/>
            </a:ln>
            <a:effectLst/>
          </c:spPr>
          <c:invertIfNegative val="0"/>
          <c:cat>
            <c:multiLvlStrRef>
              <c:f>Orthèses!$B$34:$B$43</c:f>
            </c:multiLvlStrRef>
          </c:cat>
          <c:val>
            <c:numRef>
              <c:f>Orthèses!$G$34:$G$43</c:f>
            </c:numRef>
          </c:val>
          <c:extLst>
            <c:ext xmlns:c16="http://schemas.microsoft.com/office/drawing/2014/chart" uri="{C3380CC4-5D6E-409C-BE32-E72D297353CC}">
              <c16:uniqueId val="{00000003-0675-4707-BCA7-333D33605283}"/>
            </c:ext>
          </c:extLst>
        </c:ser>
        <c:ser>
          <c:idx val="4"/>
          <c:order val="4"/>
          <c:tx>
            <c:strRef>
              <c:f>Orthèses!$H$33</c:f>
              <c:strCache>
                <c:ptCount val="1"/>
                <c:pt idx="0">
                  <c:v> Fin de vie </c:v>
                </c:pt>
              </c:strCache>
            </c:strRef>
          </c:tx>
          <c:spPr>
            <a:solidFill>
              <a:schemeClr val="accent5"/>
            </a:solidFill>
            <a:ln>
              <a:noFill/>
            </a:ln>
            <a:effectLst/>
          </c:spPr>
          <c:invertIfNegative val="0"/>
          <c:cat>
            <c:multiLvlStrRef>
              <c:f>Orthèses!$B$34:$B$43</c:f>
            </c:multiLvlStrRef>
          </c:cat>
          <c:val>
            <c:numRef>
              <c:f>Orthèses!$H$34:$H$43</c:f>
            </c:numRef>
          </c:val>
          <c:extLst>
            <c:ext xmlns:c16="http://schemas.microsoft.com/office/drawing/2014/chart" uri="{C3380CC4-5D6E-409C-BE32-E72D297353CC}">
              <c16:uniqueId val="{00000004-0675-4707-BCA7-333D33605283}"/>
            </c:ext>
          </c:extLst>
        </c:ser>
        <c:dLbls>
          <c:showLegendKey val="0"/>
          <c:showVal val="0"/>
          <c:showCatName val="0"/>
          <c:showSerName val="0"/>
          <c:showPercent val="0"/>
          <c:showBubbleSize val="0"/>
        </c:dLbls>
        <c:gapWidth val="75"/>
        <c:overlap val="100"/>
        <c:axId val="435287455"/>
        <c:axId val="435289951"/>
      </c:barChart>
      <c:catAx>
        <c:axId val="43528745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2"/>
                </a:solidFill>
                <a:latin typeface="+mn-lt"/>
                <a:ea typeface="+mn-ea"/>
                <a:cs typeface="+mn-cs"/>
              </a:defRPr>
            </a:pPr>
            <a:endParaRPr lang="en-US"/>
          </a:p>
        </c:txPr>
        <c:crossAx val="435289951"/>
        <c:crosses val="autoZero"/>
        <c:auto val="1"/>
        <c:lblAlgn val="ctr"/>
        <c:lblOffset val="100"/>
        <c:noMultiLvlLbl val="0"/>
      </c:catAx>
      <c:valAx>
        <c:axId val="435289951"/>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b="1">
                    <a:solidFill>
                      <a:schemeClr val="tx2"/>
                    </a:solidFill>
                  </a:rPr>
                  <a:t>Répartition de l'empreinte carbone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2"/>
                </a:solidFill>
                <a:latin typeface="+mn-lt"/>
                <a:ea typeface="+mn-ea"/>
                <a:cs typeface="+mn-cs"/>
              </a:defRPr>
            </a:pPr>
            <a:endParaRPr lang="en-US"/>
          </a:p>
        </c:txPr>
        <c:crossAx val="43528745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1000" b="1"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746504708382927"/>
          <c:y val="5.634088818899715E-2"/>
          <c:w val="0.84065443635856363"/>
          <c:h val="0.8177511401252936"/>
        </c:manualLayout>
      </c:layout>
      <c:barChart>
        <c:barDir val="col"/>
        <c:grouping val="clustered"/>
        <c:varyColors val="0"/>
        <c:ser>
          <c:idx val="0"/>
          <c:order val="0"/>
          <c:tx>
            <c:strRef>
              <c:f>'Résultats généraux'!$E$116</c:f>
              <c:strCache>
                <c:ptCount val="1"/>
                <c:pt idx="0">
                  <c:v>Intensité carbone massique (kgCO2e/kg)</c:v>
                </c:pt>
              </c:strCache>
            </c:strRef>
          </c:tx>
          <c:spPr>
            <a:solidFill>
              <a:schemeClr val="accent1"/>
            </a:solidFill>
            <a:ln>
              <a:noFill/>
            </a:ln>
            <a:effectLst/>
          </c:spPr>
          <c:invertIfNegative val="0"/>
          <c:cat>
            <c:multiLvlStrRef>
              <c:f>'Résultats généraux'!$B$120:$B$126</c:f>
            </c:multiLvlStrRef>
          </c:cat>
          <c:val>
            <c:numRef>
              <c:f>'Résultats généraux'!$E$120:$E$126</c:f>
            </c:numRef>
          </c:val>
          <c:extLst>
            <c:ext xmlns:c16="http://schemas.microsoft.com/office/drawing/2014/chart" uri="{C3380CC4-5D6E-409C-BE32-E72D297353CC}">
              <c16:uniqueId val="{00000000-B86F-4613-8199-03B1F415D89D}"/>
            </c:ext>
          </c:extLst>
        </c:ser>
        <c:dLbls>
          <c:showLegendKey val="0"/>
          <c:showVal val="0"/>
          <c:showCatName val="0"/>
          <c:showSerName val="0"/>
          <c:showPercent val="0"/>
          <c:showBubbleSize val="0"/>
        </c:dLbls>
        <c:gapWidth val="150"/>
        <c:axId val="941654239"/>
        <c:axId val="941651327"/>
      </c:barChart>
      <c:catAx>
        <c:axId val="941654239"/>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accent1"/>
                </a:solidFill>
                <a:latin typeface="+mn-lt"/>
                <a:ea typeface="+mn-ea"/>
                <a:cs typeface="+mn-cs"/>
              </a:defRPr>
            </a:pPr>
            <a:endParaRPr lang="en-US"/>
          </a:p>
        </c:txPr>
        <c:crossAx val="941651327"/>
        <c:crosses val="autoZero"/>
        <c:auto val="1"/>
        <c:lblAlgn val="ctr"/>
        <c:lblOffset val="100"/>
        <c:noMultiLvlLbl val="0"/>
      </c:catAx>
      <c:valAx>
        <c:axId val="941651327"/>
        <c:scaling>
          <c:orientation val="minMax"/>
          <c:max val="4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1" i="0" u="none" strike="noStrike" kern="1200" baseline="0">
                    <a:solidFill>
                      <a:schemeClr val="accent1"/>
                    </a:solidFill>
                    <a:latin typeface="+mn-lt"/>
                    <a:ea typeface="+mn-ea"/>
                    <a:cs typeface="+mn-cs"/>
                  </a:defRPr>
                </a:pPr>
                <a:r>
                  <a:rPr lang="en-GB"/>
                  <a:t>kgCO</a:t>
                </a:r>
                <a:r>
                  <a:rPr lang="en-GB" baseline="-25000"/>
                  <a:t>2</a:t>
                </a:r>
                <a:r>
                  <a:rPr lang="en-GB"/>
                  <a:t>e / kg de produit fini</a:t>
                </a:r>
              </a:p>
            </c:rich>
          </c:tx>
          <c:overlay val="0"/>
          <c:spPr>
            <a:noFill/>
            <a:ln>
              <a:noFill/>
            </a:ln>
            <a:effectLst/>
          </c:spPr>
          <c:txPr>
            <a:bodyPr rot="-5400000" spcFirstLastPara="1" vertOverflow="ellipsis" vert="horz" wrap="square" anchor="ctr" anchorCtr="1"/>
            <a:lstStyle/>
            <a:p>
              <a:pPr>
                <a:defRPr sz="1100" b="1" i="0" u="none" strike="noStrike" kern="1200" baseline="0">
                  <a:solidFill>
                    <a:schemeClr val="accent1"/>
                  </a:solidFill>
                  <a:latin typeface="+mn-lt"/>
                  <a:ea typeface="+mn-ea"/>
                  <a:cs typeface="+mn-cs"/>
                </a:defRPr>
              </a:pPr>
              <a:endParaRPr lang="en-US"/>
            </a:p>
          </c:txPr>
        </c:title>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accent1"/>
                </a:solidFill>
                <a:latin typeface="+mn-lt"/>
                <a:ea typeface="+mn-ea"/>
                <a:cs typeface="+mn-cs"/>
              </a:defRPr>
            </a:pPr>
            <a:endParaRPr lang="en-US"/>
          </a:p>
        </c:txPr>
        <c:crossAx val="9416542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100" b="1">
          <a:solidFill>
            <a:schemeClr val="accent1"/>
          </a:solidFill>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Orthèses!$L$33</c:f>
              <c:strCache>
                <c:ptCount val="1"/>
                <c:pt idx="0">
                  <c:v> Matières premières et production </c:v>
                </c:pt>
              </c:strCache>
            </c:strRef>
          </c:tx>
          <c:spPr>
            <a:solidFill>
              <a:schemeClr val="accent1"/>
            </a:solidFill>
            <a:ln>
              <a:noFill/>
            </a:ln>
            <a:effectLst/>
          </c:spPr>
          <c:invertIfNegative val="0"/>
          <c:cat>
            <c:multiLvlStrRef>
              <c:f>Orthèses!$J$35:$J$39</c:f>
            </c:multiLvlStrRef>
          </c:cat>
          <c:val>
            <c:numRef>
              <c:f>Orthèses!$L$35:$L$39</c:f>
            </c:numRef>
          </c:val>
          <c:extLst>
            <c:ext xmlns:c16="http://schemas.microsoft.com/office/drawing/2014/chart" uri="{C3380CC4-5D6E-409C-BE32-E72D297353CC}">
              <c16:uniqueId val="{00000000-4DE0-4738-808A-2F66AB7330D2}"/>
            </c:ext>
          </c:extLst>
        </c:ser>
        <c:ser>
          <c:idx val="1"/>
          <c:order val="1"/>
          <c:tx>
            <c:strRef>
              <c:f>Orthèses!$M$33</c:f>
              <c:strCache>
                <c:ptCount val="1"/>
                <c:pt idx="0">
                  <c:v> Emballages </c:v>
                </c:pt>
              </c:strCache>
            </c:strRef>
          </c:tx>
          <c:spPr>
            <a:solidFill>
              <a:schemeClr val="accent2"/>
            </a:solidFill>
            <a:ln>
              <a:noFill/>
            </a:ln>
            <a:effectLst/>
          </c:spPr>
          <c:invertIfNegative val="0"/>
          <c:cat>
            <c:multiLvlStrRef>
              <c:f>Orthèses!$J$35:$J$39</c:f>
            </c:multiLvlStrRef>
          </c:cat>
          <c:val>
            <c:numRef>
              <c:f>Orthèses!$M$35:$M$39</c:f>
            </c:numRef>
          </c:val>
          <c:extLst>
            <c:ext xmlns:c16="http://schemas.microsoft.com/office/drawing/2014/chart" uri="{C3380CC4-5D6E-409C-BE32-E72D297353CC}">
              <c16:uniqueId val="{00000001-4DE0-4738-808A-2F66AB7330D2}"/>
            </c:ext>
          </c:extLst>
        </c:ser>
        <c:ser>
          <c:idx val="2"/>
          <c:order val="2"/>
          <c:tx>
            <c:strRef>
              <c:f>Orthèses!$N$33</c:f>
              <c:strCache>
                <c:ptCount val="1"/>
                <c:pt idx="0">
                  <c:v> Transport (hors livraison) </c:v>
                </c:pt>
              </c:strCache>
            </c:strRef>
          </c:tx>
          <c:spPr>
            <a:solidFill>
              <a:schemeClr val="accent3"/>
            </a:solidFill>
            <a:ln>
              <a:noFill/>
            </a:ln>
            <a:effectLst/>
          </c:spPr>
          <c:invertIfNegative val="0"/>
          <c:cat>
            <c:multiLvlStrRef>
              <c:f>Orthèses!$J$35:$J$39</c:f>
            </c:multiLvlStrRef>
          </c:cat>
          <c:val>
            <c:numRef>
              <c:f>Orthèses!$N$35:$N$39</c:f>
            </c:numRef>
          </c:val>
          <c:extLst>
            <c:ext xmlns:c16="http://schemas.microsoft.com/office/drawing/2014/chart" uri="{C3380CC4-5D6E-409C-BE32-E72D297353CC}">
              <c16:uniqueId val="{00000002-4DE0-4738-808A-2F66AB7330D2}"/>
            </c:ext>
          </c:extLst>
        </c:ser>
        <c:ser>
          <c:idx val="3"/>
          <c:order val="3"/>
          <c:tx>
            <c:strRef>
              <c:f>Orthèses!$O$33</c:f>
              <c:strCache>
                <c:ptCount val="1"/>
                <c:pt idx="0">
                  <c:v> Livraison </c:v>
                </c:pt>
              </c:strCache>
            </c:strRef>
          </c:tx>
          <c:spPr>
            <a:solidFill>
              <a:schemeClr val="accent4"/>
            </a:solidFill>
            <a:ln>
              <a:noFill/>
            </a:ln>
            <a:effectLst/>
          </c:spPr>
          <c:invertIfNegative val="0"/>
          <c:cat>
            <c:multiLvlStrRef>
              <c:f>Orthèses!$J$35:$J$39</c:f>
            </c:multiLvlStrRef>
          </c:cat>
          <c:val>
            <c:numRef>
              <c:f>Orthèses!$O$35:$O$39</c:f>
            </c:numRef>
          </c:val>
          <c:extLst>
            <c:ext xmlns:c16="http://schemas.microsoft.com/office/drawing/2014/chart" uri="{C3380CC4-5D6E-409C-BE32-E72D297353CC}">
              <c16:uniqueId val="{00000003-4DE0-4738-808A-2F66AB7330D2}"/>
            </c:ext>
          </c:extLst>
        </c:ser>
        <c:ser>
          <c:idx val="4"/>
          <c:order val="4"/>
          <c:tx>
            <c:strRef>
              <c:f>Orthèses!$P$33</c:f>
              <c:strCache>
                <c:ptCount val="1"/>
                <c:pt idx="0">
                  <c:v> Fin de vie </c:v>
                </c:pt>
              </c:strCache>
            </c:strRef>
          </c:tx>
          <c:spPr>
            <a:solidFill>
              <a:schemeClr val="accent5"/>
            </a:solidFill>
            <a:ln>
              <a:noFill/>
            </a:ln>
            <a:effectLst/>
          </c:spPr>
          <c:invertIfNegative val="0"/>
          <c:cat>
            <c:multiLvlStrRef>
              <c:f>Orthèses!$J$35:$J$39</c:f>
            </c:multiLvlStrRef>
          </c:cat>
          <c:val>
            <c:numRef>
              <c:f>Orthèses!$P$35:$P$39</c:f>
            </c:numRef>
          </c:val>
          <c:extLst>
            <c:ext xmlns:c16="http://schemas.microsoft.com/office/drawing/2014/chart" uri="{C3380CC4-5D6E-409C-BE32-E72D297353CC}">
              <c16:uniqueId val="{00000004-4DE0-4738-808A-2F66AB7330D2}"/>
            </c:ext>
          </c:extLst>
        </c:ser>
        <c:dLbls>
          <c:showLegendKey val="0"/>
          <c:showVal val="0"/>
          <c:showCatName val="0"/>
          <c:showSerName val="0"/>
          <c:showPercent val="0"/>
          <c:showBubbleSize val="0"/>
        </c:dLbls>
        <c:gapWidth val="75"/>
        <c:overlap val="100"/>
        <c:axId val="435287455"/>
        <c:axId val="435289951"/>
      </c:barChart>
      <c:catAx>
        <c:axId val="43528745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1" i="0" u="none" strike="noStrike" kern="1200" baseline="0">
                <a:solidFill>
                  <a:schemeClr val="tx2"/>
                </a:solidFill>
                <a:latin typeface="+mn-lt"/>
                <a:ea typeface="+mn-ea"/>
                <a:cs typeface="+mn-cs"/>
              </a:defRPr>
            </a:pPr>
            <a:endParaRPr lang="en-US"/>
          </a:p>
        </c:txPr>
        <c:crossAx val="435289951"/>
        <c:crosses val="autoZero"/>
        <c:auto val="1"/>
        <c:lblAlgn val="ctr"/>
        <c:lblOffset val="100"/>
        <c:noMultiLvlLbl val="0"/>
      </c:catAx>
      <c:valAx>
        <c:axId val="435289951"/>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r>
                  <a:rPr lang="en-GB" sz="1050" b="1">
                    <a:solidFill>
                      <a:schemeClr val="tx2"/>
                    </a:solidFill>
                  </a:rPr>
                  <a:t>Empreinte carbone (en ktCO2e)</a:t>
                </a:r>
              </a:p>
            </c:rich>
          </c:tx>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title>
        <c:numFmt formatCode="_ * #\ ##0.00_)_ ;_ * \(#\ ##0.00\)_ ;_ * &quot;-&quot;??_)_ ;_ @_ " sourceLinked="1"/>
        <c:majorTickMark val="out"/>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2"/>
                </a:solidFill>
                <a:latin typeface="+mn-lt"/>
                <a:ea typeface="+mn-ea"/>
                <a:cs typeface="+mn-cs"/>
              </a:defRPr>
            </a:pPr>
            <a:endParaRPr lang="en-US"/>
          </a:p>
        </c:txPr>
        <c:crossAx val="43528745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1050" b="1"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0"/>
          <c:order val="0"/>
          <c:tx>
            <c:strRef>
              <c:f>Orthèses!$L$33</c:f>
              <c:strCache>
                <c:ptCount val="1"/>
                <c:pt idx="0">
                  <c:v> Matières premières et production </c:v>
                </c:pt>
              </c:strCache>
            </c:strRef>
          </c:tx>
          <c:spPr>
            <a:solidFill>
              <a:schemeClr val="accent1"/>
            </a:solidFill>
            <a:ln>
              <a:noFill/>
            </a:ln>
            <a:effectLst/>
          </c:spPr>
          <c:invertIfNegative val="0"/>
          <c:cat>
            <c:multiLvlStrRef>
              <c:f>Orthèses!$J$35:$J$39</c:f>
            </c:multiLvlStrRef>
          </c:cat>
          <c:val>
            <c:numRef>
              <c:f>Orthèses!$L$35:$L$39</c:f>
            </c:numRef>
          </c:val>
          <c:extLst>
            <c:ext xmlns:c16="http://schemas.microsoft.com/office/drawing/2014/chart" uri="{C3380CC4-5D6E-409C-BE32-E72D297353CC}">
              <c16:uniqueId val="{00000000-5D16-4F6B-AD80-30700C926D79}"/>
            </c:ext>
          </c:extLst>
        </c:ser>
        <c:ser>
          <c:idx val="1"/>
          <c:order val="1"/>
          <c:tx>
            <c:strRef>
              <c:f>Orthèses!$M$33</c:f>
              <c:strCache>
                <c:ptCount val="1"/>
                <c:pt idx="0">
                  <c:v> Emballages </c:v>
                </c:pt>
              </c:strCache>
            </c:strRef>
          </c:tx>
          <c:spPr>
            <a:solidFill>
              <a:schemeClr val="accent2"/>
            </a:solidFill>
            <a:ln>
              <a:noFill/>
            </a:ln>
            <a:effectLst/>
          </c:spPr>
          <c:invertIfNegative val="0"/>
          <c:cat>
            <c:multiLvlStrRef>
              <c:f>Orthèses!$J$35:$J$39</c:f>
            </c:multiLvlStrRef>
          </c:cat>
          <c:val>
            <c:numRef>
              <c:f>Orthèses!$M$35:$M$39</c:f>
            </c:numRef>
          </c:val>
          <c:extLst>
            <c:ext xmlns:c16="http://schemas.microsoft.com/office/drawing/2014/chart" uri="{C3380CC4-5D6E-409C-BE32-E72D297353CC}">
              <c16:uniqueId val="{00000001-5D16-4F6B-AD80-30700C926D79}"/>
            </c:ext>
          </c:extLst>
        </c:ser>
        <c:ser>
          <c:idx val="2"/>
          <c:order val="2"/>
          <c:tx>
            <c:strRef>
              <c:f>Orthèses!$N$33</c:f>
              <c:strCache>
                <c:ptCount val="1"/>
                <c:pt idx="0">
                  <c:v> Transport (hors livraison) </c:v>
                </c:pt>
              </c:strCache>
            </c:strRef>
          </c:tx>
          <c:spPr>
            <a:solidFill>
              <a:schemeClr val="accent3"/>
            </a:solidFill>
            <a:ln>
              <a:noFill/>
            </a:ln>
            <a:effectLst/>
          </c:spPr>
          <c:invertIfNegative val="0"/>
          <c:cat>
            <c:multiLvlStrRef>
              <c:f>Orthèses!$J$35:$J$39</c:f>
            </c:multiLvlStrRef>
          </c:cat>
          <c:val>
            <c:numRef>
              <c:f>Orthèses!$N$35:$N$39</c:f>
            </c:numRef>
          </c:val>
          <c:extLst>
            <c:ext xmlns:c16="http://schemas.microsoft.com/office/drawing/2014/chart" uri="{C3380CC4-5D6E-409C-BE32-E72D297353CC}">
              <c16:uniqueId val="{00000002-5D16-4F6B-AD80-30700C926D79}"/>
            </c:ext>
          </c:extLst>
        </c:ser>
        <c:ser>
          <c:idx val="3"/>
          <c:order val="3"/>
          <c:tx>
            <c:strRef>
              <c:f>Orthèses!$O$33</c:f>
              <c:strCache>
                <c:ptCount val="1"/>
                <c:pt idx="0">
                  <c:v> Livraison </c:v>
                </c:pt>
              </c:strCache>
            </c:strRef>
          </c:tx>
          <c:spPr>
            <a:solidFill>
              <a:schemeClr val="accent4"/>
            </a:solidFill>
            <a:ln>
              <a:noFill/>
            </a:ln>
            <a:effectLst/>
          </c:spPr>
          <c:invertIfNegative val="0"/>
          <c:cat>
            <c:multiLvlStrRef>
              <c:f>Orthèses!$J$35:$J$39</c:f>
            </c:multiLvlStrRef>
          </c:cat>
          <c:val>
            <c:numRef>
              <c:f>Orthèses!$O$35:$O$39</c:f>
            </c:numRef>
          </c:val>
          <c:extLst>
            <c:ext xmlns:c16="http://schemas.microsoft.com/office/drawing/2014/chart" uri="{C3380CC4-5D6E-409C-BE32-E72D297353CC}">
              <c16:uniqueId val="{00000003-5D16-4F6B-AD80-30700C926D79}"/>
            </c:ext>
          </c:extLst>
        </c:ser>
        <c:ser>
          <c:idx val="4"/>
          <c:order val="4"/>
          <c:tx>
            <c:strRef>
              <c:f>Orthèses!$P$33</c:f>
              <c:strCache>
                <c:ptCount val="1"/>
                <c:pt idx="0">
                  <c:v> Fin de vie </c:v>
                </c:pt>
              </c:strCache>
            </c:strRef>
          </c:tx>
          <c:spPr>
            <a:solidFill>
              <a:schemeClr val="accent5"/>
            </a:solidFill>
            <a:ln>
              <a:noFill/>
            </a:ln>
            <a:effectLst/>
          </c:spPr>
          <c:invertIfNegative val="0"/>
          <c:cat>
            <c:multiLvlStrRef>
              <c:f>Orthèses!$J$35:$J$39</c:f>
            </c:multiLvlStrRef>
          </c:cat>
          <c:val>
            <c:numRef>
              <c:f>Orthèses!$P$35:$P$39</c:f>
            </c:numRef>
          </c:val>
          <c:extLst>
            <c:ext xmlns:c16="http://schemas.microsoft.com/office/drawing/2014/chart" uri="{C3380CC4-5D6E-409C-BE32-E72D297353CC}">
              <c16:uniqueId val="{00000004-5D16-4F6B-AD80-30700C926D79}"/>
            </c:ext>
          </c:extLst>
        </c:ser>
        <c:dLbls>
          <c:showLegendKey val="0"/>
          <c:showVal val="0"/>
          <c:showCatName val="0"/>
          <c:showSerName val="0"/>
          <c:showPercent val="0"/>
          <c:showBubbleSize val="0"/>
        </c:dLbls>
        <c:gapWidth val="75"/>
        <c:overlap val="100"/>
        <c:axId val="435287455"/>
        <c:axId val="435289951"/>
      </c:barChart>
      <c:catAx>
        <c:axId val="43528745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1" i="0" u="none" strike="noStrike" kern="1200" baseline="0">
                <a:solidFill>
                  <a:schemeClr val="tx2"/>
                </a:solidFill>
                <a:latin typeface="+mn-lt"/>
                <a:ea typeface="+mn-ea"/>
                <a:cs typeface="+mn-cs"/>
              </a:defRPr>
            </a:pPr>
            <a:endParaRPr lang="en-US"/>
          </a:p>
        </c:txPr>
        <c:crossAx val="435289951"/>
        <c:crosses val="autoZero"/>
        <c:auto val="1"/>
        <c:lblAlgn val="ctr"/>
        <c:lblOffset val="100"/>
        <c:noMultiLvlLbl val="0"/>
      </c:catAx>
      <c:valAx>
        <c:axId val="435289951"/>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r>
                  <a:rPr lang="en-GB" sz="1050" b="1">
                    <a:solidFill>
                      <a:schemeClr val="tx2"/>
                    </a:solidFill>
                  </a:rPr>
                  <a:t>Répartition de l'empreinte cabrone</a:t>
                </a:r>
              </a:p>
            </c:rich>
          </c:tx>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2"/>
                </a:solidFill>
                <a:latin typeface="+mn-lt"/>
                <a:ea typeface="+mn-ea"/>
                <a:cs typeface="+mn-cs"/>
              </a:defRPr>
            </a:pPr>
            <a:endParaRPr lang="en-US"/>
          </a:p>
        </c:txPr>
        <c:crossAx val="43528745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1050" b="1"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05"/>
          <c:y val="0.11342592592592593"/>
          <c:w val="0.46388888888888891"/>
          <c:h val="0.77314814814814814"/>
        </c:manualLayout>
      </c:layout>
      <c:doughnutChart>
        <c:varyColors val="1"/>
        <c:ser>
          <c:idx val="0"/>
          <c:order val="0"/>
          <c:dLbls>
            <c:spPr>
              <a:noFill/>
              <a:ln>
                <a:noFill/>
              </a:ln>
              <a:effectLst/>
            </c:spPr>
            <c:txPr>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multiLvlStrRef>
              <c:f>Orthèses!$J$34:$J$39</c:f>
            </c:multiLvlStrRef>
          </c:cat>
          <c:val>
            <c:numRef>
              <c:f>Orthèses!$K$34:$K$39</c:f>
            </c:numRef>
          </c:val>
          <c:extLst>
            <c:ext xmlns:c16="http://schemas.microsoft.com/office/drawing/2014/chart" uri="{C3380CC4-5D6E-409C-BE32-E72D297353CC}">
              <c16:uniqueId val="{00000000-9F27-4D7D-9027-2C7C8EF765B8}"/>
            </c:ext>
          </c:extLst>
        </c:ser>
        <c:dLbls>
          <c:showLegendKey val="0"/>
          <c:showVal val="0"/>
          <c:showCatName val="0"/>
          <c:showSerName val="0"/>
          <c:showPercent val="1"/>
          <c:showBubbleSize val="0"/>
          <c:showLeaderLines val="1"/>
        </c:dLbls>
        <c:firstSliceAng val="0"/>
        <c:holeSize val="50"/>
      </c:doughnutChart>
      <c:spPr>
        <a:noFill/>
        <a:ln>
          <a:noFill/>
        </a:ln>
        <a:effectLst/>
      </c:spPr>
    </c:plotArea>
    <c:legend>
      <c:legendPos val="r"/>
      <c:layout>
        <c:manualLayout>
          <c:xMode val="edge"/>
          <c:yMode val="edge"/>
          <c:x val="0.56111111111111112"/>
          <c:y val="7.5669291338582675E-2"/>
          <c:w val="0.42222222222222222"/>
          <c:h val="0.8486614173228346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200" b="1">
          <a:solidFill>
            <a:schemeClr val="tx2"/>
          </a:solidFill>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05"/>
          <c:y val="0.11342592592592593"/>
          <c:w val="0.46388888888888891"/>
          <c:h val="0.77314814814814814"/>
        </c:manualLayout>
      </c:layout>
      <c:doughnutChart>
        <c:varyColors val="1"/>
        <c:ser>
          <c:idx val="0"/>
          <c:order val="0"/>
          <c:tx>
            <c:strRef>
              <c:f>Orthèses!$P$35:$P$39</c:f>
              <c:strCache>
                <c:ptCount val="1"/>
                <c:pt idx="0">
                  <c:v> 0,23    0,06    0,47    0,27    0,59  </c:v>
                </c:pt>
              </c:strCache>
            </c:strRef>
          </c:tx>
          <c:dLbls>
            <c:spPr>
              <a:noFill/>
              <a:ln>
                <a:noFill/>
              </a:ln>
              <a:effectLst/>
            </c:spPr>
            <c:txPr>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val>
            <c:numRef>
              <c:f>Orthèses!$L$40:$P$40</c:f>
            </c:numRef>
          </c:val>
          <c:extLst>
            <c:ext xmlns:c15="http://schemas.microsoft.com/office/drawing/2012/chart" uri="{02D57815-91ED-43cb-92C2-25804820EDAC}">
              <c15:filteredCategoryTitle>
                <c15:cat>
                  <c:multiLvlStrRef>
                    <c:extLst>
                      <c:ext uri="{02D57815-91ED-43cb-92C2-25804820EDAC}">
                        <c15:formulaRef>
                          <c15:sqref>Orthèses!$L$33:$P$33</c15:sqref>
                        </c15:formulaRef>
                      </c:ext>
                    </c:extLst>
                  </c:multiLvlStrRef>
                </c15:cat>
              </c15:filteredCategoryTitle>
            </c:ext>
            <c:ext xmlns:c16="http://schemas.microsoft.com/office/drawing/2014/chart" uri="{C3380CC4-5D6E-409C-BE32-E72D297353CC}">
              <c16:uniqueId val="{0000000A-0844-40E0-A85B-D9A9C24DB013}"/>
            </c:ext>
          </c:extLst>
        </c:ser>
        <c:dLbls>
          <c:showLegendKey val="0"/>
          <c:showVal val="0"/>
          <c:showCatName val="0"/>
          <c:showSerName val="0"/>
          <c:showPercent val="1"/>
          <c:showBubbleSize val="0"/>
          <c:showLeaderLines val="1"/>
        </c:dLbls>
        <c:firstSliceAng val="0"/>
        <c:holeSize val="50"/>
      </c:doughnutChart>
      <c:spPr>
        <a:noFill/>
        <a:ln>
          <a:noFill/>
        </a:ln>
        <a:effectLst/>
      </c:spPr>
    </c:plotArea>
    <c:legend>
      <c:legendPos val="r"/>
      <c:layout>
        <c:manualLayout>
          <c:xMode val="edge"/>
          <c:yMode val="edge"/>
          <c:x val="0.56111111111111112"/>
          <c:y val="7.5669291338582675E-2"/>
          <c:w val="0.42222222222222222"/>
          <c:h val="0.8486614173228346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200" b="1">
          <a:solidFill>
            <a:schemeClr val="tx2"/>
          </a:solidFill>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2971347331583534E-2"/>
          <c:y val="7.1759259259259259E-2"/>
          <c:w val="0.45796150481189846"/>
          <c:h val="0.85624540194419796"/>
        </c:manualLayout>
      </c:layout>
      <c:doughnutChart>
        <c:varyColors val="1"/>
        <c:ser>
          <c:idx val="0"/>
          <c:order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val>
            <c:numRef>
              <c:f>Orthèses!$D$16:$J$16</c:f>
            </c:numRef>
          </c:val>
          <c:extLst>
            <c:ext xmlns:c15="http://schemas.microsoft.com/office/drawing/2012/chart" uri="{02D57815-91ED-43cb-92C2-25804820EDAC}">
              <c15:filteredCategoryTitle>
                <c15:cat>
                  <c:multiLvlStrRef>
                    <c:extLst>
                      <c:ext uri="{02D57815-91ED-43cb-92C2-25804820EDAC}">
                        <c15:formulaRef>
                          <c15:sqref>Orthèses!$D$15:$J$15</c15:sqref>
                        </c15:formulaRef>
                      </c:ext>
                    </c:extLst>
                  </c:multiLvlStrRef>
                </c15:cat>
              </c15:filteredCategoryTitle>
            </c:ext>
            <c:ext xmlns:c16="http://schemas.microsoft.com/office/drawing/2014/chart" uri="{C3380CC4-5D6E-409C-BE32-E72D297353CC}">
              <c16:uniqueId val="{00000000-53C5-4FF8-AECC-39AFC59BD7DA}"/>
            </c:ext>
          </c:extLst>
        </c:ser>
        <c:dLbls>
          <c:showLegendKey val="0"/>
          <c:showVal val="0"/>
          <c:showCatName val="0"/>
          <c:showSerName val="0"/>
          <c:showPercent val="1"/>
          <c:showBubbleSize val="0"/>
          <c:showLeaderLines val="1"/>
        </c:dLbls>
        <c:firstSliceAng val="0"/>
        <c:holeSize val="50"/>
      </c:doughnutChart>
      <c:spPr>
        <a:noFill/>
        <a:ln>
          <a:noFill/>
        </a:ln>
        <a:effectLst/>
      </c:spPr>
    </c:plotArea>
    <c:legend>
      <c:legendPos val="r"/>
      <c:layout>
        <c:manualLayout>
          <c:xMode val="edge"/>
          <c:yMode val="edge"/>
          <c:x val="0.56094269466316715"/>
          <c:y val="0.13217332487638669"/>
          <c:w val="0.42516841644794401"/>
          <c:h val="0.76681482681048396"/>
        </c:manualLayout>
      </c:layout>
      <c:overlay val="0"/>
      <c:spPr>
        <a:noFill/>
        <a:ln>
          <a:noFill/>
        </a:ln>
        <a:effectLst/>
      </c:spPr>
      <c:txPr>
        <a:bodyPr rot="0" spcFirstLastPara="1" vertOverflow="ellipsis" vert="horz" wrap="square" anchor="ctr" anchorCtr="1"/>
        <a:lstStyle/>
        <a:p>
          <a:pPr>
            <a:defRPr sz="1050" b="1"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'Aides techniques'!$D$11</c:f>
              <c:strCache>
                <c:ptCount val="1"/>
                <c:pt idx="0">
                  <c:v> Matières premières </c:v>
                </c:pt>
              </c:strCache>
            </c:strRef>
          </c:tx>
          <c:spPr>
            <a:solidFill>
              <a:schemeClr val="accent1"/>
            </a:solidFill>
            <a:ln>
              <a:noFill/>
            </a:ln>
            <a:effectLst/>
          </c:spPr>
          <c:invertIfNegative val="0"/>
          <c:cat>
            <c:multiLvlStrRef>
              <c:f>'Aides techniques'!$B$12:$B$18</c:f>
            </c:multiLvlStrRef>
          </c:cat>
          <c:val>
            <c:numRef>
              <c:f>'Aides techniques'!$D$12:$D$18</c:f>
            </c:numRef>
          </c:val>
          <c:extLst>
            <c:ext xmlns:c16="http://schemas.microsoft.com/office/drawing/2014/chart" uri="{C3380CC4-5D6E-409C-BE32-E72D297353CC}">
              <c16:uniqueId val="{00000000-CD3C-4A8D-AC4A-E9370895CCC1}"/>
            </c:ext>
          </c:extLst>
        </c:ser>
        <c:ser>
          <c:idx val="1"/>
          <c:order val="1"/>
          <c:tx>
            <c:strRef>
              <c:f>'Aides techniques'!$E$11</c:f>
              <c:strCache>
                <c:ptCount val="1"/>
                <c:pt idx="0">
                  <c:v> Consommation d'énergie - production </c:v>
                </c:pt>
              </c:strCache>
            </c:strRef>
          </c:tx>
          <c:spPr>
            <a:solidFill>
              <a:schemeClr val="accent2"/>
            </a:solidFill>
            <a:ln>
              <a:noFill/>
            </a:ln>
            <a:effectLst/>
          </c:spPr>
          <c:invertIfNegative val="0"/>
          <c:cat>
            <c:multiLvlStrRef>
              <c:f>'Aides techniques'!$B$12:$B$18</c:f>
            </c:multiLvlStrRef>
          </c:cat>
          <c:val>
            <c:numRef>
              <c:f>'Aides techniques'!$E$12:$E$18</c:f>
            </c:numRef>
          </c:val>
          <c:extLst>
            <c:ext xmlns:c16="http://schemas.microsoft.com/office/drawing/2014/chart" uri="{C3380CC4-5D6E-409C-BE32-E72D297353CC}">
              <c16:uniqueId val="{00000001-CD3C-4A8D-AC4A-E9370895CCC1}"/>
            </c:ext>
          </c:extLst>
        </c:ser>
        <c:ser>
          <c:idx val="2"/>
          <c:order val="2"/>
          <c:tx>
            <c:strRef>
              <c:f>'Aides techniques'!$F$11</c:f>
              <c:strCache>
                <c:ptCount val="1"/>
                <c:pt idx="0">
                  <c:v> Emballages </c:v>
                </c:pt>
              </c:strCache>
            </c:strRef>
          </c:tx>
          <c:spPr>
            <a:solidFill>
              <a:schemeClr val="accent3"/>
            </a:solidFill>
            <a:ln>
              <a:noFill/>
            </a:ln>
            <a:effectLst/>
          </c:spPr>
          <c:invertIfNegative val="0"/>
          <c:cat>
            <c:multiLvlStrRef>
              <c:f>'Aides techniques'!$B$12:$B$18</c:f>
            </c:multiLvlStrRef>
          </c:cat>
          <c:val>
            <c:numRef>
              <c:f>'Aides techniques'!$F$12:$F$18</c:f>
            </c:numRef>
          </c:val>
          <c:extLst>
            <c:ext xmlns:c16="http://schemas.microsoft.com/office/drawing/2014/chart" uri="{C3380CC4-5D6E-409C-BE32-E72D297353CC}">
              <c16:uniqueId val="{00000002-CD3C-4A8D-AC4A-E9370895CCC1}"/>
            </c:ext>
          </c:extLst>
        </c:ser>
        <c:ser>
          <c:idx val="3"/>
          <c:order val="3"/>
          <c:tx>
            <c:strRef>
              <c:f>'Aides techniques'!$G$11</c:f>
              <c:strCache>
                <c:ptCount val="1"/>
                <c:pt idx="0">
                  <c:v> Utilisation </c:v>
                </c:pt>
              </c:strCache>
            </c:strRef>
          </c:tx>
          <c:spPr>
            <a:solidFill>
              <a:schemeClr val="accent4"/>
            </a:solidFill>
            <a:ln>
              <a:noFill/>
            </a:ln>
            <a:effectLst/>
          </c:spPr>
          <c:invertIfNegative val="0"/>
          <c:cat>
            <c:multiLvlStrRef>
              <c:f>'Aides techniques'!$B$12:$B$18</c:f>
            </c:multiLvlStrRef>
          </c:cat>
          <c:val>
            <c:numRef>
              <c:f>'Aides techniques'!$G$12:$G$18</c:f>
            </c:numRef>
          </c:val>
          <c:extLst>
            <c:ext xmlns:c16="http://schemas.microsoft.com/office/drawing/2014/chart" uri="{C3380CC4-5D6E-409C-BE32-E72D297353CC}">
              <c16:uniqueId val="{00000003-CD3C-4A8D-AC4A-E9370895CCC1}"/>
            </c:ext>
          </c:extLst>
        </c:ser>
        <c:ser>
          <c:idx val="4"/>
          <c:order val="4"/>
          <c:tx>
            <c:strRef>
              <c:f>'Aides techniques'!$H$11</c:f>
              <c:strCache>
                <c:ptCount val="1"/>
                <c:pt idx="0">
                  <c:v> Transport (hors livraison) </c:v>
                </c:pt>
              </c:strCache>
            </c:strRef>
          </c:tx>
          <c:spPr>
            <a:solidFill>
              <a:schemeClr val="accent5"/>
            </a:solidFill>
            <a:ln>
              <a:noFill/>
            </a:ln>
            <a:effectLst/>
          </c:spPr>
          <c:invertIfNegative val="0"/>
          <c:cat>
            <c:multiLvlStrRef>
              <c:f>'Aides techniques'!$B$12:$B$18</c:f>
            </c:multiLvlStrRef>
          </c:cat>
          <c:val>
            <c:numRef>
              <c:f>'Aides techniques'!$H$12:$H$18</c:f>
            </c:numRef>
          </c:val>
          <c:extLst>
            <c:ext xmlns:c16="http://schemas.microsoft.com/office/drawing/2014/chart" uri="{C3380CC4-5D6E-409C-BE32-E72D297353CC}">
              <c16:uniqueId val="{00000004-CD3C-4A8D-AC4A-E9370895CCC1}"/>
            </c:ext>
          </c:extLst>
        </c:ser>
        <c:ser>
          <c:idx val="5"/>
          <c:order val="5"/>
          <c:tx>
            <c:strRef>
              <c:f>'Aides techniques'!$I$11</c:f>
              <c:strCache>
                <c:ptCount val="1"/>
                <c:pt idx="0">
                  <c:v> Livraison </c:v>
                </c:pt>
              </c:strCache>
            </c:strRef>
          </c:tx>
          <c:spPr>
            <a:solidFill>
              <a:schemeClr val="accent6"/>
            </a:solidFill>
            <a:ln>
              <a:noFill/>
            </a:ln>
            <a:effectLst/>
          </c:spPr>
          <c:invertIfNegative val="0"/>
          <c:cat>
            <c:multiLvlStrRef>
              <c:f>'Aides techniques'!$B$12:$B$18</c:f>
            </c:multiLvlStrRef>
          </c:cat>
          <c:val>
            <c:numRef>
              <c:f>'Aides techniques'!$I$12:$I$18</c:f>
            </c:numRef>
          </c:val>
          <c:extLst>
            <c:ext xmlns:c16="http://schemas.microsoft.com/office/drawing/2014/chart" uri="{C3380CC4-5D6E-409C-BE32-E72D297353CC}">
              <c16:uniqueId val="{00000006-CD3C-4A8D-AC4A-E9370895CCC1}"/>
            </c:ext>
          </c:extLst>
        </c:ser>
        <c:ser>
          <c:idx val="6"/>
          <c:order val="6"/>
          <c:tx>
            <c:strRef>
              <c:f>'Aides techniques'!$J$11</c:f>
              <c:strCache>
                <c:ptCount val="1"/>
                <c:pt idx="0">
                  <c:v> Maintenance </c:v>
                </c:pt>
              </c:strCache>
            </c:strRef>
          </c:tx>
          <c:spPr>
            <a:solidFill>
              <a:schemeClr val="accent1">
                <a:lumMod val="60000"/>
              </a:schemeClr>
            </a:solidFill>
            <a:ln>
              <a:noFill/>
            </a:ln>
            <a:effectLst/>
          </c:spPr>
          <c:invertIfNegative val="0"/>
          <c:cat>
            <c:multiLvlStrRef>
              <c:f>'Aides techniques'!$B$12:$B$18</c:f>
            </c:multiLvlStrRef>
          </c:cat>
          <c:val>
            <c:numRef>
              <c:f>'Aides techniques'!$J$12:$J$18</c:f>
            </c:numRef>
          </c:val>
          <c:extLst>
            <c:ext xmlns:c16="http://schemas.microsoft.com/office/drawing/2014/chart" uri="{C3380CC4-5D6E-409C-BE32-E72D297353CC}">
              <c16:uniqueId val="{00000007-CD3C-4A8D-AC4A-E9370895CCC1}"/>
            </c:ext>
          </c:extLst>
        </c:ser>
        <c:ser>
          <c:idx val="7"/>
          <c:order val="7"/>
          <c:tx>
            <c:strRef>
              <c:f>'Aides techniques'!$K$11</c:f>
              <c:strCache>
                <c:ptCount val="1"/>
                <c:pt idx="0">
                  <c:v> Fin de vie </c:v>
                </c:pt>
              </c:strCache>
            </c:strRef>
          </c:tx>
          <c:spPr>
            <a:solidFill>
              <a:schemeClr val="accent2">
                <a:lumMod val="60000"/>
              </a:schemeClr>
            </a:solidFill>
            <a:ln>
              <a:noFill/>
            </a:ln>
            <a:effectLst/>
          </c:spPr>
          <c:invertIfNegative val="0"/>
          <c:cat>
            <c:multiLvlStrRef>
              <c:f>'Aides techniques'!$B$12:$B$18</c:f>
            </c:multiLvlStrRef>
          </c:cat>
          <c:val>
            <c:numRef>
              <c:f>'Aides techniques'!$K$12:$K$18</c:f>
            </c:numRef>
          </c:val>
          <c:extLst>
            <c:ext xmlns:c16="http://schemas.microsoft.com/office/drawing/2014/chart" uri="{C3380CC4-5D6E-409C-BE32-E72D297353CC}">
              <c16:uniqueId val="{00000001-1B7A-4A24-924A-163C0151ADBB}"/>
            </c:ext>
          </c:extLst>
        </c:ser>
        <c:dLbls>
          <c:showLegendKey val="0"/>
          <c:showVal val="0"/>
          <c:showCatName val="0"/>
          <c:showSerName val="0"/>
          <c:showPercent val="0"/>
          <c:showBubbleSize val="0"/>
        </c:dLbls>
        <c:gapWidth val="75"/>
        <c:overlap val="100"/>
        <c:axId val="1540204672"/>
        <c:axId val="1540205088"/>
      </c:barChart>
      <c:catAx>
        <c:axId val="1540204672"/>
        <c:scaling>
          <c:orientation val="minMax"/>
        </c:scaling>
        <c:delete val="0"/>
        <c:axPos val="b"/>
        <c:title>
          <c:tx>
            <c:rich>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r>
                  <a:rPr lang="en-GB" sz="1200" b="1">
                    <a:solidFill>
                      <a:schemeClr val="tx2"/>
                    </a:solidFill>
                  </a:rPr>
                  <a:t>Emisisions</a:t>
                </a:r>
                <a:r>
                  <a:rPr lang="en-GB" sz="1200" b="1" baseline="0">
                    <a:solidFill>
                      <a:schemeClr val="tx2"/>
                    </a:solidFill>
                  </a:rPr>
                  <a:t> de GES des aides techniques</a:t>
                </a:r>
                <a:endParaRPr lang="en-GB" sz="1200" b="1">
                  <a:solidFill>
                    <a:schemeClr val="tx2"/>
                  </a:solidFill>
                </a:endParaRPr>
              </a:p>
            </c:rich>
          </c:tx>
          <c:layout>
            <c:manualLayout>
              <c:xMode val="edge"/>
              <c:yMode val="edge"/>
              <c:x val="0.21558148413266526"/>
              <c:y val="0.92870588337473869"/>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2"/>
                </a:solidFill>
                <a:latin typeface="+mn-lt"/>
                <a:ea typeface="+mn-ea"/>
                <a:cs typeface="+mn-cs"/>
              </a:defRPr>
            </a:pPr>
            <a:endParaRPr lang="en-US"/>
          </a:p>
        </c:txPr>
        <c:crossAx val="1540205088"/>
        <c:crosses val="autoZero"/>
        <c:auto val="1"/>
        <c:lblAlgn val="ctr"/>
        <c:lblOffset val="100"/>
        <c:noMultiLvlLbl val="0"/>
      </c:catAx>
      <c:valAx>
        <c:axId val="1540205088"/>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5400000" spcFirstLastPara="1" vertOverflow="ellipsis" vert="horz" wrap="square" anchor="ctr" anchorCtr="1"/>
              <a:lstStyle/>
              <a:p>
                <a:pPr>
                  <a:defRPr sz="1000" b="1" i="0" u="none" strike="noStrike" kern="1200" baseline="0">
                    <a:solidFill>
                      <a:schemeClr val="tx2"/>
                    </a:solidFill>
                    <a:latin typeface="+mn-lt"/>
                    <a:ea typeface="+mn-ea"/>
                    <a:cs typeface="+mn-cs"/>
                  </a:defRPr>
                </a:pPr>
                <a:r>
                  <a:rPr lang="en-GB" b="1">
                    <a:solidFill>
                      <a:schemeClr val="tx2"/>
                    </a:solidFill>
                  </a:rPr>
                  <a:t>Emissions par verre (en kgCO2e)</a:t>
                </a:r>
              </a:p>
            </c:rich>
          </c:tx>
          <c:overlay val="0"/>
          <c:spPr>
            <a:noFill/>
            <a:ln>
              <a:noFill/>
            </a:ln>
            <a:effectLst/>
          </c:spPr>
          <c:txPr>
            <a:bodyPr rot="-5400000" spcFirstLastPara="1" vertOverflow="ellipsis" vert="horz" wrap="square" anchor="ctr" anchorCtr="1"/>
            <a:lstStyle/>
            <a:p>
              <a:pPr>
                <a:defRPr sz="1000" b="1" i="0" u="none" strike="noStrike" kern="1200" baseline="0">
                  <a:solidFill>
                    <a:schemeClr val="tx2"/>
                  </a:solidFill>
                  <a:latin typeface="+mn-lt"/>
                  <a:ea typeface="+mn-ea"/>
                  <a:cs typeface="+mn-cs"/>
                </a:defRPr>
              </a:pPr>
              <a:endParaRPr lang="en-US"/>
            </a:p>
          </c:txPr>
        </c:title>
        <c:numFmt formatCode="_ * #\ ##0.0_)_ ;_ * \(#\ ##0.0\)_ ;_ * &quot;-&quot;??_)_ ;_ @_ " sourceLinked="1"/>
        <c:majorTickMark val="out"/>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2"/>
                </a:solidFill>
                <a:latin typeface="+mn-lt"/>
                <a:ea typeface="+mn-ea"/>
                <a:cs typeface="+mn-cs"/>
              </a:defRPr>
            </a:pPr>
            <a:endParaRPr lang="en-US"/>
          </a:p>
        </c:txPr>
        <c:crossAx val="1540204672"/>
        <c:crosses val="autoZero"/>
        <c:crossBetween val="between"/>
      </c:valAx>
      <c:spPr>
        <a:noFill/>
        <a:ln>
          <a:noFill/>
        </a:ln>
        <a:effectLst/>
      </c:spPr>
    </c:plotArea>
    <c:legend>
      <c:legendPos val="r"/>
      <c:layout>
        <c:manualLayout>
          <c:xMode val="edge"/>
          <c:yMode val="edge"/>
          <c:x val="0.67806659207306352"/>
          <c:y val="3.7052247557262233E-2"/>
          <c:w val="0.31732707194464033"/>
          <c:h val="0.45104595630513761"/>
        </c:manualLayout>
      </c:layout>
      <c:overlay val="0"/>
      <c:spPr>
        <a:noFill/>
        <a:ln>
          <a:noFill/>
        </a:ln>
        <a:effectLst/>
      </c:spPr>
      <c:txPr>
        <a:bodyPr rot="0" spcFirstLastPara="1" vertOverflow="ellipsis" vert="horz" wrap="square" anchor="ctr" anchorCtr="1"/>
        <a:lstStyle/>
        <a:p>
          <a:pPr>
            <a:defRPr sz="1000" b="1"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1" i="0" u="none" strike="noStrike" kern="1200" spc="0" baseline="0">
              <a:solidFill>
                <a:schemeClr val="tx2"/>
              </a:solidFill>
              <a:latin typeface="+mn-lt"/>
              <a:ea typeface="+mn-ea"/>
              <a:cs typeface="+mn-cs"/>
            </a:defRPr>
          </a:pPr>
          <a:endParaRPr lang="en-US"/>
        </a:p>
      </c:txPr>
    </c:title>
    <c:autoTitleDeleted val="0"/>
    <c:plotArea>
      <c:layout>
        <c:manualLayout>
          <c:layoutTarget val="inner"/>
          <c:xMode val="edge"/>
          <c:yMode val="edge"/>
          <c:x val="4.0270559930008748E-2"/>
          <c:y val="0.21773694954797318"/>
          <c:w val="0.40288232720909889"/>
          <c:h val="0.67147054534849815"/>
        </c:manualLayout>
      </c:layout>
      <c:doughnutChart>
        <c:varyColors val="1"/>
        <c:ser>
          <c:idx val="0"/>
          <c:order val="0"/>
          <c:tx>
            <c:strRef>
              <c:f>'Aides techniques'!$G$81</c:f>
              <c:strCache>
                <c:ptCount val="1"/>
                <c:pt idx="0">
                  <c:v>Taille du parc - nombre de lits</c:v>
                </c:pt>
              </c:strCache>
            </c:strRef>
          </c:tx>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multiLvlStrRef>
              <c:f>'Aides techniques'!$F$82:$F$85</c:f>
            </c:multiLvlStrRef>
          </c:cat>
          <c:val>
            <c:numRef>
              <c:f>'Aides techniques'!$G$82:$G$85</c:f>
            </c:numRef>
          </c:val>
          <c:extLst>
            <c:ext xmlns:c16="http://schemas.microsoft.com/office/drawing/2014/chart" uri="{C3380CC4-5D6E-409C-BE32-E72D297353CC}">
              <c16:uniqueId val="{00000000-6E9D-4306-A4BC-4A33D2AEF570}"/>
            </c:ext>
          </c:extLst>
        </c:ser>
        <c:dLbls>
          <c:showLegendKey val="0"/>
          <c:showVal val="0"/>
          <c:showCatName val="0"/>
          <c:showSerName val="0"/>
          <c:showPercent val="1"/>
          <c:showBubbleSize val="0"/>
          <c:showLeaderLines val="1"/>
        </c:dLbls>
        <c:firstSliceAng val="0"/>
        <c:holeSize val="50"/>
      </c:doughnutChart>
      <c:spPr>
        <a:noFill/>
        <a:ln>
          <a:noFill/>
        </a:ln>
        <a:effectLst/>
      </c:spPr>
    </c:plotArea>
    <c:legend>
      <c:legendPos val="r"/>
      <c:layout>
        <c:manualLayout>
          <c:xMode val="edge"/>
          <c:yMode val="edge"/>
          <c:x val="0.48342366579177604"/>
          <c:y val="0.19523439778361037"/>
          <c:w val="0.4999096675415573"/>
          <c:h val="0.72573490813648289"/>
        </c:manualLayout>
      </c:layout>
      <c:overlay val="0"/>
      <c:spPr>
        <a:noFill/>
        <a:ln>
          <a:noFill/>
        </a:ln>
        <a:effectLst/>
      </c:spPr>
      <c:txPr>
        <a:bodyPr rot="0" spcFirstLastPara="1" vertOverflow="ellipsis" vert="horz" wrap="square" anchor="ctr" anchorCtr="1"/>
        <a:lstStyle/>
        <a:p>
          <a:pPr>
            <a:defRPr sz="1100" b="1"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1">
                <a:solidFill>
                  <a:schemeClr val="tx2"/>
                </a:solidFill>
              </a:rPr>
              <a:t> Répartition des émissions des aides techniques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8671409581066753E-2"/>
          <c:y val="0.19231370003274487"/>
          <c:w val="0.39447315564747609"/>
          <c:h val="0.67497612204875335"/>
        </c:manualLayout>
      </c:layout>
      <c:doughnutChart>
        <c:varyColors val="1"/>
        <c:ser>
          <c:idx val="0"/>
          <c:order val="0"/>
          <c:tx>
            <c:strRef>
              <c:f>'Aides techniques'!$C$11</c:f>
              <c:strCache>
                <c:ptCount val="1"/>
                <c:pt idx="0">
                  <c:v> Total </c:v>
                </c:pt>
              </c:strCache>
            </c:strRef>
          </c:tx>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accent1"/>
                    </a:solidFill>
                    <a:latin typeface="+mn-lt"/>
                    <a:ea typeface="+mn-ea"/>
                    <a:cs typeface="+mn-cs"/>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multiLvlStrRef>
              <c:f>'Aides techniques'!$B$12:$B$18</c:f>
            </c:multiLvlStrRef>
          </c:cat>
          <c:val>
            <c:numRef>
              <c:f>'Aides techniques'!$C$12:$C$18</c:f>
            </c:numRef>
          </c:val>
          <c:extLst>
            <c:ext xmlns:c16="http://schemas.microsoft.com/office/drawing/2014/chart" uri="{C3380CC4-5D6E-409C-BE32-E72D297353CC}">
              <c16:uniqueId val="{00000000-9FFA-43DE-BD4D-4AC3DC9F109B}"/>
            </c:ext>
          </c:extLst>
        </c:ser>
        <c:dLbls>
          <c:showLegendKey val="0"/>
          <c:showVal val="0"/>
          <c:showCatName val="0"/>
          <c:showSerName val="0"/>
          <c:showPercent val="1"/>
          <c:showBubbleSize val="0"/>
          <c:showLeaderLines val="1"/>
        </c:dLbls>
        <c:firstSliceAng val="0"/>
        <c:holeSize val="50"/>
      </c:doughnutChart>
      <c:spPr>
        <a:noFill/>
        <a:ln>
          <a:noFill/>
        </a:ln>
        <a:effectLst/>
      </c:spPr>
    </c:plotArea>
    <c:legend>
      <c:legendPos val="r"/>
      <c:layout>
        <c:manualLayout>
          <c:xMode val="edge"/>
          <c:yMode val="edge"/>
          <c:x val="0.47009621869556834"/>
          <c:y val="0.20358774726129034"/>
          <c:w val="0.51394939223660674"/>
          <c:h val="0.70702667380318263"/>
        </c:manualLayout>
      </c:layout>
      <c:overlay val="0"/>
      <c:spPr>
        <a:noFill/>
        <a:ln>
          <a:noFill/>
        </a:ln>
        <a:effectLst/>
      </c:spPr>
      <c:txPr>
        <a:bodyPr rot="0" spcFirstLastPara="1" vertOverflow="ellipsis" vert="horz" wrap="square" anchor="ctr" anchorCtr="1"/>
        <a:lstStyle/>
        <a:p>
          <a:pPr>
            <a:defRPr sz="1100" b="1"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1">
                <a:solidFill>
                  <a:schemeClr val="tx2"/>
                </a:solidFill>
              </a:rPr>
              <a:t> Répartition des émissions des aides techniques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6597302459575861E-2"/>
          <c:y val="0.20565577034817292"/>
          <c:w val="0.34603347287702968"/>
          <c:h val="0.69274536302563805"/>
        </c:manualLayout>
      </c:layout>
      <c:doughnutChart>
        <c:varyColors val="1"/>
        <c:ser>
          <c:idx val="0"/>
          <c:order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val>
            <c:numRef>
              <c:f>'Aides techniques'!$D$19:$K$19</c:f>
            </c:numRef>
          </c:val>
          <c:extLst>
            <c:ext xmlns:c15="http://schemas.microsoft.com/office/drawing/2012/chart" uri="{02D57815-91ED-43cb-92C2-25804820EDAC}">
              <c15:filteredCategoryTitle>
                <c15:cat>
                  <c:multiLvlStrRef>
                    <c:extLst>
                      <c:ext uri="{02D57815-91ED-43cb-92C2-25804820EDAC}">
                        <c15:formulaRef>
                          <c15:sqref>'Aides techniques'!$D$11:$K$11</c15:sqref>
                        </c15:formulaRef>
                      </c:ext>
                    </c:extLst>
                  </c:multiLvlStrRef>
                </c15:cat>
              </c15:filteredCategoryTitle>
            </c:ext>
            <c:ext xmlns:c16="http://schemas.microsoft.com/office/drawing/2014/chart" uri="{C3380CC4-5D6E-409C-BE32-E72D297353CC}">
              <c16:uniqueId val="{0000000E-8B54-4636-9357-FC8B00B37981}"/>
            </c:ext>
          </c:extLst>
        </c:ser>
        <c:dLbls>
          <c:showLegendKey val="0"/>
          <c:showVal val="0"/>
          <c:showCatName val="0"/>
          <c:showSerName val="0"/>
          <c:showPercent val="1"/>
          <c:showBubbleSize val="0"/>
          <c:showLeaderLines val="1"/>
        </c:dLbls>
        <c:firstSliceAng val="0"/>
        <c:holeSize val="50"/>
      </c:doughnutChart>
      <c:spPr>
        <a:noFill/>
        <a:ln>
          <a:noFill/>
        </a:ln>
        <a:effectLst/>
      </c:spPr>
    </c:plotArea>
    <c:legend>
      <c:legendPos val="r"/>
      <c:layout>
        <c:manualLayout>
          <c:xMode val="edge"/>
          <c:yMode val="edge"/>
          <c:x val="0.418040824765533"/>
          <c:y val="0.16748829739310969"/>
          <c:w val="0.35005248786615545"/>
          <c:h val="0.8141906757806634"/>
        </c:manualLayout>
      </c:layout>
      <c:overlay val="0"/>
      <c:spPr>
        <a:noFill/>
        <a:ln>
          <a:noFill/>
        </a:ln>
        <a:effectLst/>
      </c:spPr>
      <c:txPr>
        <a:bodyPr rot="0" spcFirstLastPara="1" vertOverflow="ellipsis" vert="horz" wrap="square" anchor="ctr" anchorCtr="1"/>
        <a:lstStyle/>
        <a:p>
          <a:pPr rtl="0">
            <a:defRPr sz="1100" b="1"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1">
                <a:solidFill>
                  <a:schemeClr val="tx2"/>
                </a:solidFill>
              </a:rPr>
              <a:t> Répartition des émissions des aides techniques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5.4081791591828007E-2"/>
          <c:y val="0.19231372265627777"/>
          <c:w val="0.39447315564747609"/>
          <c:h val="0.67497612204875335"/>
        </c:manualLayout>
      </c:layout>
      <c:doughnutChart>
        <c:varyColors val="1"/>
        <c:ser>
          <c:idx val="0"/>
          <c:order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accent1"/>
                    </a:solidFill>
                    <a:latin typeface="+mn-lt"/>
                    <a:ea typeface="+mn-ea"/>
                    <a:cs typeface="+mn-cs"/>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val>
            <c:numRef>
              <c:f>'Aides techniques'!$O$12:$S$12</c:f>
            </c:numRef>
          </c:val>
          <c:extLst>
            <c:ext xmlns:c15="http://schemas.microsoft.com/office/drawing/2012/chart" uri="{02D57815-91ED-43cb-92C2-25804820EDAC}">
              <c15:filteredCategoryTitle>
                <c15:cat>
                  <c:multiLvlStrRef>
                    <c:extLst>
                      <c:ext uri="{02D57815-91ED-43cb-92C2-25804820EDAC}">
                        <c15:formulaRef>
                          <c15:sqref>'Aides techniques'!$O$11:$S$11</c15:sqref>
                        </c15:formulaRef>
                      </c:ext>
                    </c:extLst>
                  </c:multiLvlStrRef>
                </c15:cat>
              </c15:filteredCategoryTitle>
            </c:ext>
            <c:ext xmlns:c16="http://schemas.microsoft.com/office/drawing/2014/chart" uri="{C3380CC4-5D6E-409C-BE32-E72D297353CC}">
              <c16:uniqueId val="{00000010-3458-4D65-BF76-FB84CF6C35AE}"/>
            </c:ext>
          </c:extLst>
        </c:ser>
        <c:dLbls>
          <c:showLegendKey val="0"/>
          <c:showVal val="0"/>
          <c:showCatName val="0"/>
          <c:showSerName val="0"/>
          <c:showPercent val="1"/>
          <c:showBubbleSize val="0"/>
          <c:showLeaderLines val="1"/>
        </c:dLbls>
        <c:firstSliceAng val="0"/>
        <c:holeSize val="50"/>
      </c:doughnutChart>
      <c:spPr>
        <a:noFill/>
        <a:ln>
          <a:noFill/>
        </a:ln>
        <a:effectLst/>
      </c:spPr>
    </c:plotArea>
    <c:legend>
      <c:legendPos val="r"/>
      <c:layout>
        <c:manualLayout>
          <c:xMode val="edge"/>
          <c:yMode val="edge"/>
          <c:x val="0.43905825162994039"/>
          <c:y val="0.12983876535387551"/>
          <c:w val="0.49739574508020012"/>
          <c:h val="0.78002365385620442"/>
        </c:manualLayout>
      </c:layout>
      <c:overlay val="0"/>
      <c:spPr>
        <a:noFill/>
        <a:ln>
          <a:noFill/>
        </a:ln>
        <a:effectLst/>
      </c:spPr>
      <c:txPr>
        <a:bodyPr rot="0" spcFirstLastPara="1" vertOverflow="ellipsis" vert="horz" wrap="square" anchor="ctr" anchorCtr="1"/>
        <a:lstStyle/>
        <a:p>
          <a:pPr rtl="0">
            <a:defRPr sz="1100" b="1"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260" b="1" i="0" u="none" strike="noStrike" kern="1200" spc="0" baseline="0">
              <a:solidFill>
                <a:schemeClr val="tx2"/>
              </a:solidFill>
              <a:latin typeface="+mn-lt"/>
              <a:ea typeface="+mn-ea"/>
              <a:cs typeface="+mn-cs"/>
            </a:defRPr>
          </a:pPr>
          <a:endParaRPr lang="en-US"/>
        </a:p>
      </c:txPr>
    </c:title>
    <c:autoTitleDeleted val="0"/>
    <c:plotArea>
      <c:layout/>
      <c:doughnutChart>
        <c:varyColors val="1"/>
        <c:ser>
          <c:idx val="0"/>
          <c:order val="0"/>
          <c:tx>
            <c:strRef>
              <c:f>'Résultats généraux'!$C$210</c:f>
              <c:strCache>
                <c:ptCount val="1"/>
                <c:pt idx="0">
                  <c:v>Part des masses importées</c:v>
                </c:pt>
              </c:strCache>
            </c:strRef>
          </c:tx>
          <c:dLbls>
            <c:spPr>
              <a:noFill/>
              <a:ln>
                <a:noFill/>
              </a:ln>
              <a:effectLst/>
            </c:spPr>
            <c:txPr>
              <a:bodyPr rot="0" spcFirstLastPara="1" vertOverflow="ellipsis" vert="horz" wrap="square" anchor="ctr" anchorCtr="1"/>
              <a:lstStyle/>
              <a:p>
                <a:pPr>
                  <a:defRPr sz="1050" b="1"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multiLvlStrRef>
              <c:f>'Résultats généraux'!$B$211:$B$225</c:f>
            </c:multiLvlStrRef>
          </c:cat>
          <c:val>
            <c:numRef>
              <c:f>'Résultats généraux'!$C$211:$C$225</c:f>
            </c:numRef>
          </c:val>
          <c:extLst>
            <c:ext xmlns:c16="http://schemas.microsoft.com/office/drawing/2014/chart" uri="{C3380CC4-5D6E-409C-BE32-E72D297353CC}">
              <c16:uniqueId val="{00000000-6753-4F34-BBA9-D1EF3183E3A6}"/>
            </c:ext>
          </c:extLst>
        </c:ser>
        <c:dLbls>
          <c:showLegendKey val="0"/>
          <c:showVal val="0"/>
          <c:showCatName val="0"/>
          <c:showSerName val="0"/>
          <c:showPercent val="1"/>
          <c:showBubbleSize val="0"/>
          <c:showLeaderLines val="1"/>
        </c:dLbls>
        <c:firstSliceAng val="0"/>
        <c:holeSize val="50"/>
      </c:doughnutChart>
      <c:spPr>
        <a:noFill/>
        <a:ln>
          <a:noFill/>
        </a:ln>
        <a:effectLst/>
      </c:spPr>
    </c:plotArea>
    <c:legend>
      <c:legendPos val="r"/>
      <c:layout>
        <c:manualLayout>
          <c:xMode val="edge"/>
          <c:yMode val="edge"/>
          <c:x val="0.59478002951477671"/>
          <c:y val="0.15497499111984589"/>
          <c:w val="0.35231416053164089"/>
          <c:h val="0.817539040349054"/>
        </c:manualLayout>
      </c:layout>
      <c:overlay val="0"/>
      <c:spPr>
        <a:noFill/>
        <a:ln>
          <a:noFill/>
        </a:ln>
        <a:effectLst/>
      </c:spPr>
      <c:txPr>
        <a:bodyPr rot="0" spcFirstLastPara="1" vertOverflow="ellipsis" vert="horz" wrap="square" anchor="ctr" anchorCtr="1"/>
        <a:lstStyle/>
        <a:p>
          <a:pPr>
            <a:defRPr sz="1050" b="1"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50" b="1">
          <a:solidFill>
            <a:schemeClr val="tx2"/>
          </a:solidFill>
        </a:defRPr>
      </a:pPr>
      <a:endParaRPr lang="en-US"/>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accent1"/>
                </a:solidFill>
                <a:latin typeface="+mn-lt"/>
                <a:ea typeface="+mn-ea"/>
                <a:cs typeface="+mn-cs"/>
              </a:defRPr>
            </a:pPr>
            <a:r>
              <a:rPr lang="en-US" b="1">
                <a:solidFill>
                  <a:schemeClr val="accent1"/>
                </a:solidFill>
              </a:rPr>
              <a:t> Répartition des consommations électriques annuelles (MWh) </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6.8893577062622238E-2"/>
          <c:y val="0.25159173995383205"/>
          <c:w val="0.34272805382936034"/>
          <c:h val="0.6930638931015628"/>
        </c:manualLayout>
      </c:layout>
      <c:doughnutChart>
        <c:varyColors val="1"/>
        <c:ser>
          <c:idx val="0"/>
          <c:order val="0"/>
          <c:tx>
            <c:strRef>
              <c:f>'Equipements d''imagerie'!$I$277</c:f>
              <c:strCache>
                <c:ptCount val="1"/>
                <c:pt idx="0">
                  <c:v> Consommation électrique annuelle (MWh) </c:v>
                </c:pt>
              </c:strCache>
            </c:strRef>
          </c:tx>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'Equipements d''imagerie'!$H$278:$H$284</c:f>
            </c:strRef>
          </c:cat>
          <c:val>
            <c:numRef>
              <c:f>'Equipements d''imagerie'!$I$278:$I$284</c:f>
            </c:numRef>
          </c:val>
          <c:extLst>
            <c:ext xmlns:c16="http://schemas.microsoft.com/office/drawing/2014/chart" uri="{C3380CC4-5D6E-409C-BE32-E72D297353CC}">
              <c16:uniqueId val="{00000000-E4DF-4824-B54B-C29FB93DFD41}"/>
            </c:ext>
          </c:extLst>
        </c:ser>
        <c:dLbls>
          <c:showLegendKey val="0"/>
          <c:showVal val="0"/>
          <c:showCatName val="0"/>
          <c:showSerName val="0"/>
          <c:showPercent val="1"/>
          <c:showBubbleSize val="0"/>
          <c:showLeaderLines val="1"/>
        </c:dLbls>
        <c:firstSliceAng val="0"/>
        <c:holeSize val="50"/>
      </c:doughnutChart>
      <c:spPr>
        <a:noFill/>
        <a:ln>
          <a:noFill/>
        </a:ln>
        <a:effectLst/>
      </c:spPr>
    </c:plotArea>
    <c:legend>
      <c:legendPos val="r"/>
      <c:layout>
        <c:manualLayout>
          <c:xMode val="edge"/>
          <c:yMode val="edge"/>
          <c:x val="0.4527305546009186"/>
          <c:y val="0.18198128248978465"/>
          <c:w val="0.53372198777765678"/>
          <c:h val="0.79931435926237604"/>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6376328380742377E-2"/>
          <c:y val="0.17648110562025593"/>
          <c:w val="0.48802335217237025"/>
          <c:h val="0.72556061637354996"/>
        </c:manualLayout>
      </c:layout>
      <c:doughnutChart>
        <c:varyColors val="1"/>
        <c:ser>
          <c:idx val="0"/>
          <c:order val="0"/>
          <c:dLbls>
            <c:delete val="1"/>
            <c:extLst/>
          </c:dLbls>
          <c:val>
            <c:numRef>
              <c:f>'Equipements d''imagerie'!$C$24:$I$24</c:f>
            </c:numRef>
          </c:val>
          <c:extLst>
            <c:ext xmlns:c15="http://schemas.microsoft.com/office/drawing/2012/chart" uri="{02D57815-91ED-43cb-92C2-25804820EDAC}">
              <c15:filteredCategoryTitle>
                <c15:cat>
                  <c:strRef>
                    <c:extLst>
                      <c:ext uri="{02D57815-91ED-43cb-92C2-25804820EDAC}">
                        <c15:formulaRef>
                          <c15:sqref>'Equipements d''imagerie'!$C$11:$I$11</c15:sqref>
                        </c15:formulaRef>
                      </c:ext>
                    </c:extLst>
                  </c:strRef>
                </c15:cat>
              </c15:filteredCategoryTitle>
            </c:ext>
            <c:ext xmlns:c16="http://schemas.microsoft.com/office/drawing/2014/chart" uri="{C3380CC4-5D6E-409C-BE32-E72D297353CC}">
              <c16:uniqueId val="{00000000-07CE-4834-B8B6-B9AC56138B22}"/>
            </c:ext>
          </c:extLst>
        </c:ser>
        <c:dLbls>
          <c:showLegendKey val="0"/>
          <c:showVal val="0"/>
          <c:showCatName val="0"/>
          <c:showSerName val="0"/>
          <c:showPercent val="1"/>
          <c:showBubbleSize val="0"/>
          <c:showLeaderLines val="1"/>
        </c:dLbls>
        <c:firstSliceAng val="0"/>
        <c:holeSize val="50"/>
      </c:doughnutChart>
      <c:spPr>
        <a:noFill/>
        <a:ln>
          <a:noFill/>
        </a:ln>
        <a:effectLst/>
      </c:spPr>
    </c:plotArea>
    <c:legend>
      <c:legendPos val="r"/>
      <c:layout>
        <c:manualLayout>
          <c:xMode val="edge"/>
          <c:yMode val="edge"/>
          <c:x val="0.56934386466282649"/>
          <c:y val="0.18176467455062228"/>
          <c:w val="0.30224671866403496"/>
          <c:h val="0.80876686396779196"/>
        </c:manualLayout>
      </c:layout>
      <c:overlay val="0"/>
      <c:spPr>
        <a:noFill/>
        <a:ln>
          <a:noFill/>
        </a:ln>
        <a:effectLst/>
      </c:spPr>
      <c:txPr>
        <a:bodyPr rot="0" spcFirstLastPara="1" vertOverflow="ellipsis" vert="horz" wrap="square" anchor="ctr" anchorCtr="1"/>
        <a:lstStyle/>
        <a:p>
          <a:pPr rtl="0">
            <a:defRPr sz="1050" b="1"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50" b="1">
          <a:solidFill>
            <a:schemeClr val="tx2"/>
          </a:solidFill>
        </a:defRPr>
      </a:pPr>
      <a:endParaRPr lang="en-US"/>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0523898631685109E-2"/>
          <c:y val="3.0014177778035594E-2"/>
          <c:w val="0.72282907004949026"/>
          <c:h val="0.82533016132674264"/>
        </c:manualLayout>
      </c:layout>
      <c:barChart>
        <c:barDir val="col"/>
        <c:grouping val="stacked"/>
        <c:varyColors val="0"/>
        <c:ser>
          <c:idx val="0"/>
          <c:order val="0"/>
          <c:tx>
            <c:strRef>
              <c:f>'Equipements d''imagerie'!$H$26</c:f>
              <c:strCache>
                <c:ptCount val="1"/>
                <c:pt idx="0">
                  <c:v>Matières premières</c:v>
                </c:pt>
              </c:strCache>
            </c:strRef>
          </c:tx>
          <c:spPr>
            <a:solidFill>
              <a:schemeClr val="accent1"/>
            </a:solidFill>
            <a:ln>
              <a:noFill/>
            </a:ln>
            <a:effectLst/>
          </c:spPr>
          <c:invertIfNegative val="0"/>
          <c:cat>
            <c:multiLvlStrRef>
              <c:f>'Equipements d''imagerie'!$G$27:$G$33</c:f>
            </c:multiLvlStrRef>
          </c:cat>
          <c:val>
            <c:numRef>
              <c:f>'Equipements d''imagerie'!$H$27:$H$33</c:f>
            </c:numRef>
          </c:val>
          <c:extLst>
            <c:ext xmlns:c16="http://schemas.microsoft.com/office/drawing/2014/chart" uri="{C3380CC4-5D6E-409C-BE32-E72D297353CC}">
              <c16:uniqueId val="{00000000-DDE0-4466-A11A-5702EB9732AC}"/>
            </c:ext>
          </c:extLst>
        </c:ser>
        <c:ser>
          <c:idx val="1"/>
          <c:order val="1"/>
          <c:tx>
            <c:strRef>
              <c:f>'Equipements d''imagerie'!$I$26</c:f>
              <c:strCache>
                <c:ptCount val="1"/>
                <c:pt idx="0">
                  <c:v>Production</c:v>
                </c:pt>
              </c:strCache>
            </c:strRef>
          </c:tx>
          <c:spPr>
            <a:solidFill>
              <a:schemeClr val="accent2"/>
            </a:solidFill>
            <a:ln>
              <a:noFill/>
            </a:ln>
            <a:effectLst/>
          </c:spPr>
          <c:invertIfNegative val="0"/>
          <c:cat>
            <c:multiLvlStrRef>
              <c:f>'Equipements d''imagerie'!$G$27:$G$33</c:f>
            </c:multiLvlStrRef>
          </c:cat>
          <c:val>
            <c:numRef>
              <c:f>'Equipements d''imagerie'!$I$27:$I$33</c:f>
            </c:numRef>
          </c:val>
          <c:extLst>
            <c:ext xmlns:c16="http://schemas.microsoft.com/office/drawing/2014/chart" uri="{C3380CC4-5D6E-409C-BE32-E72D297353CC}">
              <c16:uniqueId val="{00000001-DDE0-4466-A11A-5702EB9732AC}"/>
            </c:ext>
          </c:extLst>
        </c:ser>
        <c:ser>
          <c:idx val="2"/>
          <c:order val="2"/>
          <c:tx>
            <c:strRef>
              <c:f>'Equipements d''imagerie'!$J$26</c:f>
              <c:strCache>
                <c:ptCount val="1"/>
                <c:pt idx="0">
                  <c:v>Emballages</c:v>
                </c:pt>
              </c:strCache>
            </c:strRef>
          </c:tx>
          <c:spPr>
            <a:solidFill>
              <a:schemeClr val="accent3"/>
            </a:solidFill>
            <a:ln>
              <a:noFill/>
            </a:ln>
            <a:effectLst/>
          </c:spPr>
          <c:invertIfNegative val="0"/>
          <c:cat>
            <c:multiLvlStrRef>
              <c:f>'Equipements d''imagerie'!$G$27:$G$33</c:f>
            </c:multiLvlStrRef>
          </c:cat>
          <c:val>
            <c:numRef>
              <c:f>'Equipements d''imagerie'!$J$27:$J$33</c:f>
            </c:numRef>
          </c:val>
          <c:extLst>
            <c:ext xmlns:c16="http://schemas.microsoft.com/office/drawing/2014/chart" uri="{C3380CC4-5D6E-409C-BE32-E72D297353CC}">
              <c16:uniqueId val="{00000002-DDE0-4466-A11A-5702EB9732AC}"/>
            </c:ext>
          </c:extLst>
        </c:ser>
        <c:ser>
          <c:idx val="3"/>
          <c:order val="3"/>
          <c:tx>
            <c:strRef>
              <c:f>'Equipements d''imagerie'!$K$26</c:f>
              <c:strCache>
                <c:ptCount val="1"/>
                <c:pt idx="0">
                  <c:v>Fret</c:v>
                </c:pt>
              </c:strCache>
            </c:strRef>
          </c:tx>
          <c:spPr>
            <a:solidFill>
              <a:schemeClr val="accent4"/>
            </a:solidFill>
            <a:ln>
              <a:noFill/>
            </a:ln>
            <a:effectLst/>
          </c:spPr>
          <c:invertIfNegative val="0"/>
          <c:cat>
            <c:multiLvlStrRef>
              <c:f>'Equipements d''imagerie'!$G$27:$G$33</c:f>
            </c:multiLvlStrRef>
          </c:cat>
          <c:val>
            <c:numRef>
              <c:f>'Equipements d''imagerie'!$K$27:$K$33</c:f>
            </c:numRef>
          </c:val>
          <c:extLst>
            <c:ext xmlns:c16="http://schemas.microsoft.com/office/drawing/2014/chart" uri="{C3380CC4-5D6E-409C-BE32-E72D297353CC}">
              <c16:uniqueId val="{00000003-DDE0-4466-A11A-5702EB9732AC}"/>
            </c:ext>
          </c:extLst>
        </c:ser>
        <c:ser>
          <c:idx val="4"/>
          <c:order val="4"/>
          <c:tx>
            <c:strRef>
              <c:f>'Equipements d''imagerie'!$L$26</c:f>
              <c:strCache>
                <c:ptCount val="1"/>
                <c:pt idx="0">
                  <c:v>Consommation d'électricité</c:v>
                </c:pt>
              </c:strCache>
            </c:strRef>
          </c:tx>
          <c:spPr>
            <a:solidFill>
              <a:schemeClr val="accent5"/>
            </a:solidFill>
            <a:ln>
              <a:noFill/>
            </a:ln>
            <a:effectLst/>
          </c:spPr>
          <c:invertIfNegative val="0"/>
          <c:cat>
            <c:multiLvlStrRef>
              <c:f>'Equipements d''imagerie'!$G$27:$G$33</c:f>
            </c:multiLvlStrRef>
          </c:cat>
          <c:val>
            <c:numRef>
              <c:f>'Equipements d''imagerie'!$L$27:$L$33</c:f>
            </c:numRef>
          </c:val>
          <c:extLst>
            <c:ext xmlns:c16="http://schemas.microsoft.com/office/drawing/2014/chart" uri="{C3380CC4-5D6E-409C-BE32-E72D297353CC}">
              <c16:uniqueId val="{00000004-DDE0-4466-A11A-5702EB9732AC}"/>
            </c:ext>
          </c:extLst>
        </c:ser>
        <c:ser>
          <c:idx val="5"/>
          <c:order val="5"/>
          <c:tx>
            <c:strRef>
              <c:f>'Equipements d''imagerie'!$M$26</c:f>
              <c:strCache>
                <c:ptCount val="1"/>
                <c:pt idx="0">
                  <c:v>Maintenance</c:v>
                </c:pt>
              </c:strCache>
            </c:strRef>
          </c:tx>
          <c:spPr>
            <a:solidFill>
              <a:schemeClr val="accent6"/>
            </a:solidFill>
            <a:ln>
              <a:noFill/>
            </a:ln>
            <a:effectLst/>
          </c:spPr>
          <c:invertIfNegative val="0"/>
          <c:cat>
            <c:multiLvlStrRef>
              <c:f>'Equipements d''imagerie'!$G$27:$G$33</c:f>
            </c:multiLvlStrRef>
          </c:cat>
          <c:val>
            <c:numRef>
              <c:f>'Equipements d''imagerie'!$M$27:$M$33</c:f>
            </c:numRef>
          </c:val>
          <c:extLst>
            <c:ext xmlns:c16="http://schemas.microsoft.com/office/drawing/2014/chart" uri="{C3380CC4-5D6E-409C-BE32-E72D297353CC}">
              <c16:uniqueId val="{00000005-DDE0-4466-A11A-5702EB9732AC}"/>
            </c:ext>
          </c:extLst>
        </c:ser>
        <c:ser>
          <c:idx val="6"/>
          <c:order val="6"/>
          <c:tx>
            <c:strRef>
              <c:f>'Equipements d''imagerie'!$N$26</c:f>
              <c:strCache>
                <c:ptCount val="1"/>
                <c:pt idx="0">
                  <c:v>Fin de vie</c:v>
                </c:pt>
              </c:strCache>
            </c:strRef>
          </c:tx>
          <c:spPr>
            <a:solidFill>
              <a:schemeClr val="accent1">
                <a:lumMod val="60000"/>
              </a:schemeClr>
            </a:solidFill>
            <a:ln>
              <a:noFill/>
            </a:ln>
            <a:effectLst/>
          </c:spPr>
          <c:invertIfNegative val="0"/>
          <c:cat>
            <c:multiLvlStrRef>
              <c:f>'Equipements d''imagerie'!$G$27:$G$33</c:f>
            </c:multiLvlStrRef>
          </c:cat>
          <c:val>
            <c:numRef>
              <c:f>'Equipements d''imagerie'!$N$27:$N$33</c:f>
            </c:numRef>
          </c:val>
          <c:extLst>
            <c:ext xmlns:c16="http://schemas.microsoft.com/office/drawing/2014/chart" uri="{C3380CC4-5D6E-409C-BE32-E72D297353CC}">
              <c16:uniqueId val="{00000006-DDE0-4466-A11A-5702EB9732AC}"/>
            </c:ext>
          </c:extLst>
        </c:ser>
        <c:dLbls>
          <c:showLegendKey val="0"/>
          <c:showVal val="0"/>
          <c:showCatName val="0"/>
          <c:showSerName val="0"/>
          <c:showPercent val="0"/>
          <c:showBubbleSize val="0"/>
        </c:dLbls>
        <c:gapWidth val="75"/>
        <c:overlap val="100"/>
        <c:axId val="56467583"/>
        <c:axId val="56473407"/>
      </c:barChart>
      <c:catAx>
        <c:axId val="5646758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accent1"/>
                </a:solidFill>
                <a:latin typeface="+mn-lt"/>
                <a:ea typeface="+mn-ea"/>
                <a:cs typeface="+mn-cs"/>
              </a:defRPr>
            </a:pPr>
            <a:endParaRPr lang="en-US"/>
          </a:p>
        </c:txPr>
        <c:crossAx val="56473407"/>
        <c:crosses val="autoZero"/>
        <c:auto val="1"/>
        <c:lblAlgn val="ctr"/>
        <c:lblOffset val="100"/>
        <c:noMultiLvlLbl val="0"/>
      </c:catAx>
      <c:valAx>
        <c:axId val="56473407"/>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sz="1050" b="1">
                    <a:solidFill>
                      <a:schemeClr val="accent1"/>
                    </a:solidFill>
                  </a:rPr>
                  <a:t>Emissions (en ktCO2e)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accent1"/>
                </a:solidFill>
                <a:latin typeface="+mn-lt"/>
                <a:ea typeface="+mn-ea"/>
                <a:cs typeface="+mn-cs"/>
              </a:defRPr>
            </a:pPr>
            <a:endParaRPr lang="en-US"/>
          </a:p>
        </c:txPr>
        <c:crossAx val="56467583"/>
        <c:crosses val="autoZero"/>
        <c:crossBetween val="between"/>
      </c:valAx>
      <c:spPr>
        <a:noFill/>
        <a:ln>
          <a:noFill/>
        </a:ln>
        <a:effectLst/>
      </c:spPr>
    </c:plotArea>
    <c:legend>
      <c:legendPos val="r"/>
      <c:layout>
        <c:manualLayout>
          <c:xMode val="edge"/>
          <c:yMode val="edge"/>
          <c:x val="0.78268540451551027"/>
          <c:y val="0.20930785075233188"/>
          <c:w val="0.17732202987348952"/>
          <c:h val="0.61242643685381326"/>
        </c:manualLayout>
      </c:layout>
      <c:overlay val="0"/>
      <c:spPr>
        <a:noFill/>
        <a:ln>
          <a:noFill/>
        </a:ln>
        <a:effectLst/>
      </c:spPr>
      <c:txPr>
        <a:bodyPr rot="0" spcFirstLastPara="1" vertOverflow="ellipsis" vert="horz" wrap="square" anchor="ctr" anchorCtr="1"/>
        <a:lstStyle/>
        <a:p>
          <a:pPr>
            <a:defRPr sz="1100" b="1" i="0" u="none" strike="noStrike" kern="1200" baseline="0">
              <a:solidFill>
                <a:schemeClr val="accent1"/>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5181998739526606E-2"/>
          <c:y val="0.19458863654627162"/>
          <c:w val="0.40288232720909889"/>
          <c:h val="0.67147054534849815"/>
        </c:manualLayout>
      </c:layout>
      <c:doughnutChart>
        <c:varyColors val="1"/>
        <c:ser>
          <c:idx val="0"/>
          <c:order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'Equipements d''imagerie'!$G$27:$G$33</c:f>
            </c:strRef>
          </c:cat>
          <c:val>
            <c:numRef>
              <c:f>'Equipements d''imagerie'!$O$27:$O$33</c:f>
            </c:numRef>
          </c:val>
          <c:extLst>
            <c:ext xmlns:c16="http://schemas.microsoft.com/office/drawing/2014/chart" uri="{C3380CC4-5D6E-409C-BE32-E72D297353CC}">
              <c16:uniqueId val="{0000000E-E50F-4189-B58D-AD190AD0B8D3}"/>
            </c:ext>
          </c:extLst>
        </c:ser>
        <c:dLbls>
          <c:showLegendKey val="0"/>
          <c:showVal val="0"/>
          <c:showCatName val="0"/>
          <c:showSerName val="0"/>
          <c:showPercent val="1"/>
          <c:showBubbleSize val="0"/>
          <c:showLeaderLines val="1"/>
        </c:dLbls>
        <c:firstSliceAng val="0"/>
        <c:holeSize val="50"/>
      </c:doughnutChart>
      <c:spPr>
        <a:noFill/>
        <a:ln>
          <a:noFill/>
        </a:ln>
        <a:effectLst/>
      </c:spPr>
    </c:plotArea>
    <c:legend>
      <c:legendPos val="r"/>
      <c:layout>
        <c:manualLayout>
          <c:xMode val="edge"/>
          <c:yMode val="edge"/>
          <c:x val="0.44590387098101697"/>
          <c:y val="0.207013679078805"/>
          <c:w val="0.51155611645064436"/>
          <c:h val="0.70217629046369201"/>
        </c:manualLayout>
      </c:layout>
      <c:overlay val="0"/>
      <c:spPr>
        <a:noFill/>
        <a:ln>
          <a:noFill/>
        </a:ln>
        <a:effectLst/>
      </c:spPr>
      <c:txPr>
        <a:bodyPr rot="0" spcFirstLastPara="1" vertOverflow="ellipsis" vert="horz" wrap="square" anchor="ctr" anchorCtr="1"/>
        <a:lstStyle/>
        <a:p>
          <a:pPr>
            <a:defRPr sz="1100" b="1"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val>
            <c:numRef>
              <c:f>'Equipements path. respiratoire'!$C$19:$I$19</c:f>
            </c:numRef>
          </c:val>
          <c:extLst>
            <c:ext xmlns:c15="http://schemas.microsoft.com/office/drawing/2012/chart" uri="{02D57815-91ED-43cb-92C2-25804820EDAC}">
              <c15:filteredCategoryTitle>
                <c15:cat>
                  <c:multiLvlStrRef>
                    <c:extLst>
                      <c:ext uri="{02D57815-91ED-43cb-92C2-25804820EDAC}">
                        <c15:formulaRef>
                          <c15:sqref>'Equipements path. respiratoire'!$C$11:$I$11</c15:sqref>
                        </c15:formulaRef>
                      </c:ext>
                    </c:extLst>
                  </c:multiLvlStrRef>
                </c15:cat>
              </c15:filteredCategoryTitle>
            </c:ext>
            <c:ext xmlns:c16="http://schemas.microsoft.com/office/drawing/2014/chart" uri="{C3380CC4-5D6E-409C-BE32-E72D297353CC}">
              <c16:uniqueId val="{00000000-F6D3-4A88-B118-CD9CBF7E76A6}"/>
            </c:ext>
          </c:extLst>
        </c:ser>
        <c:dLbls>
          <c:showLegendKey val="0"/>
          <c:showVal val="0"/>
          <c:showCatName val="0"/>
          <c:showSerName val="0"/>
          <c:showPercent val="1"/>
          <c:showBubbleSize val="0"/>
          <c:showLeaderLines val="1"/>
        </c:dLbls>
        <c:firstSliceAng val="0"/>
        <c:holeSize val="50"/>
      </c:doughnutChart>
      <c:spPr>
        <a:noFill/>
        <a:ln>
          <a:noFill/>
        </a:ln>
        <a:effectLst/>
      </c:spPr>
    </c:plotArea>
    <c:legend>
      <c:legendPos val="r"/>
      <c:layout>
        <c:manualLayout>
          <c:xMode val="edge"/>
          <c:yMode val="edge"/>
          <c:x val="0.51720729003982246"/>
          <c:y val="0.10477624705129907"/>
          <c:w val="0.36911920823036631"/>
          <c:h val="0.81139690051974211"/>
        </c:manualLayout>
      </c:layout>
      <c:overlay val="0"/>
      <c:spPr>
        <a:noFill/>
        <a:ln>
          <a:noFill/>
        </a:ln>
        <a:effectLst/>
      </c:spPr>
      <c:txPr>
        <a:bodyPr rot="0" spcFirstLastPara="1" vertOverflow="ellipsis" vert="horz" wrap="square" anchor="ctr" anchorCtr="1"/>
        <a:lstStyle/>
        <a:p>
          <a:pPr>
            <a:defRPr sz="1100" b="1"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7484191029667947E-2"/>
          <c:y val="0.12664499159949102"/>
          <c:w val="0.32961007648887874"/>
          <c:h val="0.76782553792498698"/>
        </c:manualLayout>
      </c:layout>
      <c:doughnutChart>
        <c:varyColors val="1"/>
        <c:ser>
          <c:idx val="0"/>
          <c:order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multiLvlStrRef>
              <c:f>'Equipements path. respiratoire'!$B$12:$B$18</c:f>
            </c:multiLvlStrRef>
          </c:cat>
          <c:val>
            <c:numRef>
              <c:f>'Equipements path. respiratoire'!$J$12:$J$18</c:f>
            </c:numRef>
          </c:val>
          <c:extLst>
            <c:ext xmlns:c16="http://schemas.microsoft.com/office/drawing/2014/chart" uri="{C3380CC4-5D6E-409C-BE32-E72D297353CC}">
              <c16:uniqueId val="{0000000E-C726-4601-BE2F-6FCAF9E769B4}"/>
            </c:ext>
          </c:extLst>
        </c:ser>
        <c:dLbls>
          <c:showLegendKey val="0"/>
          <c:showVal val="0"/>
          <c:showCatName val="0"/>
          <c:showSerName val="0"/>
          <c:showPercent val="1"/>
          <c:showBubbleSize val="0"/>
          <c:showLeaderLines val="1"/>
        </c:dLbls>
        <c:firstSliceAng val="0"/>
        <c:holeSize val="50"/>
      </c:doughnutChart>
      <c:spPr>
        <a:noFill/>
        <a:ln>
          <a:noFill/>
        </a:ln>
        <a:effectLst/>
      </c:spPr>
    </c:plotArea>
    <c:legend>
      <c:legendPos val="r"/>
      <c:layout>
        <c:manualLayout>
          <c:xMode val="edge"/>
          <c:yMode val="edge"/>
          <c:x val="0.37860057138658149"/>
          <c:y val="0.13301262929632118"/>
          <c:w val="0.48616881958876712"/>
          <c:h val="0.75409631348461426"/>
        </c:manualLayout>
      </c:layout>
      <c:overlay val="0"/>
      <c:spPr>
        <a:noFill/>
        <a:ln>
          <a:noFill/>
        </a:ln>
        <a:effectLst/>
      </c:spPr>
      <c:txPr>
        <a:bodyPr rot="0" spcFirstLastPara="1" vertOverflow="ellipsis" vert="horz" wrap="square" anchor="ctr" anchorCtr="1"/>
        <a:lstStyle/>
        <a:p>
          <a:pPr>
            <a:defRPr sz="1100" b="1"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2"/>
                </a:solidFill>
                <a:latin typeface="+mn-lt"/>
                <a:ea typeface="+mn-ea"/>
                <a:cs typeface="+mn-cs"/>
              </a:defRPr>
            </a:pPr>
            <a:r>
              <a:rPr lang="en-US" b="1">
                <a:solidFill>
                  <a:schemeClr val="tx2"/>
                </a:solidFill>
              </a:rPr>
              <a:t>Répartition masse totales des appareils achetés</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2"/>
              </a:solidFill>
              <a:latin typeface="+mn-lt"/>
              <a:ea typeface="+mn-ea"/>
              <a:cs typeface="+mn-cs"/>
            </a:defRPr>
          </a:pPr>
          <a:endParaRPr lang="en-US"/>
        </a:p>
      </c:txPr>
    </c:title>
    <c:autoTitleDeleted val="0"/>
    <c:plotArea>
      <c:layout>
        <c:manualLayout>
          <c:layoutTarget val="inner"/>
          <c:xMode val="edge"/>
          <c:yMode val="edge"/>
          <c:x val="3.33542443930979E-2"/>
          <c:y val="0.18980261812018775"/>
          <c:w val="0.33438755326027053"/>
          <c:h val="0.70009888857836933"/>
        </c:manualLayout>
      </c:layout>
      <c:doughnutChart>
        <c:varyColors val="1"/>
        <c:ser>
          <c:idx val="0"/>
          <c:order val="0"/>
          <c:tx>
            <c:strRef>
              <c:f>'Equipements électro-médicaux'!$G$134</c:f>
              <c:strCache>
                <c:ptCount val="1"/>
                <c:pt idx="0">
                  <c:v>Masse totale (en tonnes)</c:v>
                </c:pt>
              </c:strCache>
            </c:strRef>
          </c:tx>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multiLvlStrRef>
              <c:f>'Equipements électro-médicaux'!$B$135:$B$148</c:f>
            </c:multiLvlStrRef>
          </c:cat>
          <c:val>
            <c:numRef>
              <c:f>'Equipements électro-médicaux'!$G$135:$G$148</c:f>
            </c:numRef>
          </c:val>
          <c:extLst>
            <c:ext xmlns:c16="http://schemas.microsoft.com/office/drawing/2014/chart" uri="{C3380CC4-5D6E-409C-BE32-E72D297353CC}">
              <c16:uniqueId val="{00000000-13A6-45A7-B58B-D64124908C63}"/>
            </c:ext>
          </c:extLst>
        </c:ser>
        <c:dLbls>
          <c:showLegendKey val="0"/>
          <c:showVal val="0"/>
          <c:showCatName val="0"/>
          <c:showSerName val="0"/>
          <c:showPercent val="1"/>
          <c:showBubbleSize val="0"/>
          <c:showLeaderLines val="1"/>
        </c:dLbls>
        <c:firstSliceAng val="0"/>
        <c:holeSize val="50"/>
      </c:doughnutChart>
      <c:spPr>
        <a:noFill/>
        <a:ln>
          <a:noFill/>
        </a:ln>
        <a:effectLst/>
      </c:spPr>
    </c:plotArea>
    <c:legend>
      <c:legendPos val="r"/>
      <c:layout>
        <c:manualLayout>
          <c:xMode val="edge"/>
          <c:yMode val="edge"/>
          <c:x val="0.36557035251217923"/>
          <c:y val="0.1297891787046983"/>
          <c:w val="0.59119954605864888"/>
          <c:h val="0.8201250739410566"/>
        </c:manualLayout>
      </c:layout>
      <c:overlay val="0"/>
      <c:spPr>
        <a:noFill/>
        <a:ln>
          <a:noFill/>
        </a:ln>
        <a:effectLst/>
      </c:spPr>
      <c:txPr>
        <a:bodyPr rot="0" spcFirstLastPara="1" vertOverflow="ellipsis" vert="horz" wrap="square" anchor="ctr" anchorCtr="1"/>
        <a:lstStyle/>
        <a:p>
          <a:pPr>
            <a:defRPr sz="1050" b="1"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tx>
            <c:strRef>
              <c:f>'Equipements électro-médicaux'!$C$190</c:f>
              <c:strCache>
                <c:ptCount val="1"/>
                <c:pt idx="0">
                  <c:v> Répartition empreinte carbone </c:v>
                </c:pt>
              </c:strCache>
            </c:strRef>
          </c:tx>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multiLvlStrRef>
              <c:f>'Equipements électro-médicaux'!$B$191:$B$195</c:f>
            </c:multiLvlStrRef>
          </c:cat>
          <c:val>
            <c:numRef>
              <c:f>'Equipements électro-médicaux'!$C$191:$C$195</c:f>
            </c:numRef>
          </c:val>
          <c:extLst>
            <c:ext xmlns:c16="http://schemas.microsoft.com/office/drawing/2014/chart" uri="{C3380CC4-5D6E-409C-BE32-E72D297353CC}">
              <c16:uniqueId val="{00000000-272D-4D15-BF9D-E7767E835F49}"/>
            </c:ext>
          </c:extLst>
        </c:ser>
        <c:dLbls>
          <c:showLegendKey val="0"/>
          <c:showVal val="0"/>
          <c:showCatName val="0"/>
          <c:showSerName val="0"/>
          <c:showPercent val="1"/>
          <c:showBubbleSize val="0"/>
          <c:showLeaderLines val="1"/>
        </c:dLbls>
        <c:firstSliceAng val="0"/>
        <c:holeSize val="50"/>
      </c:doughnutChart>
      <c:spPr>
        <a:noFill/>
        <a:ln>
          <a:noFill/>
        </a:ln>
        <a:effectLst/>
      </c:spPr>
    </c:plotArea>
    <c:legend>
      <c:legendPos val="r"/>
      <c:layout>
        <c:manualLayout>
          <c:xMode val="edge"/>
          <c:yMode val="edge"/>
          <c:x val="0.55240264876731393"/>
          <c:y val="0.24151095686742602"/>
          <c:w val="0.34032903207326415"/>
          <c:h val="0.53543114593137275"/>
        </c:manualLayout>
      </c:layout>
      <c:overlay val="0"/>
      <c:spPr>
        <a:noFill/>
        <a:ln>
          <a:noFill/>
        </a:ln>
        <a:effectLst/>
      </c:spPr>
      <c:txPr>
        <a:bodyPr rot="0" spcFirstLastPara="1" vertOverflow="ellipsis" vert="horz" wrap="square" anchor="ctr" anchorCtr="1"/>
        <a:lstStyle/>
        <a:p>
          <a:pPr>
            <a:defRPr sz="1050" b="1"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2"/>
                </a:solidFill>
                <a:latin typeface="+mn-lt"/>
                <a:ea typeface="+mn-ea"/>
                <a:cs typeface="+mn-cs"/>
              </a:defRPr>
            </a:pPr>
            <a:r>
              <a:rPr lang="en-GB"/>
              <a:t>Répartition</a:t>
            </a:r>
            <a:r>
              <a:rPr lang="en-GB" baseline="0"/>
              <a:t> des émissions des équipements électro-médicaux</a:t>
            </a:r>
            <a:endParaRPr lang="en-GB"/>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2"/>
              </a:solidFill>
              <a:latin typeface="+mn-lt"/>
              <a:ea typeface="+mn-ea"/>
              <a:cs typeface="+mn-cs"/>
            </a:defRPr>
          </a:pPr>
          <a:endParaRPr lang="en-US"/>
        </a:p>
      </c:txPr>
    </c:title>
    <c:autoTitleDeleted val="0"/>
    <c:plotArea>
      <c:layout/>
      <c:doughnutChart>
        <c:varyColors val="1"/>
        <c:ser>
          <c:idx val="0"/>
          <c:order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val>
            <c:numRef>
              <c:f>'Equipements électro-médicaux'!$D$25:$I$25</c:f>
            </c:numRef>
          </c:val>
          <c:extLst>
            <c:ext xmlns:c15="http://schemas.microsoft.com/office/drawing/2012/chart" uri="{02D57815-91ED-43cb-92C2-25804820EDAC}">
              <c15:filteredCategoryTitle>
                <c15:cat>
                  <c:multiLvlStrRef>
                    <c:extLst>
                      <c:ext uri="{02D57815-91ED-43cb-92C2-25804820EDAC}">
                        <c15:formulaRef>
                          <c15:sqref>'Equipements électro-médicaux'!$D$11:$I$11</c15:sqref>
                        </c15:formulaRef>
                      </c:ext>
                    </c:extLst>
                  </c:multiLvlStrRef>
                </c15:cat>
              </c15:filteredCategoryTitle>
            </c:ext>
            <c:ext xmlns:c16="http://schemas.microsoft.com/office/drawing/2014/chart" uri="{C3380CC4-5D6E-409C-BE32-E72D297353CC}">
              <c16:uniqueId val="{00000000-0032-422D-90D7-58CB13D303EA}"/>
            </c:ext>
          </c:extLst>
        </c:ser>
        <c:dLbls>
          <c:showLegendKey val="0"/>
          <c:showVal val="0"/>
          <c:showCatName val="0"/>
          <c:showSerName val="0"/>
          <c:showPercent val="1"/>
          <c:showBubbleSize val="0"/>
          <c:showLeaderLines val="1"/>
        </c:dLbls>
        <c:firstSliceAng val="0"/>
        <c:holeSize val="50"/>
      </c:doughnutChart>
      <c:spPr>
        <a:noFill/>
        <a:ln>
          <a:noFill/>
        </a:ln>
        <a:effectLst/>
      </c:spPr>
    </c:plotArea>
    <c:legend>
      <c:legendPos val="r"/>
      <c:layout>
        <c:manualLayout>
          <c:xMode val="edge"/>
          <c:yMode val="edge"/>
          <c:x val="0.53233859810445383"/>
          <c:y val="0.2323116074369031"/>
          <c:w val="0.46539336128440389"/>
          <c:h val="0.69203077752163111"/>
        </c:manualLayout>
      </c:layout>
      <c:overlay val="0"/>
      <c:spPr>
        <a:noFill/>
        <a:ln>
          <a:noFill/>
        </a:ln>
        <a:effectLst/>
      </c:spPr>
      <c:txPr>
        <a:bodyPr rot="0" spcFirstLastPara="1" vertOverflow="ellipsis" vert="horz" wrap="square" anchor="ctr" anchorCtr="1"/>
        <a:lstStyle/>
        <a:p>
          <a:pPr>
            <a:defRPr sz="1100" b="1"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b="1">
          <a:solidFill>
            <a:schemeClr val="tx2"/>
          </a:solidFill>
        </a:defRPr>
      </a:pPr>
      <a:endParaRPr lang="en-US"/>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0" i="0" u="none" strike="noStrike" kern="1200" spc="0" baseline="0">
                <a:solidFill>
                  <a:schemeClr val="tx1">
                    <a:lumMod val="65000"/>
                    <a:lumOff val="35000"/>
                  </a:schemeClr>
                </a:solidFill>
                <a:latin typeface="+mn-lt"/>
                <a:ea typeface="+mn-ea"/>
                <a:cs typeface="+mn-cs"/>
              </a:defRPr>
            </a:pPr>
            <a:r>
              <a:rPr lang="en-GB" b="1">
                <a:solidFill>
                  <a:schemeClr val="tx2"/>
                </a:solidFill>
              </a:rPr>
              <a:t>Répartition des consommations d'implants orthopédiques</a:t>
            </a:r>
          </a:p>
        </c:rich>
      </c:tx>
      <c:overlay val="0"/>
      <c:spPr>
        <a:noFill/>
        <a:ln>
          <a:noFill/>
        </a:ln>
        <a:effectLst/>
      </c:spPr>
      <c:txPr>
        <a:bodyPr rot="0" spcFirstLastPara="1" vertOverflow="ellipsis" vert="horz" wrap="square" anchor="ctr" anchorCtr="1"/>
        <a:lstStyle/>
        <a:p>
          <a:pPr>
            <a:defRPr sz="144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3.5974325012340949E-2"/>
          <c:y val="0.18432451863051513"/>
          <c:w val="0.55591049826936179"/>
          <c:h val="0.7204078160629368"/>
        </c:manualLayout>
      </c:layout>
      <c:ofPieChart>
        <c:ofPieType val="bar"/>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6F6B-4081-89FE-6334E57CB05A}"/>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6F6B-4081-89FE-6334E57CB05A}"/>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6F6B-4081-89FE-6334E57CB05A}"/>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6F6B-4081-89FE-6334E57CB05A}"/>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6F6B-4081-89FE-6334E57CB05A}"/>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6F6B-4081-89FE-6334E57CB05A}"/>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6F6B-4081-89FE-6334E57CB05A}"/>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6F6B-4081-89FE-6334E57CB05A}"/>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6F6B-4081-89FE-6334E57CB05A}"/>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13-6F6B-4081-89FE-6334E57CB05A}"/>
              </c:ext>
            </c:extLst>
          </c:dPt>
          <c:dPt>
            <c:idx val="10"/>
            <c:bubble3D val="0"/>
            <c:spPr>
              <a:solidFill>
                <a:schemeClr val="tx2"/>
              </a:solidFill>
              <a:ln w="19050">
                <a:solidFill>
                  <a:schemeClr val="lt1"/>
                </a:solidFill>
              </a:ln>
              <a:effectLst/>
            </c:spPr>
            <c:extLst>
              <c:ext xmlns:c16="http://schemas.microsoft.com/office/drawing/2014/chart" uri="{C3380CC4-5D6E-409C-BE32-E72D297353CC}">
                <c16:uniqueId val="{00000015-6F6B-4081-89FE-6334E57CB05A}"/>
              </c:ext>
            </c:extLst>
          </c:dPt>
          <c:dPt>
            <c:idx val="11"/>
            <c:bubble3D val="0"/>
            <c:spPr>
              <a:solidFill>
                <a:schemeClr val="tx2"/>
              </a:solidFill>
              <a:ln w="19050">
                <a:solidFill>
                  <a:schemeClr val="lt1"/>
                </a:solidFill>
              </a:ln>
              <a:effectLst/>
            </c:spPr>
            <c:extLst>
              <c:ext xmlns:c16="http://schemas.microsoft.com/office/drawing/2014/chart" uri="{C3380CC4-5D6E-409C-BE32-E72D297353CC}">
                <c16:uniqueId val="{00000017-6F6B-4081-89FE-6334E57CB05A}"/>
              </c:ext>
            </c:extLst>
          </c:dPt>
          <c:dLbls>
            <c:dLbl>
              <c:idx val="1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2"/>
                      </a:solidFill>
                      <a:latin typeface="+mn-lt"/>
                      <a:ea typeface="+mn-ea"/>
                      <a:cs typeface="+mn-cs"/>
                    </a:defRPr>
                  </a:pPr>
                  <a:endParaRPr lang="en-US"/>
                </a:p>
              </c:txPr>
              <c:dLblPos val="bestFit"/>
              <c:showLegendKey val="0"/>
              <c:showVal val="0"/>
              <c:showCatName val="0"/>
              <c:showSerName val="0"/>
              <c:showPercent val="1"/>
              <c:showBubbleSize val="0"/>
              <c:extLst>
                <c:ext xmlns:c16="http://schemas.microsoft.com/office/drawing/2014/chart" uri="{C3380CC4-5D6E-409C-BE32-E72D297353CC}">
                  <c16:uniqueId val="{00000015-6F6B-4081-89FE-6334E57CB05A}"/>
                </c:ext>
              </c:extLst>
            </c:dLbl>
            <c:dLbl>
              <c:idx val="11"/>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2"/>
                      </a:solidFill>
                      <a:latin typeface="+mn-lt"/>
                      <a:ea typeface="+mn-ea"/>
                      <a:cs typeface="+mn-cs"/>
                    </a:defRPr>
                  </a:pPr>
                  <a:endParaRPr lang="en-US"/>
                </a:p>
              </c:txPr>
              <c:dLblPos val="bestFit"/>
              <c:showLegendKey val="0"/>
              <c:showVal val="0"/>
              <c:showCatName val="0"/>
              <c:showSerName val="0"/>
              <c:showPercent val="1"/>
              <c:showBubbleSize val="0"/>
              <c:extLst>
                <c:ext xmlns:c16="http://schemas.microsoft.com/office/drawing/2014/chart" uri="{C3380CC4-5D6E-409C-BE32-E72D297353CC}">
                  <c16:uniqueId val="{00000017-6F6B-4081-89FE-6334E57CB05A}"/>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dLblPos val="bestFit"/>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multiLvlStrRef>
              <c:f>'Implants orthopédiques'!$B$78:$B$87</c:f>
            </c:multiLvlStrRef>
          </c:cat>
          <c:val>
            <c:numRef>
              <c:f>'Implants orthopédiques'!$C$78:$C$87</c:f>
            </c:numRef>
          </c:val>
          <c:extLst>
            <c:ext xmlns:c16="http://schemas.microsoft.com/office/drawing/2014/chart" uri="{C3380CC4-5D6E-409C-BE32-E72D297353CC}">
              <c16:uniqueId val="{00000018-6F6B-4081-89FE-6334E57CB05A}"/>
            </c:ext>
          </c:extLst>
        </c:ser>
        <c:dLbls>
          <c:dLblPos val="bestFit"/>
          <c:showLegendKey val="0"/>
          <c:showVal val="0"/>
          <c:showCatName val="0"/>
          <c:showSerName val="0"/>
          <c:showPercent val="1"/>
          <c:showBubbleSize val="0"/>
          <c:showLeaderLines val="1"/>
        </c:dLbls>
        <c:gapWidth val="100"/>
        <c:splitType val="cust"/>
        <c:custSplit>
          <c:secondPiePt val="0"/>
          <c:secondPiePt val="1"/>
          <c:secondPiePt val="2"/>
          <c:secondPiePt val="3"/>
          <c:secondPiePt val="4"/>
        </c:custSplit>
        <c:secondPieSize val="75"/>
        <c:serLines>
          <c:spPr>
            <a:ln w="9525" cap="flat" cmpd="sng" algn="ctr">
              <a:solidFill>
                <a:schemeClr val="tx1">
                  <a:lumMod val="35000"/>
                  <a:lumOff val="65000"/>
                </a:schemeClr>
              </a:solidFill>
              <a:round/>
            </a:ln>
            <a:effectLst/>
          </c:spPr>
        </c:serLines>
      </c:ofPieChart>
      <c:spPr>
        <a:noFill/>
        <a:ln>
          <a:noFill/>
        </a:ln>
        <a:effectLst/>
      </c:spPr>
    </c:plotArea>
    <c:legend>
      <c:legendPos val="r"/>
      <c:layout>
        <c:manualLayout>
          <c:xMode val="edge"/>
          <c:yMode val="edge"/>
          <c:x val="0.63708308588890072"/>
          <c:y val="0.13837757148854785"/>
          <c:w val="0.35369297651624226"/>
          <c:h val="0.81230143594499893"/>
        </c:manualLayout>
      </c:layout>
      <c:overlay val="0"/>
      <c:spPr>
        <a:noFill/>
        <a:ln>
          <a:noFill/>
        </a:ln>
        <a:effectLst/>
      </c:spPr>
      <c:txPr>
        <a:bodyPr rot="0" spcFirstLastPara="1" vertOverflow="ellipsis" vert="horz" wrap="square" anchor="ctr" anchorCtr="1"/>
        <a:lstStyle/>
        <a:p>
          <a:pPr>
            <a:defRPr sz="900" b="1"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2"/>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baseline="0">
                <a:solidFill>
                  <a:schemeClr val="tx2"/>
                </a:solidFill>
                <a:latin typeface="+mn-lt"/>
                <a:ea typeface="+mn-ea"/>
                <a:cs typeface="+mn-cs"/>
              </a:defRPr>
            </a:pPr>
            <a:r>
              <a:rPr lang="en-US"/>
              <a:t>Emissions induites par les consommations françaises de dispositifs médicaux</a:t>
            </a:r>
          </a:p>
        </c:rich>
      </c:tx>
      <c:overlay val="0"/>
      <c:spPr>
        <a:noFill/>
        <a:ln>
          <a:noFill/>
        </a:ln>
        <a:effectLst/>
      </c:spPr>
      <c:txPr>
        <a:bodyPr rot="0" spcFirstLastPara="1" vertOverflow="ellipsis" vert="horz" wrap="square" anchor="ctr" anchorCtr="1"/>
        <a:lstStyle/>
        <a:p>
          <a:pPr>
            <a:defRPr sz="1400" b="1" i="0" u="none" strike="noStrike" baseline="0">
              <a:solidFill>
                <a:schemeClr val="tx2"/>
              </a:solidFill>
              <a:latin typeface="+mn-lt"/>
              <a:ea typeface="+mn-ea"/>
              <a:cs typeface="+mn-cs"/>
            </a:defRPr>
          </a:pPr>
          <a:endParaRPr lang="en-US"/>
        </a:p>
      </c:txPr>
    </c:title>
    <c:autoTitleDeleted val="0"/>
    <c:plotArea>
      <c:layout/>
      <c:barChart>
        <c:barDir val="col"/>
        <c:grouping val="clustered"/>
        <c:varyColors val="0"/>
        <c:ser>
          <c:idx val="0"/>
          <c:order val="0"/>
          <c:tx>
            <c:strRef>
              <c:f>'Résultats généraux'!$E$19</c:f>
              <c:strCache>
                <c:ptCount val="1"/>
                <c:pt idx="0">
                  <c:v>Emissions induites par les consommations françaises de DM</c:v>
                </c:pt>
              </c:strCache>
            </c:strRef>
          </c:tx>
          <c:spPr>
            <a:solidFill>
              <a:schemeClr val="accent1"/>
            </a:solidFill>
            <a:ln>
              <a:noFill/>
            </a:ln>
            <a:effectLst/>
          </c:spPr>
          <c:invertIfNegative val="0"/>
          <c:cat>
            <c:multiLvlStrRef>
              <c:f>'Résultats généraux'!$B$20:$B$21</c:f>
            </c:multiLvlStrRef>
          </c:cat>
          <c:val>
            <c:numRef>
              <c:f>'Résultats généraux'!$E$20:$E$21</c:f>
            </c:numRef>
          </c:val>
          <c:extLst>
            <c:ext xmlns:c16="http://schemas.microsoft.com/office/drawing/2014/chart" uri="{C3380CC4-5D6E-409C-BE32-E72D297353CC}">
              <c16:uniqueId val="{00000000-EDD5-4EE6-A77C-8D6E627C3912}"/>
            </c:ext>
          </c:extLst>
        </c:ser>
        <c:dLbls>
          <c:showLegendKey val="0"/>
          <c:showVal val="0"/>
          <c:showCatName val="0"/>
          <c:showSerName val="0"/>
          <c:showPercent val="0"/>
          <c:showBubbleSize val="0"/>
        </c:dLbls>
        <c:gapWidth val="150"/>
        <c:axId val="863193936"/>
        <c:axId val="863190608"/>
      </c:barChart>
      <c:catAx>
        <c:axId val="863193936"/>
        <c:scaling>
          <c:orientation val="minMax"/>
        </c:scaling>
        <c:delete val="0"/>
        <c:axPos val="b"/>
        <c:title>
          <c:tx>
            <c:rich>
              <a:bodyPr rot="0" spcFirstLastPara="1" vertOverflow="ellipsis" vert="horz" wrap="square" anchor="ctr" anchorCtr="1"/>
              <a:lstStyle/>
              <a:p>
                <a:pPr>
                  <a:defRPr sz="900" b="1" i="0" u="none" strike="noStrike" baseline="0">
                    <a:solidFill>
                      <a:schemeClr val="tx2"/>
                    </a:solidFill>
                    <a:latin typeface="+mn-lt"/>
                    <a:ea typeface="+mn-ea"/>
                    <a:cs typeface="+mn-cs"/>
                  </a:defRPr>
                </a:pPr>
                <a:r>
                  <a:rPr lang="en-GB"/>
                  <a:t>Facteur d'émissions choisi</a:t>
                </a:r>
              </a:p>
            </c:rich>
          </c:tx>
          <c:overlay val="0"/>
          <c:spPr>
            <a:noFill/>
            <a:ln>
              <a:noFill/>
            </a:ln>
            <a:effectLst/>
          </c:spPr>
          <c:txPr>
            <a:bodyPr rot="0" spcFirstLastPara="1" vertOverflow="ellipsis" vert="horz" wrap="square" anchor="ctr" anchorCtr="1"/>
            <a:lstStyle/>
            <a:p>
              <a:pPr>
                <a:defRPr sz="900" b="1" i="0" u="none" strike="noStrike" baseline="0">
                  <a:solidFill>
                    <a:schemeClr val="tx2"/>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baseline="0">
                <a:solidFill>
                  <a:schemeClr val="tx2"/>
                </a:solidFill>
                <a:latin typeface="+mn-lt"/>
                <a:ea typeface="+mn-ea"/>
                <a:cs typeface="+mn-cs"/>
              </a:defRPr>
            </a:pPr>
            <a:endParaRPr lang="en-US"/>
          </a:p>
        </c:txPr>
        <c:crossAx val="863190608"/>
        <c:crosses val="autoZero"/>
        <c:auto val="1"/>
        <c:lblAlgn val="ctr"/>
        <c:lblOffset val="100"/>
        <c:noMultiLvlLbl val="0"/>
      </c:catAx>
      <c:valAx>
        <c:axId val="86319060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1" i="0" u="none" strike="noStrike" baseline="0">
                    <a:solidFill>
                      <a:schemeClr val="tx2"/>
                    </a:solidFill>
                    <a:latin typeface="+mn-lt"/>
                    <a:ea typeface="+mn-ea"/>
                    <a:cs typeface="+mn-cs"/>
                  </a:defRPr>
                </a:pPr>
                <a:r>
                  <a:rPr lang="en-GB"/>
                  <a:t>Emissions (en ktCO2e)</a:t>
                </a:r>
              </a:p>
            </c:rich>
          </c:tx>
          <c:overlay val="0"/>
          <c:spPr>
            <a:noFill/>
            <a:ln>
              <a:noFill/>
            </a:ln>
            <a:effectLst/>
          </c:spPr>
          <c:txPr>
            <a:bodyPr rot="-5400000" spcFirstLastPara="1" vertOverflow="ellipsis" vert="horz" wrap="square" anchor="ctr" anchorCtr="1"/>
            <a:lstStyle/>
            <a:p>
              <a:pPr>
                <a:defRPr sz="900" b="1" i="0" u="none" strike="noStrike" baseline="0">
                  <a:solidFill>
                    <a:schemeClr val="tx2"/>
                  </a:solidFill>
                  <a:latin typeface="+mn-lt"/>
                  <a:ea typeface="+mn-ea"/>
                  <a:cs typeface="+mn-cs"/>
                </a:defRPr>
              </a:pPr>
              <a:endParaRPr lang="en-US"/>
            </a:p>
          </c:txPr>
        </c:title>
        <c:numFmt formatCode="_ * #\ ##0_)_ ;_ * \(#\ ##0\)_ ;_ * &quot;-&quot;??_)_ ;_ @_ " sourceLinked="1"/>
        <c:majorTickMark val="out"/>
        <c:minorTickMark val="none"/>
        <c:tickLblPos val="nextTo"/>
        <c:spPr>
          <a:noFill/>
          <a:ln>
            <a:noFill/>
          </a:ln>
          <a:effectLst/>
        </c:spPr>
        <c:txPr>
          <a:bodyPr rot="-60000000" spcFirstLastPara="1" vertOverflow="ellipsis" vert="horz" wrap="square" anchor="ctr" anchorCtr="1"/>
          <a:lstStyle/>
          <a:p>
            <a:pPr>
              <a:defRPr sz="900" b="1" i="0" u="none" strike="noStrike" baseline="0">
                <a:solidFill>
                  <a:schemeClr val="tx2"/>
                </a:solidFill>
                <a:latin typeface="+mn-lt"/>
                <a:ea typeface="+mn-ea"/>
                <a:cs typeface="+mn-cs"/>
              </a:defRPr>
            </a:pPr>
            <a:endParaRPr lang="en-US"/>
          </a:p>
        </c:txPr>
        <c:crossAx val="86319393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b="1">
          <a:solidFill>
            <a:schemeClr val="tx2"/>
          </a:solidFill>
        </a:defRPr>
      </a:pPr>
      <a:endParaRPr lang="en-US"/>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2"/>
                </a:solidFill>
                <a:latin typeface="+mn-lt"/>
                <a:ea typeface="+mn-ea"/>
                <a:cs typeface="+mn-cs"/>
              </a:defRPr>
            </a:pPr>
            <a:r>
              <a:rPr lang="en-GB" b="1">
                <a:solidFill>
                  <a:schemeClr val="tx2"/>
                </a:solidFill>
              </a:rPr>
              <a:t>Répartition des remboursements d'implants de genou</a:t>
            </a:r>
          </a:p>
        </c:rich>
      </c:tx>
      <c:layout>
        <c:manualLayout>
          <c:xMode val="edge"/>
          <c:yMode val="edge"/>
          <c:x val="0.17368003832764764"/>
          <c:y val="1.4884498634610952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2"/>
              </a:solidFill>
              <a:latin typeface="+mn-lt"/>
              <a:ea typeface="+mn-ea"/>
              <a:cs typeface="+mn-cs"/>
            </a:defRPr>
          </a:pPr>
          <a:endParaRPr lang="en-US"/>
        </a:p>
      </c:txPr>
    </c:title>
    <c:autoTitleDeleted val="0"/>
    <c:plotArea>
      <c:layout>
        <c:manualLayout>
          <c:layoutTarget val="inner"/>
          <c:xMode val="edge"/>
          <c:yMode val="edge"/>
          <c:x val="8.6927975517926331E-2"/>
          <c:y val="0.25413777341964522"/>
          <c:w val="0.33372595332138522"/>
          <c:h val="0.58698524442221967"/>
        </c:manualLayout>
      </c:layout>
      <c:doughnutChart>
        <c:varyColors val="1"/>
        <c:ser>
          <c:idx val="0"/>
          <c:order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multiLvlStrRef>
              <c:f>'Implants orthopédiques'!$B$97:$B$103</c:f>
            </c:multiLvlStrRef>
          </c:cat>
          <c:val>
            <c:numRef>
              <c:f>'Implants orthopédiques'!$C$97:$C$103</c:f>
            </c:numRef>
          </c:val>
          <c:extLst>
            <c:ext xmlns:c16="http://schemas.microsoft.com/office/drawing/2014/chart" uri="{C3380CC4-5D6E-409C-BE32-E72D297353CC}">
              <c16:uniqueId val="{0000000E-340C-40B6-B3EB-E20CB00B6EB7}"/>
            </c:ext>
          </c:extLst>
        </c:ser>
        <c:dLbls>
          <c:showLegendKey val="0"/>
          <c:showVal val="0"/>
          <c:showCatName val="0"/>
          <c:showSerName val="0"/>
          <c:showPercent val="1"/>
          <c:showBubbleSize val="0"/>
          <c:showLeaderLines val="1"/>
        </c:dLbls>
        <c:firstSliceAng val="0"/>
        <c:holeSize val="50"/>
      </c:doughnutChart>
      <c:spPr>
        <a:noFill/>
        <a:ln>
          <a:noFill/>
        </a:ln>
        <a:effectLst/>
      </c:spPr>
    </c:plotArea>
    <c:legend>
      <c:legendPos val="r"/>
      <c:layout>
        <c:manualLayout>
          <c:xMode val="edge"/>
          <c:yMode val="edge"/>
          <c:x val="0.42326752080578678"/>
          <c:y val="0.21646436510385941"/>
          <c:w val="0.55617823422288448"/>
          <c:h val="0.78353563489614053"/>
        </c:manualLayout>
      </c:layout>
      <c:overlay val="0"/>
      <c:spPr>
        <a:noFill/>
        <a:ln>
          <a:noFill/>
        </a:ln>
        <a:effectLst/>
      </c:spPr>
      <c:txPr>
        <a:bodyPr rot="0" spcFirstLastPara="1" vertOverflow="ellipsis" vert="horz" wrap="square" anchor="ctr" anchorCtr="1"/>
        <a:lstStyle/>
        <a:p>
          <a:pPr>
            <a:defRPr sz="900" b="1"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2"/>
                </a:solidFill>
                <a:latin typeface="+mn-lt"/>
                <a:ea typeface="+mn-ea"/>
                <a:cs typeface="+mn-cs"/>
              </a:defRPr>
            </a:pPr>
            <a:r>
              <a:rPr lang="en-GB" b="1">
                <a:solidFill>
                  <a:schemeClr val="tx2"/>
                </a:solidFill>
              </a:rPr>
              <a:t>Répartition des remboursements d'implants de hanche</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2"/>
              </a:solidFill>
              <a:latin typeface="+mn-lt"/>
              <a:ea typeface="+mn-ea"/>
              <a:cs typeface="+mn-cs"/>
            </a:defRPr>
          </a:pPr>
          <a:endParaRPr lang="en-US"/>
        </a:p>
      </c:txPr>
    </c:title>
    <c:autoTitleDeleted val="0"/>
    <c:plotArea>
      <c:layout>
        <c:manualLayout>
          <c:layoutTarget val="inner"/>
          <c:xMode val="edge"/>
          <c:yMode val="edge"/>
          <c:x val="9.0026819726579499E-2"/>
          <c:y val="0.17615503174977409"/>
          <c:w val="0.3750060178140176"/>
          <c:h val="0.70580441751271117"/>
        </c:manualLayout>
      </c:layout>
      <c:doughnutChart>
        <c:varyColors val="1"/>
        <c:ser>
          <c:idx val="0"/>
          <c:order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accent1"/>
                    </a:solidFill>
                    <a:latin typeface="+mn-lt"/>
                    <a:ea typeface="+mn-ea"/>
                    <a:cs typeface="+mn-cs"/>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multiLvlStrRef>
              <c:f>'Implants orthopédiques'!$B$125:$B$137</c:f>
            </c:multiLvlStrRef>
          </c:cat>
          <c:val>
            <c:numRef>
              <c:f>'Implants orthopédiques'!$C$125:$C$137</c:f>
            </c:numRef>
          </c:val>
          <c:extLst>
            <c:ext xmlns:c16="http://schemas.microsoft.com/office/drawing/2014/chart" uri="{C3380CC4-5D6E-409C-BE32-E72D297353CC}">
              <c16:uniqueId val="{0000001A-0676-40AA-B61A-686FD7A178BF}"/>
            </c:ext>
          </c:extLst>
        </c:ser>
        <c:dLbls>
          <c:showLegendKey val="0"/>
          <c:showVal val="0"/>
          <c:showCatName val="0"/>
          <c:showSerName val="0"/>
          <c:showPercent val="1"/>
          <c:showBubbleSize val="0"/>
          <c:showLeaderLines val="1"/>
        </c:dLbls>
        <c:firstSliceAng val="0"/>
        <c:holeSize val="50"/>
      </c:doughnutChart>
      <c:spPr>
        <a:noFill/>
        <a:ln>
          <a:noFill/>
        </a:ln>
        <a:effectLst/>
      </c:spPr>
    </c:plotArea>
    <c:legend>
      <c:legendPos val="r"/>
      <c:layout>
        <c:manualLayout>
          <c:xMode val="edge"/>
          <c:yMode val="edge"/>
          <c:x val="0.50802828718763515"/>
          <c:y val="0.14959577146465947"/>
          <c:w val="0.47970261774507233"/>
          <c:h val="0.79740934934933727"/>
        </c:manualLayout>
      </c:layout>
      <c:overlay val="0"/>
      <c:spPr>
        <a:noFill/>
        <a:ln>
          <a:noFill/>
        </a:ln>
        <a:effectLst/>
      </c:spPr>
      <c:txPr>
        <a:bodyPr rot="0" spcFirstLastPara="1" vertOverflow="ellipsis" vert="horz" wrap="square" anchor="ctr" anchorCtr="1"/>
        <a:lstStyle/>
        <a:p>
          <a:pPr>
            <a:defRPr sz="900" b="1"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tx2"/>
                </a:solidFill>
                <a:latin typeface="+mn-lt"/>
                <a:ea typeface="+mn-ea"/>
                <a:cs typeface="+mn-cs"/>
              </a:defRPr>
            </a:pPr>
            <a:r>
              <a:rPr lang="en-GB" sz="1200" b="1">
                <a:solidFill>
                  <a:schemeClr val="tx2"/>
                </a:solidFill>
              </a:rPr>
              <a:t>Répartition des remboursements d'implants de rachis</a:t>
            </a:r>
          </a:p>
        </c:rich>
      </c:tx>
      <c:overlay val="0"/>
      <c:spPr>
        <a:noFill/>
        <a:ln>
          <a:noFill/>
        </a:ln>
        <a:effectLst/>
      </c:spPr>
      <c:txPr>
        <a:bodyPr rot="0" spcFirstLastPara="1" vertOverflow="ellipsis" vert="horz" wrap="square" anchor="ctr" anchorCtr="1"/>
        <a:lstStyle/>
        <a:p>
          <a:pPr>
            <a:defRPr sz="1200" b="1" i="0" u="none" strike="noStrike" kern="1200" spc="0" baseline="0">
              <a:solidFill>
                <a:schemeClr val="tx2"/>
              </a:solidFill>
              <a:latin typeface="+mn-lt"/>
              <a:ea typeface="+mn-ea"/>
              <a:cs typeface="+mn-cs"/>
            </a:defRPr>
          </a:pPr>
          <a:endParaRPr lang="en-US"/>
        </a:p>
      </c:txPr>
    </c:title>
    <c:autoTitleDeleted val="0"/>
    <c:plotArea>
      <c:layout>
        <c:manualLayout>
          <c:layoutTarget val="inner"/>
          <c:xMode val="edge"/>
          <c:yMode val="edge"/>
          <c:x val="5.6559996737637244E-2"/>
          <c:y val="0.27955710223113966"/>
          <c:w val="0.41462651983571991"/>
          <c:h val="0.62109276387049672"/>
        </c:manualLayout>
      </c:layout>
      <c:doughnutChart>
        <c:varyColors val="1"/>
        <c:ser>
          <c:idx val="0"/>
          <c:order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accent1"/>
                    </a:solidFill>
                    <a:latin typeface="+mn-lt"/>
                    <a:ea typeface="+mn-ea"/>
                    <a:cs typeface="+mn-cs"/>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multiLvlStrRef>
              <c:f>'Implants orthopédiques'!$B$156:$B$163</c:f>
            </c:multiLvlStrRef>
          </c:cat>
          <c:val>
            <c:numRef>
              <c:f>'Implants orthopédiques'!$C$156:$C$163</c:f>
            </c:numRef>
          </c:val>
          <c:extLst>
            <c:ext xmlns:c16="http://schemas.microsoft.com/office/drawing/2014/chart" uri="{C3380CC4-5D6E-409C-BE32-E72D297353CC}">
              <c16:uniqueId val="{00000010-79E5-41A6-8E74-B3A292CB9C92}"/>
            </c:ext>
          </c:extLst>
        </c:ser>
        <c:dLbls>
          <c:showLegendKey val="0"/>
          <c:showVal val="0"/>
          <c:showCatName val="0"/>
          <c:showSerName val="0"/>
          <c:showPercent val="1"/>
          <c:showBubbleSize val="0"/>
          <c:showLeaderLines val="1"/>
        </c:dLbls>
        <c:firstSliceAng val="0"/>
        <c:holeSize val="50"/>
      </c:doughnutChart>
      <c:spPr>
        <a:noFill/>
        <a:ln>
          <a:noFill/>
        </a:ln>
        <a:effectLst/>
      </c:spPr>
    </c:plotArea>
    <c:legend>
      <c:legendPos val="r"/>
      <c:layout>
        <c:manualLayout>
          <c:xMode val="edge"/>
          <c:yMode val="edge"/>
          <c:x val="0.49603543108579778"/>
          <c:y val="0.21526106922400523"/>
          <c:w val="0.47037511602172349"/>
          <c:h val="0.69696182782830018"/>
        </c:manualLayout>
      </c:layout>
      <c:overlay val="0"/>
      <c:spPr>
        <a:noFill/>
        <a:ln>
          <a:noFill/>
        </a:ln>
        <a:effectLst/>
      </c:spPr>
      <c:txPr>
        <a:bodyPr rot="0" spcFirstLastPara="1" vertOverflow="ellipsis" vert="horz" wrap="square" anchor="ctr" anchorCtr="1"/>
        <a:lstStyle/>
        <a:p>
          <a:pPr>
            <a:defRPr sz="900" b="1"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6572916482899386E-2"/>
          <c:y val="5.350553505535055E-2"/>
          <c:w val="0.40527630132208292"/>
          <c:h val="0.87380962855828259"/>
        </c:manualLayout>
      </c:layout>
      <c:doughnutChart>
        <c:varyColors val="1"/>
        <c:ser>
          <c:idx val="0"/>
          <c:order val="0"/>
          <c:tx>
            <c:strRef>
              <c:f>'Implants orthopédiques'!$B$311</c:f>
              <c:strCache>
                <c:ptCount val="1"/>
                <c:pt idx="0">
                  <c:v>Prothèses articulaires orthopédiques</c:v>
                </c:pt>
              </c:strCache>
            </c:strRef>
          </c:tx>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val>
            <c:numRef>
              <c:f>'Implants orthopédiques'!$C$311:$E$311</c:f>
            </c:numRef>
          </c:val>
          <c:extLst>
            <c:ext xmlns:c15="http://schemas.microsoft.com/office/drawing/2012/chart" uri="{02D57815-91ED-43cb-92C2-25804820EDAC}">
              <c15:filteredCategoryTitle>
                <c15:cat>
                  <c:multiLvlStrRef>
                    <c:extLst>
                      <c:ext uri="{02D57815-91ED-43cb-92C2-25804820EDAC}">
                        <c15:formulaRef>
                          <c15:sqref>'Implants orthopédiques'!$C$310:$E$310</c15:sqref>
                        </c15:formulaRef>
                      </c:ext>
                    </c:extLst>
                  </c:multiLvlStrRef>
                </c15:cat>
              </c15:filteredCategoryTitle>
            </c:ext>
            <c:ext xmlns:c16="http://schemas.microsoft.com/office/drawing/2014/chart" uri="{C3380CC4-5D6E-409C-BE32-E72D297353CC}">
              <c16:uniqueId val="{00000000-73D5-4638-8F71-118C1373A269}"/>
            </c:ext>
          </c:extLst>
        </c:ser>
        <c:dLbls>
          <c:showLegendKey val="0"/>
          <c:showVal val="0"/>
          <c:showCatName val="0"/>
          <c:showSerName val="0"/>
          <c:showPercent val="1"/>
          <c:showBubbleSize val="0"/>
          <c:showLeaderLines val="1"/>
        </c:dLbls>
        <c:firstSliceAng val="0"/>
        <c:holeSize val="50"/>
      </c:doughnutChart>
      <c:spPr>
        <a:noFill/>
        <a:ln>
          <a:noFill/>
        </a:ln>
        <a:effectLst/>
      </c:spPr>
    </c:plotArea>
    <c:legend>
      <c:legendPos val="r"/>
      <c:layout>
        <c:manualLayout>
          <c:xMode val="edge"/>
          <c:yMode val="edge"/>
          <c:x val="0.50038949806930111"/>
          <c:y val="0.13975533570536897"/>
          <c:w val="0.40083804255805755"/>
          <c:h val="0.64672983540565654"/>
        </c:manualLayout>
      </c:layout>
      <c:overlay val="0"/>
      <c:spPr>
        <a:noFill/>
        <a:ln>
          <a:noFill/>
        </a:ln>
        <a:effectLst/>
      </c:spPr>
      <c:txPr>
        <a:bodyPr rot="0" spcFirstLastPara="1" vertOverflow="ellipsis" vert="horz" wrap="square" anchor="ctr" anchorCtr="1"/>
        <a:lstStyle/>
        <a:p>
          <a:pPr>
            <a:defRPr sz="1000" b="1"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tx>
            <c:strRef>
              <c:f>'Implants orthopédiques'!$B$337</c:f>
              <c:strCache>
                <c:ptCount val="1"/>
                <c:pt idx="0">
                  <c:v>Dents artificielles</c:v>
                </c:pt>
              </c:strCache>
            </c:strRef>
          </c:tx>
          <c:val>
            <c:numRef>
              <c:f>'Implants orthopédiques'!$C$337:$D$337</c:f>
            </c:numRef>
          </c:val>
          <c:extLst>
            <c:ext xmlns:c15="http://schemas.microsoft.com/office/drawing/2012/chart" uri="{02D57815-91ED-43cb-92C2-25804820EDAC}">
              <c15:filteredCategoryTitle>
                <c15:cat>
                  <c:multiLvlStrRef>
                    <c:extLst>
                      <c:ext uri="{02D57815-91ED-43cb-92C2-25804820EDAC}">
                        <c15:formulaRef>
                          <c15:sqref>'Implants orthopédiques'!$C$336:$D$336</c15:sqref>
                        </c15:formulaRef>
                      </c:ext>
                    </c:extLst>
                  </c:multiLvlStrRef>
                </c15:cat>
              </c15:filteredCategoryTitle>
            </c:ext>
            <c:ext xmlns:c16="http://schemas.microsoft.com/office/drawing/2014/chart" uri="{C3380CC4-5D6E-409C-BE32-E72D297353CC}">
              <c16:uniqueId val="{00000000-3763-4EF1-81C6-55FF8111A87D}"/>
            </c:ext>
          </c:extLst>
        </c:ser>
        <c:dLbls>
          <c:showLegendKey val="0"/>
          <c:showVal val="0"/>
          <c:showCatName val="0"/>
          <c:showSerName val="0"/>
          <c:showPercent val="0"/>
          <c:showBubbleSize val="0"/>
          <c:showLeaderLines val="1"/>
        </c:dLbls>
        <c:firstSliceAng val="0"/>
        <c:holeSize val="75"/>
      </c:doughnutChart>
      <c:spPr>
        <a:noFill/>
        <a:ln>
          <a:noFill/>
        </a:ln>
        <a:effectLst/>
      </c:spPr>
    </c:plotArea>
    <c:legend>
      <c:legendPos val="r"/>
      <c:overlay val="0"/>
      <c:spPr>
        <a:noFill/>
        <a:ln>
          <a:noFill/>
        </a:ln>
        <a:effectLst/>
      </c:spPr>
      <c:txPr>
        <a:bodyPr rot="0" spcFirstLastPara="1" vertOverflow="ellipsis" vert="horz" wrap="square" anchor="ctr" anchorCtr="1"/>
        <a:lstStyle/>
        <a:p>
          <a:pPr>
            <a:defRPr sz="1050" b="1"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tx>
            <c:strRef>
              <c:f>'Implants orthopédiques'!$B$338</c:f>
              <c:strCache>
                <c:ptCount val="1"/>
                <c:pt idx="0">
                  <c:v>Prothèses articulaires d'orthopédie</c:v>
                </c:pt>
              </c:strCache>
            </c:strRef>
          </c:tx>
          <c:val>
            <c:numRef>
              <c:f>'Implants orthopédiques'!$C$338:$D$338</c:f>
            </c:numRef>
          </c:val>
          <c:extLst>
            <c:ext xmlns:c15="http://schemas.microsoft.com/office/drawing/2012/chart" uri="{02D57815-91ED-43cb-92C2-25804820EDAC}">
              <c15:filteredCategoryTitle>
                <c15:cat>
                  <c:multiLvlStrRef>
                    <c:extLst>
                      <c:ext uri="{02D57815-91ED-43cb-92C2-25804820EDAC}">
                        <c15:formulaRef>
                          <c15:sqref>'Implants orthopédiques'!$C$336:$D$336</c15:sqref>
                        </c15:formulaRef>
                      </c:ext>
                    </c:extLst>
                  </c:multiLvlStrRef>
                </c15:cat>
              </c15:filteredCategoryTitle>
            </c:ext>
            <c:ext xmlns:c16="http://schemas.microsoft.com/office/drawing/2014/chart" uri="{C3380CC4-5D6E-409C-BE32-E72D297353CC}">
              <c16:uniqueId val="{00000004-99B4-4CDC-A562-E2B3913527E2}"/>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tx>
            <c:strRef>
              <c:f>'Implants orthopédiques'!$B$339</c:f>
              <c:strCache>
                <c:ptCount val="1"/>
                <c:pt idx="0">
                  <c:v>Articles et appareils de prothèse (sauf de prothèse dentaire, prothèses articulaires et prothèses oculaires)</c:v>
                </c:pt>
              </c:strCache>
            </c:strRef>
          </c:tx>
          <c:val>
            <c:numRef>
              <c:f>'Implants orthopédiques'!$C$339:$D$339</c:f>
            </c:numRef>
          </c:val>
          <c:extLst>
            <c:ext xmlns:c15="http://schemas.microsoft.com/office/drawing/2012/chart" uri="{02D57815-91ED-43cb-92C2-25804820EDAC}">
              <c15:filteredCategoryTitle>
                <c15:cat>
                  <c:multiLvlStrRef>
                    <c:extLst>
                      <c:ext uri="{02D57815-91ED-43cb-92C2-25804820EDAC}">
                        <c15:formulaRef>
                          <c15:sqref>'Implants orthopédiques'!$C$336:$D$336</c15:sqref>
                        </c15:formulaRef>
                      </c:ext>
                    </c:extLst>
                  </c:multiLvlStrRef>
                </c15:cat>
              </c15:filteredCategoryTitle>
            </c:ext>
            <c:ext xmlns:c16="http://schemas.microsoft.com/office/drawing/2014/chart" uri="{C3380CC4-5D6E-409C-BE32-E72D297353CC}">
              <c16:uniqueId val="{00000004-0840-4F05-9545-61FBAA748F72}"/>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tx>
            <c:strRef>
              <c:f>'Implants orthopédiques'!$B$340</c:f>
              <c:strCache>
                <c:ptCount val="1"/>
                <c:pt idx="0">
                  <c:v>Stimulateurs cardiaques</c:v>
                </c:pt>
              </c:strCache>
            </c:strRef>
          </c:tx>
          <c:val>
            <c:numRef>
              <c:f>'Implants orthopédiques'!$C$340:$D$340</c:f>
            </c:numRef>
          </c:val>
          <c:extLst>
            <c:ext xmlns:c15="http://schemas.microsoft.com/office/drawing/2012/chart" uri="{02D57815-91ED-43cb-92C2-25804820EDAC}">
              <c15:filteredCategoryTitle>
                <c15:cat>
                  <c:multiLvlStrRef>
                    <c:extLst>
                      <c:ext uri="{02D57815-91ED-43cb-92C2-25804820EDAC}">
                        <c15:formulaRef>
                          <c15:sqref>'Implants orthopédiques'!$C$336:$D$336</c15:sqref>
                        </c15:formulaRef>
                      </c:ext>
                    </c:extLst>
                  </c:multiLvlStrRef>
                </c15:cat>
              </c15:filteredCategoryTitle>
            </c:ext>
            <c:ext xmlns:c16="http://schemas.microsoft.com/office/drawing/2014/chart" uri="{C3380CC4-5D6E-409C-BE32-E72D297353CC}">
              <c16:uniqueId val="{00000004-75D1-4277-9A7C-A1E3EEED37B4}"/>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val>
            <c:numRef>
              <c:f>'Implants orthopédiques'!$D$14:$I$14</c:f>
            </c:numRef>
          </c:val>
          <c:extLst>
            <c:ext xmlns:c15="http://schemas.microsoft.com/office/drawing/2012/chart" uri="{02D57815-91ED-43cb-92C2-25804820EDAC}">
              <c15:filteredCategoryTitle>
                <c15:cat>
                  <c:multiLvlStrRef>
                    <c:extLst>
                      <c:ext uri="{02D57815-91ED-43cb-92C2-25804820EDAC}">
                        <c15:formulaRef>
                          <c15:sqref>'Implants orthopédiques'!$D$11:$I$11</c15:sqref>
                        </c15:formulaRef>
                      </c:ext>
                    </c:extLst>
                  </c:multiLvlStrRef>
                </c15:cat>
              </c15:filteredCategoryTitle>
            </c:ext>
            <c:ext xmlns:c16="http://schemas.microsoft.com/office/drawing/2014/chart" uri="{C3380CC4-5D6E-409C-BE32-E72D297353CC}">
              <c16:uniqueId val="{00000000-2D60-4146-8E30-789C32BEF84A}"/>
            </c:ext>
          </c:extLst>
        </c:ser>
        <c:dLbls>
          <c:showLegendKey val="0"/>
          <c:showVal val="0"/>
          <c:showCatName val="0"/>
          <c:showSerName val="0"/>
          <c:showPercent val="1"/>
          <c:showBubbleSize val="0"/>
          <c:showLeaderLines val="1"/>
        </c:dLbls>
        <c:firstSliceAng val="0"/>
        <c:holeSize val="50"/>
      </c:doughnutChart>
      <c:spPr>
        <a:noFill/>
        <a:ln>
          <a:noFill/>
        </a:ln>
        <a:effectLst/>
      </c:spPr>
    </c:plotArea>
    <c:legend>
      <c:legendPos val="r"/>
      <c:layout>
        <c:manualLayout>
          <c:xMode val="edge"/>
          <c:yMode val="edge"/>
          <c:x val="0.52751695474508231"/>
          <c:y val="0.15350816573112605"/>
          <c:w val="0.43204241323619902"/>
          <c:h val="0.73234399359165836"/>
        </c:manualLayout>
      </c:layout>
      <c:overlay val="0"/>
      <c:spPr>
        <a:noFill/>
        <a:ln>
          <a:noFill/>
        </a:ln>
        <a:effectLst/>
      </c:spPr>
      <c:txPr>
        <a:bodyPr rot="0" spcFirstLastPara="1" vertOverflow="ellipsis" vert="horz" wrap="square" anchor="ctr" anchorCtr="1"/>
        <a:lstStyle/>
        <a:p>
          <a:pPr>
            <a:defRPr sz="1000" b="1"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2322834645669288E-2"/>
          <c:y val="0.21064814814814814"/>
          <c:w val="0.40555555555555556"/>
          <c:h val="0.67592592592592593"/>
        </c:manualLayout>
      </c:layout>
      <c:doughnutChart>
        <c:varyColors val="1"/>
        <c:ser>
          <c:idx val="0"/>
          <c:order val="0"/>
          <c:tx>
            <c:strRef>
              <c:f>'Implants orthopédiques'!$Q$309</c:f>
              <c:strCache>
                <c:ptCount val="1"/>
                <c:pt idx="0">
                  <c:v>Prothèses articulaires orthopédiques</c:v>
                </c:pt>
              </c:strCache>
            </c:strRef>
          </c:tx>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val>
            <c:numRef>
              <c:f>'Implants orthopédiques'!$R$309:$T$309</c:f>
            </c:numRef>
          </c:val>
          <c:extLst>
            <c:ext xmlns:c15="http://schemas.microsoft.com/office/drawing/2012/chart" uri="{02D57815-91ED-43cb-92C2-25804820EDAC}">
              <c15:filteredCategoryTitle>
                <c15:cat>
                  <c:multiLvlStrRef>
                    <c:extLst>
                      <c:ext uri="{02D57815-91ED-43cb-92C2-25804820EDAC}">
                        <c15:formulaRef>
                          <c15:sqref>'Implants orthopédiques'!$R$308:$T$308</c15:sqref>
                        </c15:formulaRef>
                      </c:ext>
                    </c:extLst>
                  </c:multiLvlStrRef>
                </c15:cat>
              </c15:filteredCategoryTitle>
            </c:ext>
            <c:ext xmlns:c16="http://schemas.microsoft.com/office/drawing/2014/chart" uri="{C3380CC4-5D6E-409C-BE32-E72D297353CC}">
              <c16:uniqueId val="{00000006-2816-414D-8404-9CB599F7C811}"/>
            </c:ext>
          </c:extLst>
        </c:ser>
        <c:dLbls>
          <c:showLegendKey val="0"/>
          <c:showVal val="0"/>
          <c:showCatName val="0"/>
          <c:showSerName val="0"/>
          <c:showPercent val="1"/>
          <c:showBubbleSize val="0"/>
          <c:showLeaderLines val="1"/>
        </c:dLbls>
        <c:firstSliceAng val="0"/>
        <c:holeSize val="50"/>
      </c:doughnutChart>
      <c:spPr>
        <a:noFill/>
        <a:ln>
          <a:noFill/>
        </a:ln>
        <a:effectLst/>
      </c:spPr>
    </c:plotArea>
    <c:legend>
      <c:legendPos val="r"/>
      <c:layout>
        <c:manualLayout>
          <c:xMode val="edge"/>
          <c:yMode val="edge"/>
          <c:x val="0.52198468941382326"/>
          <c:y val="0.35509915427238264"/>
          <c:w val="0.37924300087489066"/>
          <c:h val="0.39064523184601924"/>
        </c:manualLayout>
      </c:layout>
      <c:overlay val="0"/>
      <c:spPr>
        <a:noFill/>
        <a:ln>
          <a:noFill/>
        </a:ln>
        <a:effectLst/>
      </c:spPr>
      <c:txPr>
        <a:bodyPr rot="0" spcFirstLastPara="1" vertOverflow="ellipsis" vert="horz" wrap="square" anchor="ctr" anchorCtr="1"/>
        <a:lstStyle/>
        <a:p>
          <a:pPr>
            <a:defRPr sz="1000" b="1"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2"/>
                </a:solidFill>
                <a:latin typeface="+mn-lt"/>
                <a:ea typeface="+mn-ea"/>
                <a:cs typeface="+mn-cs"/>
              </a:defRPr>
            </a:pPr>
            <a:r>
              <a:rPr lang="en-GB" sz="1600"/>
              <a:t>Comparaison</a:t>
            </a:r>
            <a:r>
              <a:rPr lang="en-GB" sz="1600" baseline="0"/>
              <a:t> de l'empreinte carbone en fonction du pays de production</a:t>
            </a:r>
            <a:endParaRPr lang="en-GB" sz="1600"/>
          </a:p>
        </c:rich>
      </c:tx>
      <c:layout>
        <c:manualLayout>
          <c:xMode val="edge"/>
          <c:yMode val="edge"/>
          <c:x val="0.1291366956916338"/>
          <c:y val="0.94225002008229275"/>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chemeClr val="tx2"/>
              </a:solidFill>
              <a:latin typeface="+mn-lt"/>
              <a:ea typeface="+mn-ea"/>
              <a:cs typeface="+mn-cs"/>
            </a:defRPr>
          </a:pPr>
          <a:endParaRPr lang="en-US"/>
        </a:p>
      </c:txPr>
    </c:title>
    <c:autoTitleDeleted val="0"/>
    <c:plotArea>
      <c:layout>
        <c:manualLayout>
          <c:layoutTarget val="inner"/>
          <c:xMode val="edge"/>
          <c:yMode val="edge"/>
          <c:x val="0.12750984675884353"/>
          <c:y val="0.22019081153288886"/>
          <c:w val="0.85411507304525613"/>
          <c:h val="0.54780924499504635"/>
        </c:manualLayout>
      </c:layout>
      <c:barChart>
        <c:barDir val="col"/>
        <c:grouping val="stacked"/>
        <c:varyColors val="0"/>
        <c:ser>
          <c:idx val="0"/>
          <c:order val="0"/>
          <c:tx>
            <c:strRef>
              <c:f>'Résultats relocalisation'!$B$15</c:f>
              <c:strCache>
                <c:ptCount val="1"/>
                <c:pt idx="0">
                  <c:v> Matières premières </c:v>
                </c:pt>
              </c:strCache>
            </c:strRef>
          </c:tx>
          <c:spPr>
            <a:solidFill>
              <a:schemeClr val="accent1"/>
            </a:solidFill>
            <a:ln>
              <a:noFill/>
            </a:ln>
            <a:effectLst/>
          </c:spPr>
          <c:invertIfNegative val="0"/>
          <c:val>
            <c:numRef>
              <c:f>'Résultats relocalisation'!$C$15:$J$15</c:f>
            </c:numRef>
          </c:val>
          <c:extLst>
            <c:ext xmlns:c15="http://schemas.microsoft.com/office/drawing/2012/chart" uri="{02D57815-91ED-43cb-92C2-25804820EDAC}">
              <c15:filteredCategoryTitle>
                <c15:cat>
                  <c:multiLvlStrRef>
                    <c:extLst>
                      <c:ext uri="{02D57815-91ED-43cb-92C2-25804820EDAC}">
                        <c15:formulaRef>
                          <c15:sqref>'Résultats relocalisation'!$C$14:$J$14</c15:sqref>
                        </c15:formulaRef>
                      </c:ext>
                    </c:extLst>
                  </c:multiLvlStrRef>
                </c15:cat>
              </c15:filteredCategoryTitle>
            </c:ext>
            <c:ext xmlns:c16="http://schemas.microsoft.com/office/drawing/2014/chart" uri="{C3380CC4-5D6E-409C-BE32-E72D297353CC}">
              <c16:uniqueId val="{00000000-7F71-4EF7-ADAF-9E730437C449}"/>
            </c:ext>
          </c:extLst>
        </c:ser>
        <c:ser>
          <c:idx val="1"/>
          <c:order val="1"/>
          <c:tx>
            <c:strRef>
              <c:f>'Résultats relocalisation'!$B$16</c:f>
              <c:strCache>
                <c:ptCount val="1"/>
                <c:pt idx="0">
                  <c:v> Production </c:v>
                </c:pt>
              </c:strCache>
            </c:strRef>
          </c:tx>
          <c:spPr>
            <a:solidFill>
              <a:schemeClr val="accent2"/>
            </a:solidFill>
            <a:ln>
              <a:noFill/>
            </a:ln>
            <a:effectLst/>
          </c:spPr>
          <c:invertIfNegative val="0"/>
          <c:val>
            <c:numRef>
              <c:f>'Résultats relocalisation'!$C$16:$J$16</c:f>
            </c:numRef>
          </c:val>
          <c:extLst>
            <c:ext xmlns:c15="http://schemas.microsoft.com/office/drawing/2012/chart" uri="{02D57815-91ED-43cb-92C2-25804820EDAC}">
              <c15:filteredCategoryTitle>
                <c15:cat>
                  <c:multiLvlStrRef>
                    <c:extLst>
                      <c:ext uri="{02D57815-91ED-43cb-92C2-25804820EDAC}">
                        <c15:formulaRef>
                          <c15:sqref>'Résultats relocalisation'!$C$14:$J$14</c15:sqref>
                        </c15:formulaRef>
                      </c:ext>
                    </c:extLst>
                  </c:multiLvlStrRef>
                </c15:cat>
              </c15:filteredCategoryTitle>
            </c:ext>
            <c:ext xmlns:c16="http://schemas.microsoft.com/office/drawing/2014/chart" uri="{C3380CC4-5D6E-409C-BE32-E72D297353CC}">
              <c16:uniqueId val="{00000001-7F71-4EF7-ADAF-9E730437C449}"/>
            </c:ext>
          </c:extLst>
        </c:ser>
        <c:ser>
          <c:idx val="2"/>
          <c:order val="2"/>
          <c:tx>
            <c:strRef>
              <c:f>'Résultats relocalisation'!$B$17</c:f>
              <c:strCache>
                <c:ptCount val="1"/>
                <c:pt idx="0">
                  <c:v> Emballages </c:v>
                </c:pt>
              </c:strCache>
            </c:strRef>
          </c:tx>
          <c:spPr>
            <a:solidFill>
              <a:schemeClr val="accent3"/>
            </a:solidFill>
            <a:ln>
              <a:noFill/>
            </a:ln>
            <a:effectLst/>
          </c:spPr>
          <c:invertIfNegative val="0"/>
          <c:val>
            <c:numRef>
              <c:f>'Résultats relocalisation'!$C$17:$J$17</c:f>
            </c:numRef>
          </c:val>
          <c:extLst>
            <c:ext xmlns:c15="http://schemas.microsoft.com/office/drawing/2012/chart" uri="{02D57815-91ED-43cb-92C2-25804820EDAC}">
              <c15:filteredCategoryTitle>
                <c15:cat>
                  <c:multiLvlStrRef>
                    <c:extLst>
                      <c:ext uri="{02D57815-91ED-43cb-92C2-25804820EDAC}">
                        <c15:formulaRef>
                          <c15:sqref>'Résultats relocalisation'!$C$14:$J$14</c15:sqref>
                        </c15:formulaRef>
                      </c:ext>
                    </c:extLst>
                  </c:multiLvlStrRef>
                </c15:cat>
              </c15:filteredCategoryTitle>
            </c:ext>
            <c:ext xmlns:c16="http://schemas.microsoft.com/office/drawing/2014/chart" uri="{C3380CC4-5D6E-409C-BE32-E72D297353CC}">
              <c16:uniqueId val="{00000002-7F71-4EF7-ADAF-9E730437C449}"/>
            </c:ext>
          </c:extLst>
        </c:ser>
        <c:ser>
          <c:idx val="3"/>
          <c:order val="3"/>
          <c:tx>
            <c:strRef>
              <c:f>'Résultats relocalisation'!$B$18</c:f>
              <c:strCache>
                <c:ptCount val="1"/>
                <c:pt idx="0">
                  <c:v> Transport </c:v>
                </c:pt>
              </c:strCache>
            </c:strRef>
          </c:tx>
          <c:spPr>
            <a:solidFill>
              <a:schemeClr val="accent4"/>
            </a:solidFill>
            <a:ln>
              <a:noFill/>
            </a:ln>
            <a:effectLst/>
          </c:spPr>
          <c:invertIfNegative val="0"/>
          <c:val>
            <c:numRef>
              <c:f>'Résultats relocalisation'!$C$18:$J$18</c:f>
            </c:numRef>
          </c:val>
          <c:extLst>
            <c:ext xmlns:c15="http://schemas.microsoft.com/office/drawing/2012/chart" uri="{02D57815-91ED-43cb-92C2-25804820EDAC}">
              <c15:filteredCategoryTitle>
                <c15:cat>
                  <c:multiLvlStrRef>
                    <c:extLst>
                      <c:ext uri="{02D57815-91ED-43cb-92C2-25804820EDAC}">
                        <c15:formulaRef>
                          <c15:sqref>'Résultats relocalisation'!$C$14:$J$14</c15:sqref>
                        </c15:formulaRef>
                      </c:ext>
                    </c:extLst>
                  </c:multiLvlStrRef>
                </c15:cat>
              </c15:filteredCategoryTitle>
            </c:ext>
            <c:ext xmlns:c16="http://schemas.microsoft.com/office/drawing/2014/chart" uri="{C3380CC4-5D6E-409C-BE32-E72D297353CC}">
              <c16:uniqueId val="{00000003-7F71-4EF7-ADAF-9E730437C449}"/>
            </c:ext>
          </c:extLst>
        </c:ser>
        <c:ser>
          <c:idx val="4"/>
          <c:order val="4"/>
          <c:tx>
            <c:strRef>
              <c:f>'Résultats relocalisation'!$B$19</c:f>
              <c:strCache>
                <c:ptCount val="1"/>
                <c:pt idx="0">
                  <c:v> Fin de vie </c:v>
                </c:pt>
              </c:strCache>
            </c:strRef>
          </c:tx>
          <c:spPr>
            <a:solidFill>
              <a:schemeClr val="accent5"/>
            </a:solidFill>
            <a:ln>
              <a:noFill/>
            </a:ln>
            <a:effectLst/>
          </c:spPr>
          <c:invertIfNegative val="0"/>
          <c:val>
            <c:numRef>
              <c:f>'Résultats relocalisation'!$C$19:$J$19</c:f>
            </c:numRef>
          </c:val>
          <c:extLst>
            <c:ext xmlns:c15="http://schemas.microsoft.com/office/drawing/2012/chart" uri="{02D57815-91ED-43cb-92C2-25804820EDAC}">
              <c15:filteredCategoryTitle>
                <c15:cat>
                  <c:multiLvlStrRef>
                    <c:extLst>
                      <c:ext uri="{02D57815-91ED-43cb-92C2-25804820EDAC}">
                        <c15:formulaRef>
                          <c15:sqref>'Résultats relocalisation'!$C$14:$J$14</c15:sqref>
                        </c15:formulaRef>
                      </c:ext>
                    </c:extLst>
                  </c:multiLvlStrRef>
                </c15:cat>
              </c15:filteredCategoryTitle>
            </c:ext>
            <c:ext xmlns:c16="http://schemas.microsoft.com/office/drawing/2014/chart" uri="{C3380CC4-5D6E-409C-BE32-E72D297353CC}">
              <c16:uniqueId val="{00000004-7F71-4EF7-ADAF-9E730437C449}"/>
            </c:ext>
          </c:extLst>
        </c:ser>
        <c:dLbls>
          <c:showLegendKey val="0"/>
          <c:showVal val="0"/>
          <c:showCatName val="0"/>
          <c:showSerName val="0"/>
          <c:showPercent val="0"/>
          <c:showBubbleSize val="0"/>
        </c:dLbls>
        <c:gapWidth val="50"/>
        <c:overlap val="100"/>
        <c:axId val="1106444992"/>
        <c:axId val="1106426272"/>
      </c:barChart>
      <c:catAx>
        <c:axId val="11064449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n-US"/>
          </a:p>
        </c:txPr>
        <c:crossAx val="1106426272"/>
        <c:crosses val="autoZero"/>
        <c:auto val="1"/>
        <c:lblAlgn val="ctr"/>
        <c:lblOffset val="100"/>
        <c:noMultiLvlLbl val="0"/>
      </c:catAx>
      <c:valAx>
        <c:axId val="1106426272"/>
        <c:scaling>
          <c:orientation val="minMax"/>
          <c:max val="1.1000000000000001"/>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1" i="0" u="none" strike="noStrike" kern="1200" baseline="0">
                    <a:solidFill>
                      <a:schemeClr val="tx2"/>
                    </a:solidFill>
                    <a:latin typeface="+mn-lt"/>
                    <a:ea typeface="+mn-ea"/>
                    <a:cs typeface="+mn-cs"/>
                  </a:defRPr>
                </a:pPr>
                <a:r>
                  <a:rPr lang="en-GB"/>
                  <a:t>Empreinte carbone par produit (normalisée avec la</a:t>
                </a:r>
                <a:r>
                  <a:rPr lang="en-GB" baseline="0"/>
                  <a:t> production en Asie)</a:t>
                </a:r>
                <a:endParaRPr lang="en-GB"/>
              </a:p>
            </c:rich>
          </c:tx>
          <c:layout>
            <c:manualLayout>
              <c:xMode val="edge"/>
              <c:yMode val="edge"/>
              <c:x val="2.5561349864986298E-2"/>
              <c:y val="0.1493449453612879"/>
            </c:manualLayout>
          </c:layout>
          <c:overlay val="0"/>
          <c:spPr>
            <a:noFill/>
            <a:ln>
              <a:noFill/>
            </a:ln>
            <a:effectLst/>
          </c:spPr>
          <c:txPr>
            <a:bodyPr rot="-540000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n-US"/>
            </a:p>
          </c:txPr>
        </c:title>
        <c:numFmt formatCode="_ * #\ ##0.00_)_ ;_ * \(#\ ##0.00\)_ ;_ * &quot;-&quot;??_)_ ;_ @_ " sourceLinked="1"/>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n-US"/>
          </a:p>
        </c:txPr>
        <c:crossAx val="1106444992"/>
        <c:crosses val="autoZero"/>
        <c:crossBetween val="between"/>
      </c:valAx>
      <c:spPr>
        <a:noFill/>
        <a:ln>
          <a:noFill/>
        </a:ln>
        <a:effectLst/>
      </c:spPr>
    </c:plotArea>
    <c:legend>
      <c:legendPos val="b"/>
      <c:layout>
        <c:manualLayout>
          <c:xMode val="edge"/>
          <c:yMode val="edge"/>
          <c:x val="0.19542789026371507"/>
          <c:y val="0.83842047560819599"/>
          <c:w val="0.7142250595254851"/>
          <c:h val="4.5520607407539639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200" b="1">
          <a:solidFill>
            <a:schemeClr val="tx2"/>
          </a:solidFill>
        </a:defRPr>
      </a:pPr>
      <a:endParaRPr lang="en-US"/>
    </a:p>
  </c:txPr>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260" b="1" i="0" u="none" strike="noStrike" kern="1200" spc="0" baseline="0">
              <a:solidFill>
                <a:schemeClr val="accent1"/>
              </a:solidFill>
              <a:latin typeface="+mn-lt"/>
              <a:ea typeface="+mn-ea"/>
              <a:cs typeface="+mn-cs"/>
            </a:defRPr>
          </a:pPr>
          <a:endParaRPr lang="en-US"/>
        </a:p>
      </c:txPr>
    </c:title>
    <c:autoTitleDeleted val="0"/>
    <c:plotArea>
      <c:layout/>
      <c:barChart>
        <c:barDir val="col"/>
        <c:grouping val="clustered"/>
        <c:varyColors val="0"/>
        <c:ser>
          <c:idx val="0"/>
          <c:order val="0"/>
          <c:tx>
            <c:strRef>
              <c:f>'Implants orthopédiques'!$B$38</c:f>
              <c:strCache>
                <c:ptCount val="1"/>
                <c:pt idx="0">
                  <c:v> Pour un implant de 251,99 grammes </c:v>
                </c:pt>
              </c:strCache>
            </c:strRef>
          </c:tx>
          <c:spPr>
            <a:solidFill>
              <a:schemeClr val="accent1"/>
            </a:solidFill>
            <a:ln>
              <a:noFill/>
            </a:ln>
            <a:effectLst/>
          </c:spPr>
          <c:invertIfNegative val="0"/>
          <c:val>
            <c:numRef>
              <c:f>'Implants orthopédiques'!$C$38:$D$38</c:f>
            </c:numRef>
          </c:val>
          <c:extLst>
            <c:ext xmlns:c15="http://schemas.microsoft.com/office/drawing/2012/chart" uri="{02D57815-91ED-43cb-92C2-25804820EDAC}">
              <c15:filteredCategoryTitle>
                <c15:cat>
                  <c:multiLvlStrRef>
                    <c:extLst>
                      <c:ext uri="{02D57815-91ED-43cb-92C2-25804820EDAC}">
                        <c15:formulaRef>
                          <c15:sqref>'Implants orthopédiques'!$C$37:$D$37</c15:sqref>
                        </c15:formulaRef>
                      </c:ext>
                    </c:extLst>
                  </c:multiLvlStrRef>
                </c15:cat>
              </c15:filteredCategoryTitle>
            </c:ext>
            <c:ext xmlns:c16="http://schemas.microsoft.com/office/drawing/2014/chart" uri="{C3380CC4-5D6E-409C-BE32-E72D297353CC}">
              <c16:uniqueId val="{00000000-11B9-43CE-8102-E9901757D1B4}"/>
            </c:ext>
          </c:extLst>
        </c:ser>
        <c:dLbls>
          <c:showLegendKey val="0"/>
          <c:showVal val="0"/>
          <c:showCatName val="0"/>
          <c:showSerName val="0"/>
          <c:showPercent val="0"/>
          <c:showBubbleSize val="0"/>
        </c:dLbls>
        <c:gapWidth val="219"/>
        <c:overlap val="-27"/>
        <c:axId val="940529311"/>
        <c:axId val="940534303"/>
      </c:barChart>
      <c:catAx>
        <c:axId val="94052931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1" i="0" u="none" strike="noStrike" kern="1200" baseline="0">
                <a:solidFill>
                  <a:schemeClr val="accent1"/>
                </a:solidFill>
                <a:latin typeface="+mn-lt"/>
                <a:ea typeface="+mn-ea"/>
                <a:cs typeface="+mn-cs"/>
              </a:defRPr>
            </a:pPr>
            <a:endParaRPr lang="en-US"/>
          </a:p>
        </c:txPr>
        <c:crossAx val="940534303"/>
        <c:crosses val="autoZero"/>
        <c:auto val="1"/>
        <c:lblAlgn val="ctr"/>
        <c:lblOffset val="100"/>
        <c:noMultiLvlLbl val="0"/>
      </c:catAx>
      <c:valAx>
        <c:axId val="940534303"/>
        <c:scaling>
          <c:orientation val="minMax"/>
        </c:scaling>
        <c:delete val="0"/>
        <c:axPos val="l"/>
        <c:majorGridlines>
          <c:spPr>
            <a:ln w="9525" cap="flat" cmpd="sng" algn="ctr">
              <a:solidFill>
                <a:schemeClr val="tx1">
                  <a:lumMod val="15000"/>
                  <a:lumOff val="85000"/>
                </a:schemeClr>
              </a:solidFill>
              <a:round/>
            </a:ln>
            <a:effectLst/>
          </c:spPr>
        </c:majorGridlines>
        <c:numFmt formatCode="_ * #\ ##0.0_)_ ;_ * \(#\ ##0.0\)_ ;_ * &quot;-&quot;??_)_ ;_ @_ "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accent1"/>
                </a:solidFill>
                <a:latin typeface="+mn-lt"/>
                <a:ea typeface="+mn-ea"/>
                <a:cs typeface="+mn-cs"/>
              </a:defRPr>
            </a:pPr>
            <a:endParaRPr lang="en-US"/>
          </a:p>
        </c:txPr>
        <c:crossAx val="9405293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50" b="1">
          <a:solidFill>
            <a:schemeClr val="accent1"/>
          </a:solidFill>
        </a:defRPr>
      </a:pPr>
      <a:endParaRPr lang="en-US"/>
    </a:p>
  </c:tx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0" i="0" u="none" strike="noStrike" kern="1200" spc="0" baseline="0">
                <a:solidFill>
                  <a:schemeClr val="tx1">
                    <a:lumMod val="65000"/>
                    <a:lumOff val="35000"/>
                  </a:schemeClr>
                </a:solidFill>
                <a:latin typeface="+mn-lt"/>
                <a:ea typeface="+mn-ea"/>
                <a:cs typeface="+mn-cs"/>
              </a:defRPr>
            </a:pPr>
            <a:r>
              <a:rPr lang="en-GB" b="1">
                <a:solidFill>
                  <a:schemeClr val="accent1"/>
                </a:solidFill>
              </a:rPr>
              <a:t>Après ajustement</a:t>
            </a:r>
          </a:p>
        </c:rich>
      </c:tx>
      <c:overlay val="0"/>
      <c:spPr>
        <a:noFill/>
        <a:ln>
          <a:noFill/>
        </a:ln>
        <a:effectLst/>
      </c:spPr>
      <c:txPr>
        <a:bodyPr rot="0" spcFirstLastPara="1" vertOverflow="ellipsis" vert="horz" wrap="square" anchor="ctr" anchorCtr="1"/>
        <a:lstStyle/>
        <a:p>
          <a:pPr>
            <a:defRPr sz="144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1631889763779511E-2"/>
          <c:y val="0.22434164479440069"/>
          <c:w val="0.40177624671916012"/>
          <c:h val="0.66962707786526687"/>
        </c:manualLayout>
      </c:layout>
      <c:doughnutChart>
        <c:varyColors val="1"/>
        <c:ser>
          <c:idx val="0"/>
          <c:order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multiLvlStrRef>
              <c:f>'DM-DIV'!$B$57:$B$65</c:f>
            </c:multiLvlStrRef>
          </c:cat>
          <c:val>
            <c:numRef>
              <c:f>'DM-DIV'!$D$57:$D$65</c:f>
            </c:numRef>
          </c:val>
          <c:extLst>
            <c:ext xmlns:c16="http://schemas.microsoft.com/office/drawing/2014/chart" uri="{C3380CC4-5D6E-409C-BE32-E72D297353CC}">
              <c16:uniqueId val="{00000012-12BD-4DC1-A3A4-54336E507F4E}"/>
            </c:ext>
          </c:extLst>
        </c:ser>
        <c:dLbls>
          <c:showLegendKey val="0"/>
          <c:showVal val="0"/>
          <c:showCatName val="0"/>
          <c:showSerName val="0"/>
          <c:showPercent val="1"/>
          <c:showBubbleSize val="0"/>
          <c:showLeaderLines val="1"/>
        </c:dLbls>
        <c:firstSliceAng val="0"/>
        <c:holeSize val="50"/>
      </c:doughnut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1"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0" i="0" u="none" strike="noStrike" kern="1200" spc="0" baseline="0">
                <a:solidFill>
                  <a:schemeClr val="tx1">
                    <a:lumMod val="65000"/>
                    <a:lumOff val="35000"/>
                  </a:schemeClr>
                </a:solidFill>
                <a:latin typeface="+mn-lt"/>
                <a:ea typeface="+mn-ea"/>
                <a:cs typeface="+mn-cs"/>
              </a:defRPr>
            </a:pPr>
            <a:r>
              <a:rPr lang="en-GB" b="1">
                <a:solidFill>
                  <a:schemeClr val="accent1"/>
                </a:solidFill>
              </a:rPr>
              <a:t>Avant ajustement</a:t>
            </a:r>
          </a:p>
        </c:rich>
      </c:tx>
      <c:overlay val="0"/>
      <c:spPr>
        <a:noFill/>
        <a:ln>
          <a:noFill/>
        </a:ln>
        <a:effectLst/>
      </c:spPr>
      <c:txPr>
        <a:bodyPr rot="0" spcFirstLastPara="1" vertOverflow="ellipsis" vert="horz" wrap="square" anchor="ctr" anchorCtr="1"/>
        <a:lstStyle/>
        <a:p>
          <a:pPr>
            <a:defRPr sz="144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doughnutChart>
        <c:varyColors val="1"/>
        <c:ser>
          <c:idx val="0"/>
          <c:order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multiLvlStrRef>
              <c:f>'DM-DIV'!$B$57:$B$65</c:f>
            </c:multiLvlStrRef>
          </c:cat>
          <c:val>
            <c:numRef>
              <c:f>'DM-DIV'!$C$57:$C$65</c:f>
            </c:numRef>
          </c:val>
          <c:extLst>
            <c:ext xmlns:c16="http://schemas.microsoft.com/office/drawing/2014/chart" uri="{C3380CC4-5D6E-409C-BE32-E72D297353CC}">
              <c16:uniqueId val="{00000000-195C-4285-9B67-699BD6B27CBB}"/>
            </c:ext>
          </c:extLst>
        </c:ser>
        <c:dLbls>
          <c:showLegendKey val="0"/>
          <c:showVal val="0"/>
          <c:showCatName val="0"/>
          <c:showSerName val="0"/>
          <c:showPercent val="1"/>
          <c:showBubbleSize val="0"/>
          <c:showLeaderLines val="1"/>
        </c:dLbls>
        <c:firstSliceAng val="0"/>
        <c:holeSize val="50"/>
      </c:doughnutChart>
      <c:spPr>
        <a:noFill/>
        <a:ln>
          <a:noFill/>
        </a:ln>
        <a:effectLst/>
      </c:spPr>
    </c:plotArea>
    <c:legend>
      <c:legendPos val="r"/>
      <c:layout>
        <c:manualLayout>
          <c:xMode val="edge"/>
          <c:yMode val="edge"/>
          <c:x val="0.55948447069116358"/>
          <c:y val="0.17594743365412652"/>
          <c:w val="0.41911537963584145"/>
          <c:h val="0.78701552930883645"/>
        </c:manualLayout>
      </c:layout>
      <c:overlay val="0"/>
      <c:spPr>
        <a:noFill/>
        <a:ln>
          <a:noFill/>
        </a:ln>
        <a:effectLst/>
      </c:spPr>
      <c:txPr>
        <a:bodyPr rot="0" spcFirstLastPara="1" vertOverflow="ellipsis" vert="horz" wrap="square" anchor="ctr" anchorCtr="1"/>
        <a:lstStyle/>
        <a:p>
          <a:pPr>
            <a:defRPr sz="900" b="1"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21629569268121365"/>
          <c:y val="3.6729352392107527E-2"/>
        </c:manualLayout>
      </c:layout>
      <c:overlay val="0"/>
      <c:spPr>
        <a:noFill/>
        <a:ln>
          <a:noFill/>
        </a:ln>
        <a:effectLst/>
      </c:spPr>
      <c:txPr>
        <a:bodyPr rot="0" spcFirstLastPara="1" vertOverflow="ellipsis" vert="horz" wrap="square" anchor="ctr" anchorCtr="1"/>
        <a:lstStyle/>
        <a:p>
          <a:pPr>
            <a:defRPr sz="1200" b="1" i="0" u="none" strike="noStrike" kern="1200" spc="0" baseline="0">
              <a:solidFill>
                <a:schemeClr val="tx2"/>
              </a:solidFill>
              <a:latin typeface="+mn-lt"/>
              <a:ea typeface="+mn-ea"/>
              <a:cs typeface="+mn-cs"/>
            </a:defRPr>
          </a:pPr>
          <a:endParaRPr lang="en-US"/>
        </a:p>
      </c:txPr>
    </c:title>
    <c:autoTitleDeleted val="0"/>
    <c:plotArea>
      <c:layout/>
      <c:doughnutChart>
        <c:varyColors val="1"/>
        <c:ser>
          <c:idx val="0"/>
          <c:order val="0"/>
          <c:tx>
            <c:strRef>
              <c:f>'DM-DIV'!$B$126</c:f>
              <c:strCache>
                <c:ptCount val="1"/>
                <c:pt idx="0">
                  <c:v>Anticorps monoclonaux</c:v>
                </c:pt>
              </c:strCache>
            </c:strRef>
          </c:tx>
          <c:val>
            <c:numRef>
              <c:f>'DM-DIV'!$C$126:$D$126</c:f>
            </c:numRef>
          </c:val>
          <c:extLst>
            <c:ext xmlns:c15="http://schemas.microsoft.com/office/drawing/2012/chart" uri="{02D57815-91ED-43cb-92C2-25804820EDAC}">
              <c15:filteredCategoryTitle>
                <c15:cat>
                  <c:multiLvlStrRef>
                    <c:extLst>
                      <c:ext uri="{02D57815-91ED-43cb-92C2-25804820EDAC}">
                        <c15:formulaRef>
                          <c15:sqref>'DM-DIV'!$C$125:$D$125</c15:sqref>
                        </c15:formulaRef>
                      </c:ext>
                    </c:extLst>
                  </c:multiLvlStrRef>
                </c15:cat>
              </c15:filteredCategoryTitle>
            </c:ext>
            <c:ext xmlns:c16="http://schemas.microsoft.com/office/drawing/2014/chart" uri="{C3380CC4-5D6E-409C-BE32-E72D297353CC}">
              <c16:uniqueId val="{00000000-44AF-47A7-A43E-228ABFB2703E}"/>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6.0656353210057898E-2"/>
          <c:y val="3.6729352392107527E-2"/>
        </c:manualLayout>
      </c:layout>
      <c:overlay val="0"/>
      <c:spPr>
        <a:noFill/>
        <a:ln>
          <a:noFill/>
        </a:ln>
        <a:effectLst/>
      </c:spPr>
      <c:txPr>
        <a:bodyPr rot="0" spcFirstLastPara="1" vertOverflow="ellipsis" vert="horz" wrap="square" anchor="ctr" anchorCtr="1"/>
        <a:lstStyle/>
        <a:p>
          <a:pPr>
            <a:defRPr sz="1200" b="1" i="0" u="none" strike="noStrike" kern="1200" spc="0" baseline="0">
              <a:solidFill>
                <a:schemeClr val="tx2"/>
              </a:solidFill>
              <a:latin typeface="+mn-lt"/>
              <a:ea typeface="+mn-ea"/>
              <a:cs typeface="+mn-cs"/>
            </a:defRPr>
          </a:pPr>
          <a:endParaRPr lang="en-US"/>
        </a:p>
      </c:txPr>
    </c:title>
    <c:autoTitleDeleted val="0"/>
    <c:plotArea>
      <c:layout>
        <c:manualLayout>
          <c:layoutTarget val="inner"/>
          <c:xMode val="edge"/>
          <c:yMode val="edge"/>
          <c:x val="7.4257542451872618E-2"/>
          <c:y val="0.22164766332390998"/>
          <c:w val="0.31061050875063034"/>
          <c:h val="0.71167458372195591"/>
        </c:manualLayout>
      </c:layout>
      <c:doughnutChart>
        <c:varyColors val="1"/>
        <c:ser>
          <c:idx val="0"/>
          <c:order val="0"/>
          <c:tx>
            <c:strRef>
              <c:f>'DM-DIV'!$B$127</c:f>
              <c:strCache>
                <c:ptCount val="1"/>
                <c:pt idx="0">
                  <c:v>Réactifs de diagnostic</c:v>
                </c:pt>
              </c:strCache>
            </c:strRef>
          </c:tx>
          <c:val>
            <c:numRef>
              <c:f>'DM-DIV'!$C$127:$D$127</c:f>
            </c:numRef>
          </c:val>
          <c:extLst>
            <c:ext xmlns:c15="http://schemas.microsoft.com/office/drawing/2012/chart" uri="{02D57815-91ED-43cb-92C2-25804820EDAC}">
              <c15:filteredCategoryTitle>
                <c15:cat>
                  <c:multiLvlStrRef>
                    <c:extLst>
                      <c:ext uri="{02D57815-91ED-43cb-92C2-25804820EDAC}">
                        <c15:formulaRef>
                          <c15:sqref>'DM-DIV'!$C$125:$D$125</c15:sqref>
                        </c15:formulaRef>
                      </c:ext>
                    </c:extLst>
                  </c:multiLvlStrRef>
                </c15:cat>
              </c15:filteredCategoryTitle>
            </c:ext>
            <c:ext xmlns:c16="http://schemas.microsoft.com/office/drawing/2014/chart" uri="{C3380CC4-5D6E-409C-BE32-E72D297353CC}">
              <c16:uniqueId val="{00000004-697C-4142-B964-111EF9AC099E}"/>
            </c:ext>
          </c:extLst>
        </c:ser>
        <c:dLbls>
          <c:showLegendKey val="0"/>
          <c:showVal val="0"/>
          <c:showCatName val="0"/>
          <c:showSerName val="0"/>
          <c:showPercent val="0"/>
          <c:showBubbleSize val="0"/>
          <c:showLeaderLines val="1"/>
        </c:dLbls>
        <c:firstSliceAng val="0"/>
        <c:holeSize val="75"/>
      </c:doughnutChart>
      <c:spPr>
        <a:noFill/>
        <a:ln>
          <a:noFill/>
        </a:ln>
        <a:effectLst/>
      </c:spPr>
    </c:plotArea>
    <c:legend>
      <c:legendPos val="r"/>
      <c:layout>
        <c:manualLayout>
          <c:xMode val="edge"/>
          <c:yMode val="edge"/>
          <c:x val="0.44816298375706992"/>
          <c:y val="0.44858155771979169"/>
          <c:w val="0.28624120565719363"/>
          <c:h val="0.20535987667067793"/>
        </c:manualLayout>
      </c:layout>
      <c:overlay val="0"/>
      <c:spPr>
        <a:noFill/>
        <a:ln>
          <a:noFill/>
        </a:ln>
        <a:effectLst/>
      </c:spPr>
      <c:txPr>
        <a:bodyPr rot="0" spcFirstLastPara="1" vertOverflow="ellipsis" vert="horz" wrap="square" anchor="ctr" anchorCtr="1"/>
        <a:lstStyle/>
        <a:p>
          <a:pPr>
            <a:defRPr sz="1100" b="1"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solidFill>
          <a:sysClr val="window" lastClr="FFFFFF"/>
        </a:solidFill>
        <a:ln>
          <a:noFill/>
        </a:ln>
        <a:effectLst/>
      </c:spPr>
      <c:txPr>
        <a:bodyPr rot="0" spcFirstLastPara="1" vertOverflow="ellipsis" vert="horz" wrap="square" anchor="ctr" anchorCtr="1"/>
        <a:lstStyle/>
        <a:p>
          <a:pPr>
            <a:defRPr sz="1400" b="1" i="0" u="none" strike="noStrike" kern="1200" spc="0" baseline="0">
              <a:solidFill>
                <a:schemeClr val="tx2"/>
              </a:solidFill>
              <a:latin typeface="+mn-lt"/>
              <a:ea typeface="+mn-ea"/>
              <a:cs typeface="+mn-cs"/>
            </a:defRPr>
          </a:pPr>
          <a:endParaRPr lang="en-US"/>
        </a:p>
      </c:txPr>
    </c:title>
    <c:autoTitleDeleted val="0"/>
    <c:plotArea>
      <c:layout/>
      <c:doughnutChart>
        <c:varyColors val="1"/>
        <c:ser>
          <c:idx val="0"/>
          <c:order val="0"/>
          <c:tx>
            <c:strRef>
              <c:f>'DM-DIV'!$C$115</c:f>
              <c:strCache>
                <c:ptCount val="1"/>
                <c:pt idx="0">
                  <c:v>Provenance des
anticorps monoclonaux</c:v>
                </c:pt>
              </c:strCache>
            </c:strRef>
          </c:tx>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multiLvlStrRef>
              <c:f>'DM-DIV'!$B$116:$B$118</c:f>
            </c:multiLvlStrRef>
          </c:cat>
          <c:val>
            <c:numRef>
              <c:f>'DM-DIV'!$C$116:$C$118</c:f>
            </c:numRef>
          </c:val>
          <c:extLst>
            <c:ext xmlns:c16="http://schemas.microsoft.com/office/drawing/2014/chart" uri="{C3380CC4-5D6E-409C-BE32-E72D297353CC}">
              <c16:uniqueId val="{00000000-6704-4CF0-90E0-FA06ABD97909}"/>
            </c:ext>
          </c:extLst>
        </c:ser>
        <c:dLbls>
          <c:showLegendKey val="0"/>
          <c:showVal val="0"/>
          <c:showCatName val="0"/>
          <c:showSerName val="0"/>
          <c:showPercent val="1"/>
          <c:showBubbleSize val="0"/>
          <c:showLeaderLines val="1"/>
        </c:dLbls>
        <c:firstSliceAng val="0"/>
        <c:holeSize val="50"/>
      </c:doughnutChart>
      <c:spPr>
        <a:noFill/>
        <a:ln>
          <a:noFill/>
        </a:ln>
        <a:effectLst/>
      </c:spPr>
    </c:plotArea>
    <c:legend>
      <c:legendPos val="r"/>
      <c:layout>
        <c:manualLayout>
          <c:xMode val="edge"/>
          <c:yMode val="edge"/>
          <c:x val="0.69012445319335081"/>
          <c:y val="0.44271143190434531"/>
          <c:w val="0.19022856517935258"/>
          <c:h val="0.23015945152161318"/>
        </c:manualLayout>
      </c:layout>
      <c:overlay val="0"/>
      <c:spPr>
        <a:noFill/>
        <a:ln>
          <a:noFill/>
        </a:ln>
        <a:effectLst/>
      </c:spPr>
      <c:txPr>
        <a:bodyPr rot="0" spcFirstLastPara="1" vertOverflow="ellipsis" vert="horz" wrap="square" anchor="ctr" anchorCtr="1"/>
        <a:lstStyle/>
        <a:p>
          <a:pPr>
            <a:defRPr sz="1050" b="1"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2"/>
                </a:solidFill>
                <a:latin typeface="+mn-lt"/>
                <a:ea typeface="+mn-ea"/>
                <a:cs typeface="+mn-cs"/>
              </a:defRPr>
            </a:pPr>
            <a:r>
              <a:rPr lang="en-US" b="1">
                <a:solidFill>
                  <a:schemeClr val="tx2"/>
                </a:solidFill>
              </a:rPr>
              <a:t> Répartition des émissions de GES </a:t>
            </a:r>
          </a:p>
          <a:p>
            <a:pPr>
              <a:defRPr b="1">
                <a:solidFill>
                  <a:schemeClr val="tx2"/>
                </a:solidFill>
              </a:defRPr>
            </a:pPr>
            <a:r>
              <a:rPr lang="en-US" b="1">
                <a:solidFill>
                  <a:schemeClr val="tx2"/>
                </a:solidFill>
              </a:rPr>
              <a:t>en fonction des lieux de consommation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2"/>
              </a:solidFill>
              <a:latin typeface="+mn-lt"/>
              <a:ea typeface="+mn-ea"/>
              <a:cs typeface="+mn-cs"/>
            </a:defRPr>
          </a:pPr>
          <a:endParaRPr lang="en-US"/>
        </a:p>
      </c:txPr>
    </c:title>
    <c:autoTitleDeleted val="0"/>
    <c:plotArea>
      <c:layout>
        <c:manualLayout>
          <c:layoutTarget val="inner"/>
          <c:xMode val="edge"/>
          <c:yMode val="edge"/>
          <c:x val="6.0266622922134735E-2"/>
          <c:y val="0.26403324584426946"/>
          <c:w val="0.40288232720909889"/>
          <c:h val="0.67147054534849815"/>
        </c:manualLayout>
      </c:layout>
      <c:doughnutChart>
        <c:varyColors val="1"/>
        <c:ser>
          <c:idx val="0"/>
          <c:order val="0"/>
          <c:tx>
            <c:strRef>
              <c:f>'DM-DIV'!$D$17</c:f>
              <c:strCache>
                <c:ptCount val="1"/>
                <c:pt idx="0">
                  <c:v> Répartition CA (données SIDIV 2022) </c:v>
                </c:pt>
              </c:strCache>
            </c:strRef>
          </c:tx>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multiLvlStrRef>
              <c:f>'DM-DIV'!$B$18:$B$23</c:f>
            </c:multiLvlStrRef>
          </c:cat>
          <c:val>
            <c:numRef>
              <c:f>'DM-DIV'!$D$18:$D$23</c:f>
            </c:numRef>
          </c:val>
          <c:extLst>
            <c:ext xmlns:c16="http://schemas.microsoft.com/office/drawing/2014/chart" uri="{C3380CC4-5D6E-409C-BE32-E72D297353CC}">
              <c16:uniqueId val="{00000000-311C-4A43-A589-A4B96E5C4548}"/>
            </c:ext>
          </c:extLst>
        </c:ser>
        <c:dLbls>
          <c:showLegendKey val="0"/>
          <c:showVal val="0"/>
          <c:showCatName val="0"/>
          <c:showSerName val="0"/>
          <c:showPercent val="1"/>
          <c:showBubbleSize val="0"/>
          <c:showLeaderLines val="1"/>
        </c:dLbls>
        <c:firstSliceAng val="0"/>
        <c:holeSize val="50"/>
      </c:doughnutChart>
      <c:spPr>
        <a:noFill/>
        <a:ln>
          <a:noFill/>
        </a:ln>
        <a:effectLst/>
      </c:spPr>
    </c:plotArea>
    <c:legend>
      <c:legendPos val="r"/>
      <c:layout>
        <c:manualLayout>
          <c:xMode val="edge"/>
          <c:yMode val="edge"/>
          <c:x val="0.47222222222222221"/>
          <c:y val="0.25394830854476524"/>
          <c:w val="0.49166666666666664"/>
          <c:h val="0.71941819772528437"/>
        </c:manualLayout>
      </c:layout>
      <c:overlay val="0"/>
      <c:spPr>
        <a:noFill/>
        <a:ln>
          <a:noFill/>
        </a:ln>
        <a:effectLst/>
      </c:spPr>
      <c:txPr>
        <a:bodyPr rot="0" spcFirstLastPara="1" vertOverflow="ellipsis" vert="horz" wrap="square" anchor="ctr" anchorCtr="1"/>
        <a:lstStyle/>
        <a:p>
          <a:pPr>
            <a:defRPr sz="900" b="1"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078958880139997E-2"/>
          <c:y val="0.21240594925634296"/>
          <c:w val="0.40846019247594051"/>
          <c:h val="0.68076698745990083"/>
        </c:manualLayout>
      </c:layout>
      <c:doughnutChart>
        <c:varyColors val="1"/>
        <c:ser>
          <c:idx val="0"/>
          <c:order val="0"/>
          <c:dLbls>
            <c:spPr>
              <a:noFill/>
              <a:ln>
                <a:noFill/>
              </a:ln>
              <a:effectLst/>
            </c:spPr>
            <c:txPr>
              <a:bodyPr rot="0" spcFirstLastPara="1" vertOverflow="ellipsis" vert="horz" wrap="square" anchor="ctr" anchorCtr="1"/>
              <a:lstStyle/>
              <a:p>
                <a:pPr>
                  <a:defRPr sz="1000" b="1"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multiLvlStrRef>
              <c:f>'Corpo et R&amp;D'!$B$15:$B$21</c:f>
            </c:multiLvlStrRef>
          </c:cat>
          <c:val>
            <c:numRef>
              <c:f>'Corpo et R&amp;D'!$C$15:$C$21</c:f>
            </c:numRef>
          </c:val>
          <c:extLst>
            <c:ext xmlns:c16="http://schemas.microsoft.com/office/drawing/2014/chart" uri="{C3380CC4-5D6E-409C-BE32-E72D297353CC}">
              <c16:uniqueId val="{00000000-5FDA-483D-B6DD-F094D252E7C5}"/>
            </c:ext>
          </c:extLst>
        </c:ser>
        <c:dLbls>
          <c:showLegendKey val="0"/>
          <c:showVal val="0"/>
          <c:showCatName val="0"/>
          <c:showSerName val="0"/>
          <c:showPercent val="1"/>
          <c:showBubbleSize val="0"/>
          <c:showLeaderLines val="1"/>
        </c:dLbls>
        <c:firstSliceAng val="0"/>
        <c:holeSize val="50"/>
      </c:doughnutChart>
      <c:spPr>
        <a:noFill/>
        <a:ln>
          <a:noFill/>
        </a:ln>
        <a:effectLst/>
      </c:spPr>
    </c:plotArea>
    <c:legend>
      <c:legendPos val="r"/>
      <c:layout>
        <c:manualLayout>
          <c:xMode val="edge"/>
          <c:yMode val="edge"/>
          <c:x val="0.48984033245844272"/>
          <c:y val="0.15751458151064451"/>
          <c:w val="0.45182633420822393"/>
          <c:h val="0.78129046369203847"/>
        </c:manualLayout>
      </c:layout>
      <c:overlay val="0"/>
      <c:spPr>
        <a:noFill/>
        <a:ln>
          <a:noFill/>
        </a:ln>
        <a:effectLst/>
      </c:spPr>
      <c:txPr>
        <a:bodyPr rot="0" spcFirstLastPara="1" vertOverflow="ellipsis" vert="horz" wrap="square" anchor="ctr" anchorCtr="1"/>
        <a:lstStyle/>
        <a:p>
          <a:pPr>
            <a:defRPr sz="1000" b="1"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00" b="1">
          <a:solidFill>
            <a:schemeClr val="tx2"/>
          </a:solidFill>
        </a:defRPr>
      </a:pPr>
      <a:endParaRPr lang="en-US"/>
    </a:p>
  </c:txPr>
  <c:printSettings>
    <c:headerFooter/>
    <c:pageMargins b="0.75" l="0.7" r="0.7" t="0.75" header="0.3" footer="0.3"/>
    <c:pageSetup/>
  </c:printSettings>
  <c:userShapes r:id="rId3"/>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2"/>
                </a:solidFill>
                <a:latin typeface="+mn-lt"/>
                <a:ea typeface="+mn-ea"/>
                <a:cs typeface="+mn-cs"/>
              </a:defRPr>
            </a:pPr>
            <a:r>
              <a:rPr lang="en-US" b="1">
                <a:solidFill>
                  <a:schemeClr val="tx2"/>
                </a:solidFill>
              </a:rPr>
              <a:t>Répartition des émissions</a:t>
            </a:r>
          </a:p>
        </c:rich>
      </c:tx>
      <c:layout>
        <c:manualLayout>
          <c:xMode val="edge"/>
          <c:yMode val="edge"/>
          <c:x val="0.15400862718247171"/>
          <c:y val="7.1066006890604791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2"/>
              </a:solidFill>
              <a:latin typeface="+mn-lt"/>
              <a:ea typeface="+mn-ea"/>
              <a:cs typeface="+mn-cs"/>
            </a:defRPr>
          </a:pPr>
          <a:endParaRPr lang="en-US"/>
        </a:p>
      </c:txPr>
    </c:title>
    <c:autoTitleDeleted val="0"/>
    <c:plotArea>
      <c:layout>
        <c:manualLayout>
          <c:layoutTarget val="inner"/>
          <c:xMode val="edge"/>
          <c:yMode val="edge"/>
          <c:x val="0.12135131804176652"/>
          <c:y val="0.20130034005364084"/>
          <c:w val="0.3762177336528586"/>
          <c:h val="0.76866839649907581"/>
        </c:manualLayout>
      </c:layout>
      <c:doughnutChart>
        <c:varyColors val="1"/>
        <c:ser>
          <c:idx val="0"/>
          <c:order val="0"/>
          <c:tx>
            <c:strRef>
              <c:f>'Compléments alimentaires'!$C$11</c:f>
              <c:strCache>
                <c:ptCount val="1"/>
                <c:pt idx="0">
                  <c:v> Emissions totales (en ktCO2e) </c:v>
                </c:pt>
              </c:strCache>
            </c:strRef>
          </c:tx>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multiLvlStrRef>
              <c:f>'Compléments alimentaires'!$B$12:$B$16</c:f>
            </c:multiLvlStrRef>
          </c:cat>
          <c:val>
            <c:numRef>
              <c:f>'Compléments alimentaires'!$C$12:$C$16</c:f>
            </c:numRef>
          </c:val>
          <c:extLst>
            <c:ext xmlns:c16="http://schemas.microsoft.com/office/drawing/2014/chart" uri="{C3380CC4-5D6E-409C-BE32-E72D297353CC}">
              <c16:uniqueId val="{00000000-CDA6-4916-86E3-9CC55990AB1E}"/>
            </c:ext>
          </c:extLst>
        </c:ser>
        <c:dLbls>
          <c:showLegendKey val="0"/>
          <c:showVal val="0"/>
          <c:showCatName val="0"/>
          <c:showSerName val="0"/>
          <c:showPercent val="1"/>
          <c:showBubbleSize val="0"/>
          <c:showLeaderLines val="1"/>
        </c:dLbls>
        <c:firstSliceAng val="0"/>
        <c:holeSize val="50"/>
      </c:doughnutChart>
      <c:spPr>
        <a:noFill/>
        <a:ln>
          <a:noFill/>
        </a:ln>
        <a:effectLst/>
      </c:spPr>
    </c:plotArea>
    <c:legend>
      <c:legendPos val="r"/>
      <c:layout>
        <c:manualLayout>
          <c:xMode val="edge"/>
          <c:yMode val="edge"/>
          <c:x val="0.53545638442170851"/>
          <c:y val="0.20375770280952979"/>
          <c:w val="0.37887171927526581"/>
          <c:h val="0.73257913538731501"/>
        </c:manualLayout>
      </c:layout>
      <c:overlay val="0"/>
      <c:spPr>
        <a:noFill/>
        <a:ln>
          <a:noFill/>
        </a:ln>
        <a:effectLst/>
      </c:spPr>
      <c:txPr>
        <a:bodyPr rot="0" spcFirstLastPara="1" vertOverflow="ellipsis" vert="horz" wrap="square" anchor="ctr" anchorCtr="1"/>
        <a:lstStyle/>
        <a:p>
          <a:pPr>
            <a:defRPr sz="1000" b="1"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2"/>
                </a:solidFill>
                <a:latin typeface="+mn-lt"/>
                <a:ea typeface="+mn-ea"/>
                <a:cs typeface="+mn-cs"/>
              </a:defRPr>
            </a:pPr>
            <a:r>
              <a:rPr lang="en-GB" b="1">
                <a:solidFill>
                  <a:schemeClr val="tx2"/>
                </a:solidFill>
              </a:rPr>
              <a:t>Répartition des émisisons</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2"/>
              </a:solidFill>
              <a:latin typeface="+mn-lt"/>
              <a:ea typeface="+mn-ea"/>
              <a:cs typeface="+mn-cs"/>
            </a:defRPr>
          </a:pPr>
          <a:endParaRPr lang="en-US"/>
        </a:p>
      </c:txPr>
    </c:title>
    <c:autoTitleDeleted val="0"/>
    <c:plotArea>
      <c:layout/>
      <c:barChart>
        <c:barDir val="col"/>
        <c:grouping val="stacked"/>
        <c:varyColors val="0"/>
        <c:ser>
          <c:idx val="0"/>
          <c:order val="0"/>
          <c:tx>
            <c:strRef>
              <c:f>'Annexe - stérilisation'!$C$11</c:f>
              <c:strCache>
                <c:ptCount val="1"/>
                <c:pt idx="0">
                  <c:v> Consommations d'énergie </c:v>
                </c:pt>
              </c:strCache>
            </c:strRef>
          </c:tx>
          <c:spPr>
            <a:solidFill>
              <a:schemeClr val="accent1"/>
            </a:solidFill>
            <a:ln>
              <a:noFill/>
            </a:ln>
            <a:effectLst/>
          </c:spPr>
          <c:invertIfNegative val="0"/>
          <c:cat>
            <c:multiLvlStrRef>
              <c:f>'Annexe - stérilisation'!$B$12:$B$15</c:f>
            </c:multiLvlStrRef>
          </c:cat>
          <c:val>
            <c:numRef>
              <c:f>'Annexe - stérilisation'!$C$12:$C$15</c:f>
            </c:numRef>
          </c:val>
          <c:extLst>
            <c:ext xmlns:c16="http://schemas.microsoft.com/office/drawing/2014/chart" uri="{C3380CC4-5D6E-409C-BE32-E72D297353CC}">
              <c16:uniqueId val="{00000000-7257-4F1A-AB69-78A8475D0FF3}"/>
            </c:ext>
          </c:extLst>
        </c:ser>
        <c:ser>
          <c:idx val="1"/>
          <c:order val="1"/>
          <c:tx>
            <c:strRef>
              <c:f>'Annexe - stérilisation'!$D$11</c:f>
              <c:strCache>
                <c:ptCount val="1"/>
                <c:pt idx="0">
                  <c:v> Emissions fugitives </c:v>
                </c:pt>
              </c:strCache>
            </c:strRef>
          </c:tx>
          <c:spPr>
            <a:solidFill>
              <a:schemeClr val="accent2"/>
            </a:solidFill>
            <a:ln>
              <a:noFill/>
            </a:ln>
            <a:effectLst/>
          </c:spPr>
          <c:invertIfNegative val="0"/>
          <c:cat>
            <c:multiLvlStrRef>
              <c:f>'Annexe - stérilisation'!$B$12:$B$15</c:f>
            </c:multiLvlStrRef>
          </c:cat>
          <c:val>
            <c:numRef>
              <c:f>'Annexe - stérilisation'!$D$12:$D$15</c:f>
            </c:numRef>
          </c:val>
          <c:extLst>
            <c:ext xmlns:c16="http://schemas.microsoft.com/office/drawing/2014/chart" uri="{C3380CC4-5D6E-409C-BE32-E72D297353CC}">
              <c16:uniqueId val="{00000001-7257-4F1A-AB69-78A8475D0FF3}"/>
            </c:ext>
          </c:extLst>
        </c:ser>
        <c:ser>
          <c:idx val="2"/>
          <c:order val="2"/>
          <c:tx>
            <c:strRef>
              <c:f>'Annexe - stérilisation'!$E$11</c:f>
              <c:strCache>
                <c:ptCount val="1"/>
                <c:pt idx="0">
                  <c:v> Déplacements domicile-travail </c:v>
                </c:pt>
              </c:strCache>
            </c:strRef>
          </c:tx>
          <c:spPr>
            <a:solidFill>
              <a:schemeClr val="accent3"/>
            </a:solidFill>
            <a:ln>
              <a:noFill/>
            </a:ln>
            <a:effectLst/>
          </c:spPr>
          <c:invertIfNegative val="0"/>
          <c:cat>
            <c:multiLvlStrRef>
              <c:f>'Annexe - stérilisation'!$B$12:$B$15</c:f>
            </c:multiLvlStrRef>
          </c:cat>
          <c:val>
            <c:numRef>
              <c:f>'Annexe - stérilisation'!$E$12:$E$15</c:f>
            </c:numRef>
          </c:val>
          <c:extLst>
            <c:ext xmlns:c16="http://schemas.microsoft.com/office/drawing/2014/chart" uri="{C3380CC4-5D6E-409C-BE32-E72D297353CC}">
              <c16:uniqueId val="{00000002-7257-4F1A-AB69-78A8475D0FF3}"/>
            </c:ext>
          </c:extLst>
        </c:ser>
        <c:ser>
          <c:idx val="3"/>
          <c:order val="3"/>
          <c:tx>
            <c:strRef>
              <c:f>'Annexe - stérilisation'!$F$11</c:f>
              <c:strCache>
                <c:ptCount val="1"/>
                <c:pt idx="0">
                  <c:v> Immobilisations </c:v>
                </c:pt>
              </c:strCache>
            </c:strRef>
          </c:tx>
          <c:spPr>
            <a:solidFill>
              <a:schemeClr val="accent4"/>
            </a:solidFill>
            <a:ln>
              <a:noFill/>
            </a:ln>
            <a:effectLst/>
          </c:spPr>
          <c:invertIfNegative val="0"/>
          <c:cat>
            <c:multiLvlStrRef>
              <c:f>'Annexe - stérilisation'!$B$12:$B$15</c:f>
            </c:multiLvlStrRef>
          </c:cat>
          <c:val>
            <c:numRef>
              <c:f>'Annexe - stérilisation'!$F$12:$F$15</c:f>
            </c:numRef>
          </c:val>
          <c:extLst>
            <c:ext xmlns:c16="http://schemas.microsoft.com/office/drawing/2014/chart" uri="{C3380CC4-5D6E-409C-BE32-E72D297353CC}">
              <c16:uniqueId val="{00000003-7257-4F1A-AB69-78A8475D0FF3}"/>
            </c:ext>
          </c:extLst>
        </c:ser>
        <c:ser>
          <c:idx val="4"/>
          <c:order val="4"/>
          <c:tx>
            <c:strRef>
              <c:f>'Annexe - stérilisation'!$G$11</c:f>
              <c:strCache>
                <c:ptCount val="1"/>
                <c:pt idx="0">
                  <c:v> Transport marchandises </c:v>
                </c:pt>
              </c:strCache>
            </c:strRef>
          </c:tx>
          <c:spPr>
            <a:solidFill>
              <a:schemeClr val="accent5"/>
            </a:solidFill>
            <a:ln>
              <a:noFill/>
            </a:ln>
            <a:effectLst/>
          </c:spPr>
          <c:invertIfNegative val="0"/>
          <c:cat>
            <c:multiLvlStrRef>
              <c:f>'Annexe - stérilisation'!$B$12:$B$15</c:f>
            </c:multiLvlStrRef>
          </c:cat>
          <c:val>
            <c:numRef>
              <c:f>'Annexe - stérilisation'!$G$12:$G$15</c:f>
            </c:numRef>
          </c:val>
          <c:extLst>
            <c:ext xmlns:c16="http://schemas.microsoft.com/office/drawing/2014/chart" uri="{C3380CC4-5D6E-409C-BE32-E72D297353CC}">
              <c16:uniqueId val="{00000004-7257-4F1A-AB69-78A8475D0FF3}"/>
            </c:ext>
          </c:extLst>
        </c:ser>
        <c:dLbls>
          <c:showLegendKey val="0"/>
          <c:showVal val="0"/>
          <c:showCatName val="0"/>
          <c:showSerName val="0"/>
          <c:showPercent val="0"/>
          <c:showBubbleSize val="0"/>
        </c:dLbls>
        <c:gapWidth val="55"/>
        <c:overlap val="100"/>
        <c:axId val="1200546336"/>
        <c:axId val="1200543008"/>
      </c:barChart>
      <c:catAx>
        <c:axId val="12005463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1" i="0" u="none" strike="noStrike" kern="1200" baseline="0">
                <a:solidFill>
                  <a:schemeClr val="tx2"/>
                </a:solidFill>
                <a:latin typeface="+mn-lt"/>
                <a:ea typeface="+mn-ea"/>
                <a:cs typeface="+mn-cs"/>
              </a:defRPr>
            </a:pPr>
            <a:endParaRPr lang="en-US"/>
          </a:p>
        </c:txPr>
        <c:crossAx val="1200543008"/>
        <c:crosses val="autoZero"/>
        <c:auto val="1"/>
        <c:lblAlgn val="ctr"/>
        <c:lblOffset val="100"/>
        <c:noMultiLvlLbl val="0"/>
      </c:catAx>
      <c:valAx>
        <c:axId val="120054300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GB" sz="1100" b="1">
                    <a:solidFill>
                      <a:schemeClr val="tx2"/>
                    </a:solidFill>
                  </a:rPr>
                  <a:t>Emissions (en</a:t>
                </a:r>
                <a:r>
                  <a:rPr lang="en-GB" sz="1100" b="1" baseline="0">
                    <a:solidFill>
                      <a:schemeClr val="tx2"/>
                    </a:solidFill>
                  </a:rPr>
                  <a:t> </a:t>
                </a:r>
                <a:r>
                  <a:rPr lang="en-GB" sz="1100" b="1">
                    <a:solidFill>
                      <a:schemeClr val="tx2"/>
                    </a:solidFill>
                  </a:rPr>
                  <a:t>kgCO2e par kg stérilisé)</a:t>
                </a: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2"/>
                </a:solidFill>
                <a:latin typeface="+mn-lt"/>
                <a:ea typeface="+mn-ea"/>
                <a:cs typeface="+mn-cs"/>
              </a:defRPr>
            </a:pPr>
            <a:endParaRPr lang="en-US"/>
          </a:p>
        </c:txPr>
        <c:crossAx val="1200546336"/>
        <c:crosses val="autoZero"/>
        <c:crossBetween val="between"/>
      </c:valAx>
      <c:spPr>
        <a:noFill/>
        <a:ln>
          <a:noFill/>
        </a:ln>
        <a:effectLst/>
      </c:spPr>
    </c:plotArea>
    <c:legend>
      <c:legendPos val="r"/>
      <c:layout>
        <c:manualLayout>
          <c:xMode val="edge"/>
          <c:yMode val="edge"/>
          <c:x val="0.67498540205922197"/>
          <c:y val="0.24312319458066037"/>
          <c:w val="0.2200063637898079"/>
          <c:h val="0.64681710264696579"/>
        </c:manualLayout>
      </c:layout>
      <c:overlay val="0"/>
      <c:spPr>
        <a:noFill/>
        <a:ln>
          <a:noFill/>
        </a:ln>
        <a:effectLst/>
      </c:spPr>
      <c:txPr>
        <a:bodyPr rot="0" spcFirstLastPara="1" vertOverflow="ellipsis" vert="horz" wrap="square" anchor="ctr" anchorCtr="1"/>
        <a:lstStyle/>
        <a:p>
          <a:pPr>
            <a:defRPr sz="1050" b="1"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7561532497088304E-2"/>
          <c:y val="0.19399221401639591"/>
          <c:w val="0.40288232720909889"/>
          <c:h val="0.67147054534849815"/>
        </c:manualLayout>
      </c:layout>
      <c:doughnutChart>
        <c:varyColors val="1"/>
        <c:ser>
          <c:idx val="0"/>
          <c:order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accent1"/>
                    </a:solidFill>
                    <a:latin typeface="+mn-lt"/>
                    <a:ea typeface="+mn-ea"/>
                    <a:cs typeface="+mn-cs"/>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multiLvlStrRef>
              <c:f>'Consommables - consos hôpital'!$B$114:$B$120</c:f>
            </c:multiLvlStrRef>
          </c:cat>
          <c:val>
            <c:numRef>
              <c:f>'Consommables - consos hôpital'!$C$114:$C$120</c:f>
            </c:numRef>
          </c:val>
          <c:extLst>
            <c:ext xmlns:c16="http://schemas.microsoft.com/office/drawing/2014/chart" uri="{C3380CC4-5D6E-409C-BE32-E72D297353CC}">
              <c16:uniqueId val="{00000000-CE84-45E6-B900-1C1CA886A289}"/>
            </c:ext>
          </c:extLst>
        </c:ser>
        <c:dLbls>
          <c:showLegendKey val="0"/>
          <c:showVal val="0"/>
          <c:showCatName val="0"/>
          <c:showSerName val="0"/>
          <c:showPercent val="1"/>
          <c:showBubbleSize val="0"/>
          <c:showLeaderLines val="1"/>
        </c:dLbls>
        <c:firstSliceAng val="0"/>
        <c:holeSize val="50"/>
      </c:doughnutChart>
      <c:spPr>
        <a:noFill/>
        <a:ln>
          <a:noFill/>
        </a:ln>
        <a:effectLst/>
      </c:spPr>
    </c:plotArea>
    <c:legend>
      <c:legendPos val="r"/>
      <c:layout>
        <c:manualLayout>
          <c:xMode val="edge"/>
          <c:yMode val="edge"/>
          <c:x val="0.4119754583803652"/>
          <c:y val="0.1060110037782702"/>
          <c:w val="0.39039252391851237"/>
          <c:h val="0.89398899622172978"/>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b="1">
                <a:solidFill>
                  <a:schemeClr val="tx2"/>
                </a:solidFill>
              </a:rPr>
              <a:t>Emissions</a:t>
            </a:r>
            <a:r>
              <a:rPr lang="en-GB" b="1" baseline="0">
                <a:solidFill>
                  <a:schemeClr val="tx2"/>
                </a:solidFill>
              </a:rPr>
              <a:t> liées au moulage de plastique par injection</a:t>
            </a:r>
            <a:endParaRPr lang="en-GB" b="1">
              <a:solidFill>
                <a:schemeClr val="tx2"/>
              </a:solidFill>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'Annexe - Matériaux'!$C$84</c:f>
              <c:strCache>
                <c:ptCount val="1"/>
                <c:pt idx="0">
                  <c:v>Injection de plastique  </c:v>
                </c:pt>
              </c:strCache>
            </c:strRef>
          </c:tx>
          <c:spPr>
            <a:solidFill>
              <a:schemeClr val="accent1"/>
            </a:solidFill>
            <a:ln>
              <a:noFill/>
            </a:ln>
            <a:effectLst/>
          </c:spPr>
          <c:invertIfNegative val="0"/>
          <c:cat>
            <c:multiLvlStrRef>
              <c:f>('Annexe - Matériaux'!$D$83,'Annexe - Matériaux'!$G$83,'Annexe - Matériaux'!$E$83,'Annexe - Matériaux'!$H$83,'Annexe - Matériaux'!$F$83)</c:f>
            </c:multiLvlStrRef>
          </c:cat>
          <c:val>
            <c:numRef>
              <c:f>('Annexe - Matériaux'!$D$84,'Annexe - Matériaux'!$G$84,'Annexe - Matériaux'!$E$84,'Annexe - Matériaux'!$H$84,'Annexe - Matériaux'!$F$84)</c:f>
            </c:numRef>
          </c:val>
          <c:extLst>
            <c:ext xmlns:c16="http://schemas.microsoft.com/office/drawing/2014/chart" uri="{C3380CC4-5D6E-409C-BE32-E72D297353CC}">
              <c16:uniqueId val="{00000000-73BB-43AD-89C7-F2D29A1E6969}"/>
            </c:ext>
          </c:extLst>
        </c:ser>
        <c:ser>
          <c:idx val="1"/>
          <c:order val="1"/>
          <c:tx>
            <c:strRef>
              <c:f>'Annexe - Matériaux'!$C$85</c:f>
              <c:strCache>
                <c:ptCount val="1"/>
                <c:pt idx="0">
                  <c:v>Consommations des salles blanches</c:v>
                </c:pt>
              </c:strCache>
            </c:strRef>
          </c:tx>
          <c:spPr>
            <a:solidFill>
              <a:schemeClr val="accent2"/>
            </a:solidFill>
            <a:ln>
              <a:noFill/>
            </a:ln>
            <a:effectLst/>
          </c:spPr>
          <c:invertIfNegative val="0"/>
          <c:cat>
            <c:multiLvlStrRef>
              <c:f>('Annexe - Matériaux'!$D$83,'Annexe - Matériaux'!$G$83,'Annexe - Matériaux'!$E$83,'Annexe - Matériaux'!$H$83,'Annexe - Matériaux'!$F$83)</c:f>
            </c:multiLvlStrRef>
          </c:cat>
          <c:val>
            <c:numRef>
              <c:f>('Annexe - Matériaux'!$D$85,'Annexe - Matériaux'!$G$85,'Annexe - Matériaux'!$E$85,'Annexe - Matériaux'!$H$85,'Annexe - Matériaux'!$F$85)</c:f>
            </c:numRef>
          </c:val>
          <c:extLst>
            <c:ext xmlns:c16="http://schemas.microsoft.com/office/drawing/2014/chart" uri="{C3380CC4-5D6E-409C-BE32-E72D297353CC}">
              <c16:uniqueId val="{00000001-73BB-43AD-89C7-F2D29A1E6969}"/>
            </c:ext>
          </c:extLst>
        </c:ser>
        <c:ser>
          <c:idx val="2"/>
          <c:order val="2"/>
          <c:tx>
            <c:strRef>
              <c:f>'Annexe - Matériaux'!$C$86</c:f>
              <c:strCache>
                <c:ptCount val="1"/>
                <c:pt idx="0">
                  <c:v>Pertes matériaux lors de l'injection</c:v>
                </c:pt>
              </c:strCache>
            </c:strRef>
          </c:tx>
          <c:spPr>
            <a:solidFill>
              <a:schemeClr val="accent3"/>
            </a:solidFill>
            <a:ln>
              <a:noFill/>
            </a:ln>
            <a:effectLst/>
          </c:spPr>
          <c:invertIfNegative val="0"/>
          <c:cat>
            <c:multiLvlStrRef>
              <c:f>('Annexe - Matériaux'!$D$83,'Annexe - Matériaux'!$G$83,'Annexe - Matériaux'!$E$83,'Annexe - Matériaux'!$H$83,'Annexe - Matériaux'!$F$83)</c:f>
            </c:multiLvlStrRef>
          </c:cat>
          <c:val>
            <c:numRef>
              <c:f>('Annexe - Matériaux'!$D$86,'Annexe - Matériaux'!$G$86,'Annexe - Matériaux'!$E$86,'Annexe - Matériaux'!$H$86,'Annexe - Matériaux'!$F$86)</c:f>
            </c:numRef>
          </c:val>
          <c:extLst>
            <c:ext xmlns:c16="http://schemas.microsoft.com/office/drawing/2014/chart" uri="{C3380CC4-5D6E-409C-BE32-E72D297353CC}">
              <c16:uniqueId val="{00000004-73BB-43AD-89C7-F2D29A1E6969}"/>
            </c:ext>
          </c:extLst>
        </c:ser>
        <c:dLbls>
          <c:showLegendKey val="0"/>
          <c:showVal val="0"/>
          <c:showCatName val="0"/>
          <c:showSerName val="0"/>
          <c:showPercent val="0"/>
          <c:showBubbleSize val="0"/>
        </c:dLbls>
        <c:gapWidth val="75"/>
        <c:overlap val="100"/>
        <c:axId val="1041290176"/>
        <c:axId val="1041291008"/>
      </c:barChart>
      <c:catAx>
        <c:axId val="10412901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2"/>
                </a:solidFill>
                <a:latin typeface="+mn-lt"/>
                <a:ea typeface="+mn-ea"/>
                <a:cs typeface="+mn-cs"/>
              </a:defRPr>
            </a:pPr>
            <a:endParaRPr lang="en-US"/>
          </a:p>
        </c:txPr>
        <c:crossAx val="1041291008"/>
        <c:crosses val="autoZero"/>
        <c:auto val="1"/>
        <c:lblAlgn val="ctr"/>
        <c:lblOffset val="100"/>
        <c:noMultiLvlLbl val="0"/>
      </c:catAx>
      <c:valAx>
        <c:axId val="1041291008"/>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r>
                  <a:rPr lang="en-GB" sz="1050" b="1">
                    <a:solidFill>
                      <a:schemeClr val="tx2"/>
                    </a:solidFill>
                  </a:rPr>
                  <a:t>Emissions (kgCO2e/kg)</a:t>
                </a:r>
              </a:p>
            </c:rich>
          </c:tx>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2"/>
                </a:solidFill>
                <a:latin typeface="+mn-lt"/>
                <a:ea typeface="+mn-ea"/>
                <a:cs typeface="+mn-cs"/>
              </a:defRPr>
            </a:pPr>
            <a:endParaRPr lang="en-US"/>
          </a:p>
        </c:txPr>
        <c:crossAx val="1041290176"/>
        <c:crosses val="autoZero"/>
        <c:crossBetween val="between"/>
      </c:valAx>
      <c:spPr>
        <a:noFill/>
        <a:ln>
          <a:noFill/>
        </a:ln>
        <a:effectLst/>
      </c:spPr>
    </c:plotArea>
    <c:legend>
      <c:legendPos val="r"/>
      <c:layout>
        <c:manualLayout>
          <c:xMode val="edge"/>
          <c:yMode val="edge"/>
          <c:x val="0.69431277777162892"/>
          <c:y val="0.33317356618832156"/>
          <c:w val="0.20154397658348941"/>
          <c:h val="0.4376053042692144"/>
        </c:manualLayout>
      </c:layout>
      <c:overlay val="0"/>
      <c:spPr>
        <a:noFill/>
        <a:ln>
          <a:noFill/>
        </a:ln>
        <a:effectLst/>
      </c:spPr>
      <c:txPr>
        <a:bodyPr rot="0" spcFirstLastPara="1" vertOverflow="ellipsis" vert="horz" wrap="square" anchor="ctr" anchorCtr="1"/>
        <a:lstStyle/>
        <a:p>
          <a:pPr>
            <a:defRPr sz="1100" b="1"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6908782723334807E-2"/>
          <c:y val="8.9620458868846661E-2"/>
          <c:w val="0.43878540388051351"/>
          <c:h val="0.8878030487085683"/>
        </c:manualLayout>
      </c:layout>
      <c:doughnutChart>
        <c:varyColors val="1"/>
        <c:ser>
          <c:idx val="0"/>
          <c:order val="0"/>
          <c:tx>
            <c:strRef>
              <c:f>'Annexe - Salles blanches'!$I$41</c:f>
              <c:strCache>
                <c:ptCount val="1"/>
                <c:pt idx="0">
                  <c:v>Répartition des usages</c:v>
                </c:pt>
              </c:strCache>
            </c:strRef>
          </c:tx>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multiLvlStrRef>
              <c:f>'Annexe - Salles blanches'!$H$42:$H$44</c:f>
            </c:multiLvlStrRef>
          </c:cat>
          <c:val>
            <c:numRef>
              <c:f>'Annexe - Salles blanches'!$I$42:$I$44</c:f>
            </c:numRef>
          </c:val>
          <c:extLst>
            <c:ext xmlns:c16="http://schemas.microsoft.com/office/drawing/2014/chart" uri="{C3380CC4-5D6E-409C-BE32-E72D297353CC}">
              <c16:uniqueId val="{00000000-AFC0-4F5C-A5F0-11EC3F5957ED}"/>
            </c:ext>
          </c:extLst>
        </c:ser>
        <c:dLbls>
          <c:showLegendKey val="0"/>
          <c:showVal val="0"/>
          <c:showCatName val="0"/>
          <c:showSerName val="0"/>
          <c:showPercent val="1"/>
          <c:showBubbleSize val="0"/>
          <c:showLeaderLines val="1"/>
        </c:dLbls>
        <c:firstSliceAng val="0"/>
        <c:holeSize val="50"/>
      </c:doughnutChart>
      <c:spPr>
        <a:noFill/>
        <a:ln>
          <a:noFill/>
        </a:ln>
        <a:effectLst/>
      </c:spPr>
    </c:plotArea>
    <c:legend>
      <c:legendPos val="r"/>
      <c:layout>
        <c:manualLayout>
          <c:xMode val="edge"/>
          <c:yMode val="edge"/>
          <c:x val="0.52616571352838537"/>
          <c:y val="0.21991792016016759"/>
          <c:w val="0.3629543599723774"/>
          <c:h val="0.5365820833681969"/>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2"/>
                </a:solidFill>
                <a:latin typeface="+mn-lt"/>
                <a:ea typeface="+mn-ea"/>
                <a:cs typeface="+mn-cs"/>
              </a:defRPr>
            </a:pPr>
            <a:r>
              <a:rPr lang="en-US" sz="1200" b="1">
                <a:solidFill>
                  <a:schemeClr val="tx2"/>
                </a:solidFill>
              </a:rPr>
              <a:t> Répartition</a:t>
            </a:r>
            <a:r>
              <a:rPr lang="en-US" sz="1200" b="1" baseline="0">
                <a:solidFill>
                  <a:schemeClr val="tx2"/>
                </a:solidFill>
              </a:rPr>
              <a:t> des émissions liées à une production en salle blanche en France</a:t>
            </a:r>
            <a:r>
              <a:rPr lang="en-US" sz="1200" b="1">
                <a:solidFill>
                  <a:schemeClr val="tx2"/>
                </a:solidFill>
              </a:rPr>
              <a:t> </a:t>
            </a:r>
          </a:p>
        </c:rich>
      </c:tx>
      <c:layout>
        <c:manualLayout>
          <c:xMode val="edge"/>
          <c:yMode val="edge"/>
          <c:x val="0.10452939486291311"/>
          <c:y val="0"/>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2"/>
              </a:solidFill>
              <a:latin typeface="+mn-lt"/>
              <a:ea typeface="+mn-ea"/>
              <a:cs typeface="+mn-cs"/>
            </a:defRPr>
          </a:pPr>
          <a:endParaRPr lang="en-US"/>
        </a:p>
      </c:txPr>
    </c:title>
    <c:autoTitleDeleted val="0"/>
    <c:plotArea>
      <c:layout>
        <c:manualLayout>
          <c:layoutTarget val="inner"/>
          <c:xMode val="edge"/>
          <c:yMode val="edge"/>
          <c:x val="4.5492400334396429E-2"/>
          <c:y val="0.23498106623277354"/>
          <c:w val="0.43459703028166075"/>
          <c:h val="0.75333766858503082"/>
        </c:manualLayout>
      </c:layout>
      <c:doughnutChart>
        <c:varyColors val="1"/>
        <c:ser>
          <c:idx val="0"/>
          <c:order val="0"/>
          <c:tx>
            <c:strRef>
              <c:f>'Annexe - Salles blanches'!$H$12</c:f>
              <c:strCache>
                <c:ptCount val="1"/>
                <c:pt idx="0">
                  <c:v> France </c:v>
                </c:pt>
              </c:strCache>
            </c:strRef>
          </c:tx>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multiLvlStrRef>
              <c:f>'Annexe - Salles blanches'!$G$13:$G$15</c:f>
            </c:multiLvlStrRef>
          </c:cat>
          <c:val>
            <c:numRef>
              <c:f>'Annexe - Salles blanches'!$H$13:$H$15</c:f>
            </c:numRef>
          </c:val>
          <c:extLst>
            <c:ext xmlns:c16="http://schemas.microsoft.com/office/drawing/2014/chart" uri="{C3380CC4-5D6E-409C-BE32-E72D297353CC}">
              <c16:uniqueId val="{00000000-9455-4883-B07A-EE6F8082CD26}"/>
            </c:ext>
          </c:extLst>
        </c:ser>
        <c:dLbls>
          <c:showLegendKey val="0"/>
          <c:showVal val="0"/>
          <c:showCatName val="0"/>
          <c:showSerName val="0"/>
          <c:showPercent val="1"/>
          <c:showBubbleSize val="0"/>
          <c:showLeaderLines val="1"/>
        </c:dLbls>
        <c:firstSliceAng val="0"/>
        <c:holeSize val="50"/>
      </c:doughnutChart>
      <c:spPr>
        <a:noFill/>
        <a:ln>
          <a:noFill/>
        </a:ln>
        <a:effectLst/>
      </c:spPr>
    </c:plotArea>
    <c:legend>
      <c:legendPos val="r"/>
      <c:layout>
        <c:manualLayout>
          <c:xMode val="edge"/>
          <c:yMode val="edge"/>
          <c:x val="0.50199605802749092"/>
          <c:y val="0.24612011835789005"/>
          <c:w val="0.4777873377730269"/>
          <c:h val="0.67486026171552704"/>
        </c:manualLayout>
      </c:layout>
      <c:overlay val="0"/>
      <c:spPr>
        <a:noFill/>
        <a:ln>
          <a:noFill/>
        </a:ln>
        <a:effectLst/>
      </c:spPr>
      <c:txPr>
        <a:bodyPr rot="0" spcFirstLastPara="1" vertOverflow="ellipsis" vert="horz" wrap="square" anchor="ctr" anchorCtr="1"/>
        <a:lstStyle/>
        <a:p>
          <a:pPr>
            <a:defRPr sz="1050" b="1"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tx>
            <c:strRef>
              <c:f>'Consommables - consos hôpital'!$G$132</c:f>
              <c:strCache>
                <c:ptCount val="1"/>
                <c:pt idx="0">
                  <c:v> Total </c:v>
                </c:pt>
              </c:strCache>
            </c:strRef>
          </c:tx>
          <c:dLbls>
            <c:spPr>
              <a:noFill/>
              <a:ln>
                <a:noFill/>
              </a:ln>
              <a:effectLst/>
            </c:spPr>
            <c:txPr>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multiLvlStrRef>
              <c:f>'Consommables - consos hôpital'!$B$133:$B$138</c:f>
            </c:multiLvlStrRef>
          </c:cat>
          <c:val>
            <c:numRef>
              <c:f>'Consommables - consos hôpital'!$G$133:$G$138</c:f>
            </c:numRef>
          </c:val>
          <c:extLst>
            <c:ext xmlns:c16="http://schemas.microsoft.com/office/drawing/2014/chart" uri="{C3380CC4-5D6E-409C-BE32-E72D297353CC}">
              <c16:uniqueId val="{00000000-4AD7-4B25-AF31-9ADA70A2EF50}"/>
            </c:ext>
          </c:extLst>
        </c:ser>
        <c:dLbls>
          <c:showLegendKey val="0"/>
          <c:showVal val="0"/>
          <c:showCatName val="0"/>
          <c:showSerName val="0"/>
          <c:showPercent val="1"/>
          <c:showBubbleSize val="0"/>
          <c:showLeaderLines val="1"/>
        </c:dLbls>
        <c:firstSliceAng val="0"/>
        <c:holeSize val="50"/>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200" b="1">
          <a:solidFill>
            <a:schemeClr val="tx2"/>
          </a:solidFill>
        </a:defRPr>
      </a:pPr>
      <a:endParaRPr lang="en-US"/>
    </a:p>
  </c:txPr>
  <c:printSettings>
    <c:headerFooter/>
    <c:pageMargins b="0.75" l="0.7" r="0.7" t="0.75" header="0.3" footer="0.3"/>
    <c:pageSetup/>
  </c:printSettings>
</c:chartSpace>
</file>

<file path=xl/charts/chartEx1.xml><?xml version="1.0" encoding="utf-8"?>
<cx:chartSpace xmlns:a="http://schemas.openxmlformats.org/drawingml/2006/main" xmlns:r="http://schemas.openxmlformats.org/officeDocument/2006/relationships" xmlns:cx="http://schemas.microsoft.com/office/drawing/2014/chartex">
  <cx:chartData>
    <cx:data id="0">
      <cx:strDim type="cat">
        <cx:f>_xlchart.v1.3</cx:f>
      </cx:strDim>
      <cx:numDim type="size">
        <cx:f>_xlchart.v1.4</cx:f>
      </cx:numDim>
    </cx:data>
  </cx:chartData>
  <cx:chart>
    <cx:plotArea>
      <cx:plotAreaRegion>
        <cx:series layoutId="sunburst" hidden="1" uniqueId="{70155147-8958-4688-BBB0-4A306DCD9776}" formatIdx="0">
          <cx:dataLabels pos="ctr">
            <cx:txPr>
              <a:bodyPr vertOverflow="overflow" horzOverflow="overflow" wrap="square" lIns="0" tIns="0" rIns="0" bIns="0"/>
              <a:lstStyle/>
              <a:p>
                <a:pPr algn="ctr" rtl="0">
                  <a:defRPr sz="1200" b="0" i="0">
                    <a:solidFill>
                      <a:srgbClr val="000000"/>
                    </a:solidFill>
                    <a:latin typeface="Calibri" panose="020F0502020204030204" pitchFamily="34" charset="0"/>
                    <a:ea typeface="Calibri" panose="020F0502020204030204" pitchFamily="34" charset="0"/>
                    <a:cs typeface="Calibri" panose="020F0502020204030204" pitchFamily="34" charset="0"/>
                  </a:defRPr>
                </a:pPr>
                <a:endParaRPr/>
              </a:p>
            </cx:txPr>
            <cx:visibility seriesName="0" categoryName="1" value="0"/>
          </cx:dataLabels>
          <cx:dataId val="0"/>
        </cx:series>
      </cx:plotAreaRegion>
    </cx:plotArea>
  </cx:chart>
</cx:chartSpace>
</file>

<file path=xl/charts/chartEx2.xml><?xml version="1.0" encoding="utf-8"?>
<cx:chartSpace xmlns:a="http://schemas.openxmlformats.org/drawingml/2006/main" xmlns:r="http://schemas.openxmlformats.org/officeDocument/2006/relationships" xmlns:cx="http://schemas.microsoft.com/office/drawing/2014/chartex">
  <cx:chartData>
    <cx:data id="0">
      <cx:strDim type="cat">
        <cx:f>_xlchart.v1.5</cx:f>
      </cx:strDim>
      <cx:numDim type="size">
        <cx:f>_xlchart.v1.6</cx:f>
      </cx:numDim>
    </cx:data>
  </cx:chartData>
  <cx:chart>
    <cx:plotArea>
      <cx:plotAreaRegion>
        <cx:series layoutId="treemap" hidden="1" uniqueId="{0DBB457E-308F-4CF2-A0B8-FF6CB1F767A2}" formatIdx="0">
          <cx:dataPt idx="11">
            <cx:spPr>
              <a:solidFill>
                <a:srgbClr val="0028DC"/>
              </a:solidFill>
            </cx:spPr>
          </cx:dataPt>
          <cx:dataPt idx="12">
            <cx:spPr>
              <a:solidFill>
                <a:srgbClr val="0028DC"/>
              </a:solidFill>
            </cx:spPr>
          </cx:dataPt>
          <cx:dataPt idx="13">
            <cx:spPr>
              <a:solidFill>
                <a:srgbClr val="FFFFFF">
                  <a:lumMod val="65000"/>
                </a:srgbClr>
              </a:solidFill>
            </cx:spPr>
          </cx:dataPt>
          <cx:dataPt idx="14">
            <cx:spPr>
              <a:solidFill>
                <a:srgbClr val="FFDC50"/>
              </a:solidFill>
            </cx:spPr>
          </cx:dataPt>
          <cx:dataPt idx="19">
            <cx:spPr>
              <a:solidFill>
                <a:srgbClr val="FFFFFF">
                  <a:lumMod val="65000"/>
                </a:srgbClr>
              </a:solidFill>
            </cx:spPr>
          </cx:dataPt>
          <cx:dataLabels pos="inEnd">
            <cx:txPr>
              <a:bodyPr spcFirstLastPara="1" vertOverflow="ellipsis" horzOverflow="overflow" wrap="square" lIns="0" tIns="0" rIns="0" bIns="0" anchor="ctr" anchorCtr="1"/>
              <a:lstStyle/>
              <a:p>
                <a:pPr algn="ctr" rtl="0">
                  <a:defRPr b="1">
                    <a:solidFill>
                      <a:schemeClr val="bg2"/>
                    </a:solidFill>
                  </a:defRPr>
                </a:pPr>
                <a:endParaRPr lang="fr-FR" sz="900" b="1" i="0" u="none" strike="noStrike" baseline="0">
                  <a:solidFill>
                    <a:schemeClr val="bg2"/>
                  </a:solidFill>
                  <a:latin typeface="Arial"/>
                </a:endParaRPr>
              </a:p>
            </cx:txPr>
            <cx:visibility seriesName="0" categoryName="1" value="0"/>
            <cx:dataLabel idx="0">
              <cx:txPr>
                <a:bodyPr spcFirstLastPara="1" vertOverflow="ellipsis" horzOverflow="overflow" wrap="square" lIns="0" tIns="0" rIns="0" bIns="0" anchor="ctr" anchorCtr="1"/>
                <a:lstStyle/>
                <a:p>
                  <a:pPr algn="ctr" rtl="0">
                    <a:defRPr sz="900" b="1"/>
                  </a:pPr>
                  <a:r>
                    <a:rPr lang="fr-FR" sz="900" b="1" i="0" u="none" strike="noStrike" baseline="0">
                      <a:solidFill>
                        <a:srgbClr val="FFFFFF"/>
                      </a:solidFill>
                      <a:latin typeface="Arial"/>
                    </a:rPr>
                    <a:t>Consommables</a:t>
                  </a:r>
                </a:p>
              </cx:txPr>
              <cx:visibility seriesName="0" categoryName="1" value="0"/>
            </cx:dataLabel>
            <cx:dataLabel idx="7">
              <cx:spPr>
                <a:noFill/>
                <a:ln>
                  <a:noFill/>
                </a:ln>
              </cx:spPr>
              <cx:txPr>
                <a:bodyPr spcFirstLastPara="1" vertOverflow="ellipsis" horzOverflow="overflow" wrap="square" lIns="0" tIns="0" rIns="0" bIns="0" anchor="ctr" anchorCtr="1"/>
                <a:lstStyle/>
                <a:p>
                  <a:pPr algn="ctr" rtl="0">
                    <a:defRPr sz="900" b="1"/>
                  </a:pPr>
                  <a:r>
                    <a:rPr lang="fr-FR" sz="900" b="1" i="0" u="none" strike="noStrike" baseline="0">
                      <a:solidFill>
                        <a:srgbClr val="FFFFFF"/>
                      </a:solidFill>
                      <a:latin typeface="Arial"/>
                    </a:rPr>
                    <a:t>Equipements optiques</a:t>
                  </a:r>
                </a:p>
              </cx:txPr>
              <cx:visibility seriesName="0" categoryName="1" value="0"/>
            </cx:dataLabel>
            <cx:dataLabel idx="11">
              <cx:txPr>
                <a:bodyPr spcFirstLastPara="1" vertOverflow="ellipsis" horzOverflow="overflow" wrap="square" lIns="0" tIns="0" rIns="0" bIns="0" anchor="ctr" anchorCtr="1"/>
                <a:lstStyle/>
                <a:p>
                  <a:pPr algn="ctr" rtl="0">
                    <a:defRPr>
                      <a:solidFill>
                        <a:schemeClr val="bg2"/>
                      </a:solidFill>
                    </a:defRPr>
                  </a:pPr>
                  <a:r>
                    <a:rPr lang="fr-FR" sz="900" b="1" i="0" u="none" strike="noStrike" baseline="0">
                      <a:solidFill>
                        <a:schemeClr val="bg2"/>
                      </a:solidFill>
                      <a:latin typeface="Arial"/>
                    </a:rPr>
                    <a:t>Equipements d'imagerie</a:t>
                  </a:r>
                </a:p>
              </cx:txPr>
              <cx:visibility seriesName="0" categoryName="1" value="0"/>
            </cx:dataLabel>
            <cx:dataLabel idx="12">
              <cx:txPr>
                <a:bodyPr spcFirstLastPara="1" vertOverflow="ellipsis" horzOverflow="overflow" wrap="square" lIns="0" tIns="0" rIns="0" bIns="0" anchor="ctr" anchorCtr="1"/>
                <a:lstStyle/>
                <a:p>
                  <a:pPr algn="ctr" rtl="0">
                    <a:defRPr sz="900" b="1">
                      <a:solidFill>
                        <a:schemeClr val="bg2"/>
                      </a:solidFill>
                    </a:defRPr>
                  </a:pPr>
                  <a:r>
                    <a:rPr lang="fr-FR" sz="900" b="1" i="0" u="none" strike="noStrike" baseline="0">
                      <a:solidFill>
                        <a:schemeClr val="bg2"/>
                      </a:solidFill>
                      <a:latin typeface="Arial"/>
                    </a:rPr>
                    <a:t>Autres équipements électro-médicaux</a:t>
                  </a:r>
                </a:p>
              </cx:txPr>
              <cx:visibility seriesName="0" categoryName="1" value="0"/>
            </cx:dataLabel>
            <cx:dataLabel idx="14">
              <cx:txPr>
                <a:bodyPr spcFirstLastPara="1" vertOverflow="ellipsis" horzOverflow="overflow" wrap="square" lIns="0" tIns="0" rIns="0" bIns="0" anchor="ctr" anchorCtr="1"/>
                <a:lstStyle/>
                <a:p>
                  <a:pPr algn="ctr" rtl="0">
                    <a:defRPr>
                      <a:solidFill>
                        <a:schemeClr val="accent1"/>
                      </a:solidFill>
                    </a:defRPr>
                  </a:pPr>
                  <a:r>
                    <a:rPr lang="fr-FR" sz="900" b="1" i="0" u="none" strike="noStrike" baseline="0">
                      <a:solidFill>
                        <a:schemeClr val="accent1"/>
                      </a:solidFill>
                      <a:latin typeface="Arial"/>
                    </a:rPr>
                    <a:t> Réactifs de diagnostic, automates, etc.</a:t>
                  </a:r>
                </a:p>
              </cx:txPr>
              <cx:visibility seriesName="0" categoryName="1" value="0"/>
            </cx:dataLabel>
            <cx:dataLabel idx="15">
              <cx:txPr>
                <a:bodyPr spcFirstLastPara="1" vertOverflow="ellipsis" horzOverflow="overflow" wrap="square" lIns="0" tIns="0" rIns="0" bIns="0" anchor="ctr" anchorCtr="1"/>
                <a:lstStyle/>
                <a:p>
                  <a:pPr algn="ctr" rtl="0">
                    <a:defRPr>
                      <a:solidFill>
                        <a:schemeClr val="bg2"/>
                      </a:solidFill>
                    </a:defRPr>
                  </a:pPr>
                  <a:r>
                    <a:rPr lang="fr-FR" sz="900" b="1" i="0" u="none" strike="noStrike" baseline="0">
                      <a:solidFill>
                        <a:schemeClr val="bg2"/>
                      </a:solidFill>
                      <a:latin typeface="Arial"/>
                    </a:rPr>
                    <a:t>Activités corporatives et R&amp;D</a:t>
                  </a:r>
                </a:p>
              </cx:txPr>
              <cx:visibility seriesName="0" categoryName="1" value="0"/>
            </cx:dataLabel>
            <cx:dataLabel idx="16">
              <cx:txPr>
                <a:bodyPr spcFirstLastPara="1" vertOverflow="ellipsis" horzOverflow="overflow" wrap="square" lIns="0" tIns="0" rIns="0" bIns="0" anchor="ctr" anchorCtr="1"/>
                <a:lstStyle/>
                <a:p>
                  <a:pPr algn="ctr" rtl="0">
                    <a:defRPr>
                      <a:solidFill>
                        <a:schemeClr val="accent1"/>
                      </a:solidFill>
                    </a:defRPr>
                  </a:pPr>
                  <a:r>
                    <a:rPr lang="fr-FR" sz="900" b="1" i="0" u="none" strike="noStrike" baseline="0">
                      <a:solidFill>
                        <a:schemeClr val="accent1"/>
                      </a:solidFill>
                      <a:latin typeface="Arial"/>
                    </a:rPr>
                    <a:t>Activités corporatives</a:t>
                  </a:r>
                </a:p>
              </cx:txPr>
              <cx:visibility seriesName="0" categoryName="1" value="0"/>
            </cx:dataLabel>
            <cx:dataLabel idx="17">
              <cx:txPr>
                <a:bodyPr spcFirstLastPara="1" vertOverflow="ellipsis" horzOverflow="overflow" wrap="square" lIns="0" tIns="0" rIns="0" bIns="0" anchor="ctr" anchorCtr="1"/>
                <a:lstStyle/>
                <a:p>
                  <a:pPr algn="ctr" rtl="0">
                    <a:defRPr>
                      <a:solidFill>
                        <a:schemeClr val="accent1"/>
                      </a:solidFill>
                    </a:defRPr>
                  </a:pPr>
                  <a:r>
                    <a:rPr lang="fr-FR" sz="900" b="1" i="0" u="none" strike="noStrike" baseline="0">
                      <a:solidFill>
                        <a:schemeClr val="accent1"/>
                      </a:solidFill>
                      <a:latin typeface="Arial"/>
                    </a:rPr>
                    <a:t>R&amp;D</a:t>
                  </a:r>
                </a:p>
              </cx:txPr>
              <cx:visibility seriesName="0" categoryName="1" value="0"/>
            </cx:dataLabel>
            <cx:dataLabel idx="18">
              <cx:txPr>
                <a:bodyPr spcFirstLastPara="1" vertOverflow="ellipsis" horzOverflow="overflow" wrap="square" lIns="0" tIns="0" rIns="0" bIns="0" anchor="ctr" anchorCtr="1"/>
                <a:lstStyle/>
                <a:p>
                  <a:pPr algn="ctr" rtl="0">
                    <a:defRPr>
                      <a:solidFill>
                        <a:schemeClr val="bg2"/>
                      </a:solidFill>
                    </a:defRPr>
                  </a:pPr>
                  <a:r>
                    <a:rPr lang="fr-FR" sz="900" b="1" i="0" u="none" strike="noStrike" baseline="0">
                      <a:solidFill>
                        <a:schemeClr val="bg2"/>
                      </a:solidFill>
                      <a:latin typeface="Arial"/>
                    </a:rPr>
                    <a:t>Autres : DM non couverts par notre rapport</a:t>
                  </a:r>
                </a:p>
              </cx:txPr>
              <cx:visibility seriesName="0" categoryName="1" value="0"/>
            </cx:dataLabel>
            <cx:dataLabel idx="19">
              <cx:txPr>
                <a:bodyPr spcFirstLastPara="1" vertOverflow="ellipsis" horzOverflow="overflow" wrap="square" lIns="0" tIns="0" rIns="0" bIns="0" anchor="ctr" anchorCtr="1"/>
                <a:lstStyle/>
                <a:p>
                  <a:pPr algn="ctr" rtl="0">
                    <a:defRPr>
                      <a:solidFill>
                        <a:schemeClr val="accent1"/>
                      </a:solidFill>
                    </a:defRPr>
                  </a:pPr>
                  <a:r>
                    <a:rPr lang="fr-FR" sz="900" b="1" i="0" u="none" strike="noStrike" baseline="0">
                      <a:solidFill>
                        <a:schemeClr val="accent1"/>
                      </a:solidFill>
                      <a:latin typeface="Arial"/>
                    </a:rPr>
                    <a:t>Pansements,
Instruments chirurgicaux, 
Hémodialyseurs,
Consommables pour le traitement du diabète,
Implants,
Dispositifs de contraception,
etc.</a:t>
                  </a:r>
                </a:p>
              </cx:txPr>
              <cx:visibility seriesName="0" categoryName="1" value="0"/>
            </cx:dataLabel>
            <cx:dataLabel idx="21">
              <cx:txPr>
                <a:bodyPr spcFirstLastPara="1" vertOverflow="ellipsis" horzOverflow="overflow" wrap="square" lIns="0" tIns="0" rIns="0" bIns="0" anchor="ctr" anchorCtr="1"/>
                <a:lstStyle/>
                <a:p>
                  <a:pPr algn="ctr" rtl="0">
                    <a:defRPr sz="900" b="1"/>
                  </a:pPr>
                  <a:r>
                    <a:rPr lang="fr-FR" sz="900" b="1" i="0" u="none" strike="noStrike" baseline="0">
                      <a:solidFill>
                        <a:schemeClr val="bg2"/>
                      </a:solidFill>
                      <a:latin typeface="Arial"/>
                    </a:rPr>
                    <a:t> Pansements, instruments chirurgicaux, etc.</a:t>
                  </a:r>
                </a:p>
              </cx:txPr>
              <cx:visibility seriesName="0" categoryName="1" value="0"/>
            </cx:dataLabel>
            <cx:dataLabel idx="23">
              <cx:txPr>
                <a:bodyPr spcFirstLastPara="1" vertOverflow="ellipsis" horzOverflow="overflow" wrap="square" lIns="0" tIns="0" rIns="0" bIns="0" anchor="ctr" anchorCtr="1"/>
                <a:lstStyle/>
                <a:p>
                  <a:pPr algn="ctr" rtl="0">
                    <a:defRPr sz="900" b="1"/>
                  </a:pPr>
                  <a:r>
                    <a:rPr lang="fr-FR" sz="900" b="1" i="0" u="none" strike="noStrike" baseline="0">
                      <a:solidFill>
                        <a:srgbClr val="FFFFFF"/>
                      </a:solidFill>
                      <a:latin typeface="Arial"/>
                    </a:rPr>
                    <a:t>Autres : DM non couverts par notre rapport</a:t>
                  </a:r>
                </a:p>
              </cx:txPr>
              <cx:visibility seriesName="0" categoryName="1" value="0"/>
            </cx:dataLabel>
          </cx:dataLabels>
          <cx:dataId val="0"/>
          <cx:layoutPr>
            <cx:parentLabelLayout val="banner"/>
          </cx:layoutPr>
        </cx:series>
      </cx:plotAreaRegion>
    </cx:plotArea>
  </cx:chart>
</cx:chartSpace>
</file>

<file path=xl/charts/chartEx3.xml><?xml version="1.0" encoding="utf-8"?>
<cx:chartSpace xmlns:a="http://schemas.openxmlformats.org/drawingml/2006/main" xmlns:r="http://schemas.openxmlformats.org/officeDocument/2006/relationships" xmlns:cx="http://schemas.microsoft.com/office/drawing/2014/chartex">
  <cx:chartData>
    <cx:data id="0">
      <cx:strDim type="cat">
        <cx:f>_xlchart.v1.0</cx:f>
      </cx:strDim>
      <cx:numDim type="size">
        <cx:f>_xlchart.v1.2</cx:f>
      </cx:numDim>
    </cx:data>
  </cx:chartData>
  <cx:chart>
    <cx:plotArea>
      <cx:plotAreaRegion>
        <cx:series layoutId="treemap" hidden="1" uniqueId="{8A45641F-5C7B-463A-A9DE-0695F61C9EBC}" formatIdx="0">
          <cx:tx>
            <cx:txData>
              <cx:f>_xlchart.v1.1</cx:f>
              <cx:v/>
            </cx:txData>
          </cx:tx>
          <cx:dataLabels pos="inEnd">
            <cx:txPr>
              <a:bodyPr vertOverflow="overflow" horzOverflow="overflow" wrap="square" lIns="0" tIns="0" rIns="0" bIns="0"/>
              <a:lstStyle/>
              <a:p>
                <a:pPr algn="ctr" rtl="0">
                  <a:defRPr sz="1200" b="1" i="0">
                    <a:solidFill>
                      <a:srgbClr val="FFFFFF"/>
                    </a:solidFill>
                    <a:latin typeface="Arial" panose="020B0604020202020204" pitchFamily="34" charset="0"/>
                    <a:ea typeface="Arial" panose="020B0604020202020204" pitchFamily="34" charset="0"/>
                    <a:cs typeface="Arial" panose="020B0604020202020204" pitchFamily="34" charset="0"/>
                  </a:defRPr>
                </a:pPr>
                <a:endParaRPr lang="en-GB" sz="1200" b="1"/>
              </a:p>
            </cx:txPr>
            <cx:visibility seriesName="0" categoryName="1" value="0"/>
            <cx:dataLabel idx="2">
              <cx:txPr>
                <a:bodyPr vertOverflow="overflow" horzOverflow="overflow" wrap="square" lIns="0" tIns="0" rIns="0" bIns="0"/>
                <a:lstStyle/>
                <a:p>
                  <a:pPr algn="ctr" rtl="0">
                    <a:defRPr>
                      <a:solidFill>
                        <a:schemeClr val="tx2"/>
                      </a:solidFill>
                    </a:defRPr>
                  </a:pPr>
                  <a:r>
                    <a:rPr lang="en-GB" sz="1200" b="1">
                      <a:solidFill>
                        <a:schemeClr val="tx2"/>
                      </a:solidFill>
                    </a:rPr>
                    <a:t> Gants </a:t>
                  </a:r>
                </a:p>
              </cx:txPr>
              <cx:visibility seriesName="0" categoryName="1" value="0"/>
            </cx:dataLabel>
            <cx:dataLabel idx="3">
              <cx:txPr>
                <a:bodyPr vertOverflow="overflow" horzOverflow="overflow" wrap="square" lIns="0" tIns="0" rIns="0" bIns="0"/>
                <a:lstStyle/>
                <a:p>
                  <a:pPr algn="ctr" rtl="0">
                    <a:defRPr>
                      <a:solidFill>
                        <a:schemeClr val="tx2"/>
                      </a:solidFill>
                    </a:defRPr>
                  </a:pPr>
                  <a:r>
                    <a:rPr lang="en-GB" sz="1200" b="1">
                      <a:solidFill>
                        <a:schemeClr val="tx2"/>
                      </a:solidFill>
                    </a:rPr>
                    <a:t> Casaques et Champs </a:t>
                  </a:r>
                </a:p>
              </cx:txPr>
              <cx:visibility seriesName="0" categoryName="1" value="0"/>
            </cx:dataLabel>
            <cx:dataLabel idx="4">
              <cx:txPr>
                <a:bodyPr vertOverflow="overflow" horzOverflow="overflow" wrap="square" lIns="0" tIns="0" rIns="0" bIns="0"/>
                <a:lstStyle/>
                <a:p>
                  <a:pPr algn="ctr" rtl="0">
                    <a:defRPr>
                      <a:solidFill>
                        <a:schemeClr val="tx2"/>
                      </a:solidFill>
                    </a:defRPr>
                  </a:pPr>
                  <a:r>
                    <a:rPr lang="en-GB" sz="1200" b="1">
                      <a:solidFill>
                        <a:schemeClr val="tx2"/>
                      </a:solidFill>
                    </a:rPr>
                    <a:t> Dispositifs pour l'urologie et la stomathérapie </a:t>
                  </a:r>
                </a:p>
              </cx:txPr>
              <cx:visibility seriesName="0" categoryName="1" value="0"/>
            </cx:dataLabel>
          </cx:dataLabels>
          <cx:dataId val="0"/>
          <cx:layoutPr>
            <cx:parentLabelLayout val="overlapping"/>
          </cx:layoutPr>
        </cx:series>
      </cx:plotAreaRegion>
    </cx:plotArea>
  </cx:chart>
</cx:chartSpace>
</file>

<file path=xl/charts/chartEx4.xml><?xml version="1.0" encoding="utf-8"?>
<cx:chartSpace xmlns:a="http://schemas.openxmlformats.org/drawingml/2006/main" xmlns:r="http://schemas.openxmlformats.org/officeDocument/2006/relationships" xmlns:cx="http://schemas.microsoft.com/office/drawing/2014/chartex">
  <cx:chartData>
    <cx:data id="0">
      <cx:strDim type="cat">
        <cx:f>_xlchart.v1.7</cx:f>
      </cx:strDim>
      <cx:numDim type="size">
        <cx:f>_xlchart.v1.8</cx:f>
      </cx:numDim>
    </cx:data>
  </cx:chartData>
  <cx:chart>
    <cx:title pos="t" align="ctr" overlay="0">
      <cx:tx>
        <cx:txData>
          <cx:v>Titre du graphique</cx:v>
        </cx:txData>
      </cx:tx>
      <cx:txPr>
        <a:bodyPr vertOverflow="overflow" horzOverflow="overflow" wrap="square" lIns="0" tIns="0" rIns="0" bIns="0"/>
        <a:lstStyle/>
        <a:p>
          <a:pPr algn="ctr" rtl="0">
            <a:defRPr sz="1400" b="0" i="0">
              <a:solidFill>
                <a:srgbClr val="7F7F7F"/>
              </a:solidFill>
              <a:latin typeface="Calibri" panose="020F0502020204030204" pitchFamily="34" charset="0"/>
              <a:ea typeface="Calibri" panose="020F0502020204030204" pitchFamily="34" charset="0"/>
              <a:cs typeface="Calibri" panose="020F0502020204030204" pitchFamily="34" charset="0"/>
            </a:defRPr>
          </a:pPr>
          <a:r>
            <a:t>Titre du graphique</a:t>
          </a:r>
        </a:p>
      </cx:txPr>
    </cx:title>
    <cx:plotArea>
      <cx:plotAreaRegion>
        <cx:series layoutId="treemap" uniqueId="{7E497377-12A9-4B47-9ADA-0F2182242896}">
          <cx:dataLabels pos="inEnd">
            <cx:txPr>
              <a:bodyPr vertOverflow="overflow" horzOverflow="overflow" wrap="square" lIns="0" tIns="0" rIns="0" bIns="0"/>
              <a:lstStyle/>
              <a:p>
                <a:pPr algn="ctr" rtl="0">
                  <a:defRPr sz="1200" b="0" i="0">
                    <a:solidFill>
                      <a:srgbClr val="000000"/>
                    </a:solidFill>
                    <a:latin typeface="Calibri" panose="020F0502020204030204" pitchFamily="34" charset="0"/>
                    <a:ea typeface="Calibri" panose="020F0502020204030204" pitchFamily="34" charset="0"/>
                    <a:cs typeface="Calibri" panose="020F0502020204030204" pitchFamily="34" charset="0"/>
                  </a:defRPr>
                </a:pPr>
                <a:endParaRPr/>
              </a:p>
            </cx:txPr>
            <cx:visibility seriesName="0" categoryName="1" value="0"/>
          </cx:dataLabels>
          <cx:dataId val="0"/>
          <cx:layoutPr>
            <cx:parentLabelLayout val="overlapping"/>
          </cx:layoutPr>
        </cx:series>
      </cx:plotAreaRegion>
    </cx:plotArea>
  </cx:chart>
</cx:chartSpace>
</file>

<file path=xl/charts/chartEx5.xml><?xml version="1.0" encoding="utf-8"?>
<cx:chartSpace xmlns:a="http://schemas.openxmlformats.org/drawingml/2006/main" xmlns:r="http://schemas.openxmlformats.org/officeDocument/2006/relationships" xmlns:cx="http://schemas.microsoft.com/office/drawing/2014/chartex">
  <cx:chartData>
    <cx:data id="0">
      <cx:numDim type="val">
        <cx:f>_xlchart.v1.10</cx:f>
      </cx:numDim>
    </cx:data>
    <cx:data id="1">
      <cx:numDim type="val">
        <cx:f>_xlchart.v1.12</cx:f>
      </cx:numDim>
    </cx:data>
  </cx:chartData>
  <cx:chart>
    <cx:title pos="t" align="ctr" overlay="0">
      <cx:tx>
        <cx:rich>
          <a:bodyPr spcFirstLastPara="1" vertOverflow="ellipsis" horzOverflow="overflow" wrap="square" lIns="0" tIns="0" rIns="0" bIns="0" anchor="ctr" anchorCtr="1"/>
          <a:lstStyle/>
          <a:p>
            <a:pPr algn="ctr" rtl="0">
              <a:defRPr sz="1200">
                <a:solidFill>
                  <a:schemeClr val="accent1"/>
                </a:solidFill>
              </a:defRPr>
            </a:pPr>
            <a:r>
              <a:rPr lang="fr-FR" sz="1200" b="1" i="0" u="none" strike="noStrike" baseline="0">
                <a:solidFill>
                  <a:schemeClr val="accent1"/>
                </a:solidFill>
                <a:latin typeface="Arial"/>
              </a:rPr>
              <a:t>Répartition des prix de différents types de PP sur le marché chinois</a:t>
            </a:r>
            <a:br>
              <a:rPr lang="fr-FR" sz="1200" b="1" i="0" u="none" strike="noStrike" baseline="0">
                <a:solidFill>
                  <a:schemeClr val="accent1"/>
                </a:solidFill>
                <a:latin typeface="Arial"/>
              </a:rPr>
            </a:br>
            <a:r>
              <a:rPr lang="fr-FR" sz="1050" b="1" i="0" u="none" strike="noStrike" baseline="0">
                <a:solidFill>
                  <a:schemeClr val="accent1"/>
                </a:solidFill>
                <a:latin typeface="Arial"/>
              </a:rPr>
              <a:t>(prix sur </a:t>
            </a:r>
            <a:r>
              <a:rPr lang="fr-FR" sz="1050" b="1" i="1" u="none" strike="noStrike" baseline="0">
                <a:solidFill>
                  <a:schemeClr val="accent1"/>
                </a:solidFill>
                <a:latin typeface="Arial"/>
              </a:rPr>
              <a:t>https://fr.made-in-china.com/</a:t>
            </a:r>
            <a:r>
              <a:rPr lang="fr-FR" sz="1050" b="1" i="0" u="none" strike="noStrike" baseline="0">
                <a:solidFill>
                  <a:schemeClr val="accent1"/>
                </a:solidFill>
                <a:latin typeface="Arial"/>
              </a:rPr>
              <a:t>)</a:t>
            </a:r>
          </a:p>
        </cx:rich>
      </cx:tx>
    </cx:title>
    <cx:plotArea>
      <cx:plotAreaRegion>
        <cx:series layoutId="boxWhisker" hidden="1" uniqueId="{9871E4C9-DF86-4D42-A9F8-DE8F85DEEA55}" formatIdx="0">
          <cx:tx>
            <cx:txData>
              <cx:f>_xlchart.v1.9</cx:f>
              <cx:v/>
            </cx:txData>
          </cx:tx>
          <cx:spPr>
            <a:solidFill>
              <a:schemeClr val="accent4"/>
            </a:solidFill>
          </cx:spPr>
          <cx:dataId val="0"/>
          <cx:layoutPr>
            <cx:visibility meanLine="0" meanMarker="0" nonoutliers="1" outliers="1"/>
            <cx:statistics quartileMethod="exclusive"/>
          </cx:layoutPr>
        </cx:series>
        <cx:series layoutId="boxWhisker" hidden="1" uniqueId="{7AB23650-A548-4C3C-920F-30ED1B5B4A27}" formatIdx="1">
          <cx:tx>
            <cx:txData>
              <cx:f>_xlchart.v1.11</cx:f>
              <cx:v/>
            </cx:txData>
          </cx:tx>
          <cx:spPr>
            <a:ln>
              <a:solidFill>
                <a:schemeClr val="accent1"/>
              </a:solidFill>
            </a:ln>
          </cx:spPr>
          <cx:dataId val="1"/>
          <cx:layoutPr>
            <cx:visibility meanLine="1" meanMarker="0" nonoutliers="1" outliers="1"/>
            <cx:statistics quartileMethod="exclusive"/>
          </cx:layoutPr>
        </cx:series>
      </cx:plotAreaRegion>
    </cx:plotArea>
    <cx:legend pos="r" align="ctr" overlay="0">
      <cx:txPr>
        <a:bodyPr spcFirstLastPara="1" vertOverflow="ellipsis" horzOverflow="overflow" wrap="square" lIns="0" tIns="0" rIns="0" bIns="0" anchor="ctr" anchorCtr="1"/>
        <a:lstStyle/>
        <a:p>
          <a:pPr algn="ctr" rtl="0">
            <a:defRPr sz="1050" b="1">
              <a:solidFill>
                <a:schemeClr val="accent1"/>
              </a:solidFill>
            </a:defRPr>
          </a:pPr>
          <a:endParaRPr lang="fr-FR" sz="1050" b="1" i="0" u="none" strike="noStrike" baseline="0">
            <a:solidFill>
              <a:schemeClr val="accent1"/>
            </a:solidFill>
            <a:latin typeface="Arial"/>
          </a:endParaRPr>
        </a:p>
      </cx:txPr>
    </cx:legend>
  </cx:chart>
  <cx:spPr>
    <a:ln>
      <a:noFill/>
    </a:ln>
  </cx:spPr>
</cx: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381">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lt1"/>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4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410">
  <cs:axisTitle>
    <cs:lnRef idx="0"/>
    <cs:fillRef idx="0"/>
    <cs:effectRef idx="0"/>
    <cs:fontRef idx="minor">
      <a:schemeClr val="tx1">
        <a:lumMod val="65000"/>
        <a:lumOff val="35000"/>
      </a:schemeClr>
    </cs:fontRef>
    <cs:spPr>
      <a:solidFill>
        <a:schemeClr val="bg1">
          <a:lumMod val="65000"/>
        </a:schemeClr>
      </a:solidFill>
      <a:ln w="19050">
        <a:solidFill>
          <a:schemeClr val="bg1"/>
        </a:solidFill>
      </a:ln>
    </cs:spPr>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lt1"/>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5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410">
  <cs:axisTitle>
    <cs:lnRef idx="0"/>
    <cs:fillRef idx="0"/>
    <cs:effectRef idx="0"/>
    <cs:fontRef idx="minor">
      <a:schemeClr val="tx1">
        <a:lumMod val="65000"/>
        <a:lumOff val="35000"/>
      </a:schemeClr>
    </cs:fontRef>
    <cs:spPr>
      <a:solidFill>
        <a:schemeClr val="bg1">
          <a:lumMod val="65000"/>
        </a:schemeClr>
      </a:solidFill>
      <a:ln w="19050">
        <a:solidFill>
          <a:schemeClr val="bg1"/>
        </a:solidFill>
      </a:ln>
    </cs:spPr>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lt1"/>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6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2.xml><?xml version="1.0" encoding="utf-8"?>
<cs:chartStyle xmlns:cs="http://schemas.microsoft.com/office/drawing/2012/chartStyle" xmlns:a="http://schemas.openxmlformats.org/drawingml/2006/main" id="410">
  <cs:axisTitle>
    <cs:lnRef idx="0"/>
    <cs:fillRef idx="0"/>
    <cs:effectRef idx="0"/>
    <cs:fontRef idx="minor">
      <a:schemeClr val="tx1">
        <a:lumMod val="65000"/>
        <a:lumOff val="35000"/>
      </a:schemeClr>
    </cs:fontRef>
    <cs:spPr>
      <a:solidFill>
        <a:schemeClr val="bg1">
          <a:lumMod val="65000"/>
        </a:schemeClr>
      </a:solidFill>
      <a:ln w="19050">
        <a:solidFill>
          <a:schemeClr val="bg1"/>
        </a:solidFill>
      </a:ln>
    </cs:spPr>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lt1"/>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63.xml><?xml version="1.0" encoding="utf-8"?>
<cs:chartStyle xmlns:cs="http://schemas.microsoft.com/office/drawing/2012/chartStyle" xmlns:a="http://schemas.openxmlformats.org/drawingml/2006/main" id="333">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50000"/>
            <a:lumOff val="50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a:ln w="1905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40" b="0" kern="1200" spc="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5.xml><?xml version="1.0" encoding="utf-8"?>
<cs:chartStyle xmlns:cs="http://schemas.microsoft.com/office/drawing/2012/chartStyle" xmlns:a="http://schemas.openxmlformats.org/drawingml/2006/main" id="333">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50000"/>
            <a:lumOff val="50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a:ln w="1905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40" b="0" kern="1200" spc="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6.xml><?xml version="1.0" encoding="utf-8"?>
<cs:chartStyle xmlns:cs="http://schemas.microsoft.com/office/drawing/2012/chartStyle" xmlns:a="http://schemas.openxmlformats.org/drawingml/2006/main" id="333">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50000"/>
            <a:lumOff val="50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a:ln w="1905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40" b="0" kern="1200" spc="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4.xml><?xml version="1.0" encoding="utf-8"?>
<cs:chartStyle xmlns:cs="http://schemas.microsoft.com/office/drawing/2012/chartStyle" xmlns:a="http://schemas.openxmlformats.org/drawingml/2006/main" id="406">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tx1"/>
    </cs:fontRef>
    <cs:spPr>
      <a:solidFill>
        <a:schemeClr val="phClr"/>
      </a:solidFill>
      <a:ln>
        <a:solidFill>
          <a:schemeClr val="phClr"/>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8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366">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4.xml"/><Relationship Id="rId13" Type="http://schemas.openxmlformats.org/officeDocument/2006/relationships/image" Target="../media/image4.png"/><Relationship Id="rId3" Type="http://schemas.openxmlformats.org/officeDocument/2006/relationships/chart" Target="../charts/chart3.xml"/><Relationship Id="rId7" Type="http://schemas.microsoft.com/office/2014/relationships/chartEx" Target="../charts/chartEx3.xml"/><Relationship Id="rId12" Type="http://schemas.openxmlformats.org/officeDocument/2006/relationships/image" Target="../media/image3.png"/><Relationship Id="rId2" Type="http://schemas.openxmlformats.org/officeDocument/2006/relationships/chart" Target="../charts/chart2.xml"/><Relationship Id="rId1" Type="http://schemas.openxmlformats.org/officeDocument/2006/relationships/chart" Target="../charts/chart1.xml"/><Relationship Id="rId6" Type="http://schemas.microsoft.com/office/2014/relationships/chartEx" Target="../charts/chartEx2.xml"/><Relationship Id="rId11" Type="http://schemas.openxmlformats.org/officeDocument/2006/relationships/chart" Target="../charts/chart6.xml"/><Relationship Id="rId5" Type="http://schemas.microsoft.com/office/2014/relationships/chartEx" Target="../charts/chartEx1.xml"/><Relationship Id="rId15" Type="http://schemas.openxmlformats.org/officeDocument/2006/relationships/image" Target="../media/image6.png"/><Relationship Id="rId10" Type="http://schemas.openxmlformats.org/officeDocument/2006/relationships/chart" Target="../charts/chart5.xml"/><Relationship Id="rId4" Type="http://schemas.openxmlformats.org/officeDocument/2006/relationships/image" Target="../media/image1.png"/><Relationship Id="rId9" Type="http://schemas.openxmlformats.org/officeDocument/2006/relationships/image" Target="../media/image2.png"/><Relationship Id="rId14" Type="http://schemas.openxmlformats.org/officeDocument/2006/relationships/image" Target="../media/image5.png"/></Relationships>
</file>

<file path=xl/drawings/_rels/drawing10.xml.rels><?xml version="1.0" encoding="UTF-8" standalone="yes"?>
<Relationships xmlns="http://schemas.openxmlformats.org/package/2006/relationships"><Relationship Id="rId8" Type="http://schemas.openxmlformats.org/officeDocument/2006/relationships/chart" Target="../charts/chart28.xml"/><Relationship Id="rId13" Type="http://schemas.openxmlformats.org/officeDocument/2006/relationships/image" Target="../media/image35.png"/><Relationship Id="rId3" Type="http://schemas.openxmlformats.org/officeDocument/2006/relationships/image" Target="../media/image30.png"/><Relationship Id="rId7" Type="http://schemas.openxmlformats.org/officeDocument/2006/relationships/chart" Target="../charts/chart27.xml"/><Relationship Id="rId12" Type="http://schemas.openxmlformats.org/officeDocument/2006/relationships/image" Target="../media/image34.png"/><Relationship Id="rId2" Type="http://schemas.openxmlformats.org/officeDocument/2006/relationships/image" Target="../media/image29.png"/><Relationship Id="rId1" Type="http://schemas.openxmlformats.org/officeDocument/2006/relationships/image" Target="../media/image28.png"/><Relationship Id="rId6" Type="http://schemas.openxmlformats.org/officeDocument/2006/relationships/chart" Target="../charts/chart26.xml"/><Relationship Id="rId11" Type="http://schemas.openxmlformats.org/officeDocument/2006/relationships/image" Target="../media/image33.png"/><Relationship Id="rId5" Type="http://schemas.openxmlformats.org/officeDocument/2006/relationships/image" Target="../media/image31.jpeg"/><Relationship Id="rId10" Type="http://schemas.openxmlformats.org/officeDocument/2006/relationships/chart" Target="../charts/chart29.xml"/><Relationship Id="rId4" Type="http://schemas.openxmlformats.org/officeDocument/2006/relationships/chart" Target="../charts/chart25.xml"/><Relationship Id="rId9" Type="http://schemas.openxmlformats.org/officeDocument/2006/relationships/image" Target="../media/image32.jpeg"/></Relationships>
</file>

<file path=xl/drawings/_rels/drawing11.xml.rels><?xml version="1.0" encoding="UTF-8" standalone="yes"?>
<Relationships xmlns="http://schemas.openxmlformats.org/package/2006/relationships"><Relationship Id="rId3" Type="http://schemas.openxmlformats.org/officeDocument/2006/relationships/image" Target="../media/image36.png"/><Relationship Id="rId2" Type="http://schemas.openxmlformats.org/officeDocument/2006/relationships/chart" Target="../charts/chart31.xml"/><Relationship Id="rId1" Type="http://schemas.openxmlformats.org/officeDocument/2006/relationships/chart" Target="../charts/chart30.xml"/><Relationship Id="rId6" Type="http://schemas.openxmlformats.org/officeDocument/2006/relationships/chart" Target="../charts/chart33.xml"/><Relationship Id="rId5" Type="http://schemas.openxmlformats.org/officeDocument/2006/relationships/chart" Target="../charts/chart32.xml"/><Relationship Id="rId4" Type="http://schemas.openxmlformats.org/officeDocument/2006/relationships/image" Target="../media/image37.png"/></Relationships>
</file>

<file path=xl/drawings/_rels/drawing12.xml.rels><?xml version="1.0" encoding="UTF-8" standalone="yes"?>
<Relationships xmlns="http://schemas.openxmlformats.org/package/2006/relationships"><Relationship Id="rId3" Type="http://schemas.openxmlformats.org/officeDocument/2006/relationships/chart" Target="../charts/chart35.xml"/><Relationship Id="rId2" Type="http://schemas.openxmlformats.org/officeDocument/2006/relationships/chart" Target="../charts/chart34.xml"/><Relationship Id="rId1" Type="http://schemas.openxmlformats.org/officeDocument/2006/relationships/image" Target="../media/image38.png"/></Relationships>
</file>

<file path=xl/drawings/_rels/drawing13.xml.rels><?xml version="1.0" encoding="UTF-8" standalone="yes"?>
<Relationships xmlns="http://schemas.openxmlformats.org/package/2006/relationships"><Relationship Id="rId8" Type="http://schemas.openxmlformats.org/officeDocument/2006/relationships/image" Target="../media/image43.png"/><Relationship Id="rId13" Type="http://schemas.openxmlformats.org/officeDocument/2006/relationships/chart" Target="../charts/chart43.xml"/><Relationship Id="rId3" Type="http://schemas.openxmlformats.org/officeDocument/2006/relationships/chart" Target="../charts/chart38.xml"/><Relationship Id="rId7" Type="http://schemas.openxmlformats.org/officeDocument/2006/relationships/image" Target="../media/image42.png"/><Relationship Id="rId12" Type="http://schemas.openxmlformats.org/officeDocument/2006/relationships/chart" Target="../charts/chart42.xml"/><Relationship Id="rId2" Type="http://schemas.openxmlformats.org/officeDocument/2006/relationships/chart" Target="../charts/chart37.xml"/><Relationship Id="rId1" Type="http://schemas.openxmlformats.org/officeDocument/2006/relationships/chart" Target="../charts/chart36.xml"/><Relationship Id="rId6" Type="http://schemas.openxmlformats.org/officeDocument/2006/relationships/image" Target="../media/image41.png"/><Relationship Id="rId11" Type="http://schemas.openxmlformats.org/officeDocument/2006/relationships/chart" Target="../charts/chart41.xml"/><Relationship Id="rId5" Type="http://schemas.openxmlformats.org/officeDocument/2006/relationships/image" Target="../media/image40.png"/><Relationship Id="rId10" Type="http://schemas.openxmlformats.org/officeDocument/2006/relationships/chart" Target="../charts/chart40.xml"/><Relationship Id="rId4" Type="http://schemas.openxmlformats.org/officeDocument/2006/relationships/image" Target="../media/image39.png"/><Relationship Id="rId9" Type="http://schemas.openxmlformats.org/officeDocument/2006/relationships/chart" Target="../charts/chart39.xml"/><Relationship Id="rId14" Type="http://schemas.openxmlformats.org/officeDocument/2006/relationships/chart" Target="../charts/chart44.xml"/></Relationships>
</file>

<file path=xl/drawings/_rels/drawing14.xml.rels><?xml version="1.0" encoding="UTF-8" standalone="yes"?>
<Relationships xmlns="http://schemas.openxmlformats.org/package/2006/relationships"><Relationship Id="rId3" Type="http://schemas.openxmlformats.org/officeDocument/2006/relationships/chart" Target="../charts/chart47.xml"/><Relationship Id="rId2" Type="http://schemas.openxmlformats.org/officeDocument/2006/relationships/chart" Target="../charts/chart46.xml"/><Relationship Id="rId1" Type="http://schemas.openxmlformats.org/officeDocument/2006/relationships/chart" Target="../charts/chart45.xml"/><Relationship Id="rId5" Type="http://schemas.openxmlformats.org/officeDocument/2006/relationships/chart" Target="../charts/chart49.xml"/><Relationship Id="rId4" Type="http://schemas.openxmlformats.org/officeDocument/2006/relationships/chart" Target="../charts/chart48.xml"/></Relationships>
</file>

<file path=xl/drawings/_rels/drawing15.xml.rels><?xml version="1.0" encoding="UTF-8" standalone="yes"?>
<Relationships xmlns="http://schemas.openxmlformats.org/package/2006/relationships"><Relationship Id="rId3" Type="http://schemas.openxmlformats.org/officeDocument/2006/relationships/chart" Target="../charts/chart51.xml"/><Relationship Id="rId7" Type="http://schemas.openxmlformats.org/officeDocument/2006/relationships/chart" Target="../charts/chart53.xml"/><Relationship Id="rId2" Type="http://schemas.openxmlformats.org/officeDocument/2006/relationships/image" Target="../media/image44.png"/><Relationship Id="rId1" Type="http://schemas.openxmlformats.org/officeDocument/2006/relationships/chart" Target="../charts/chart50.xml"/><Relationship Id="rId6" Type="http://schemas.openxmlformats.org/officeDocument/2006/relationships/image" Target="../media/image46.png"/><Relationship Id="rId5" Type="http://schemas.openxmlformats.org/officeDocument/2006/relationships/chart" Target="../charts/chart52.xml"/><Relationship Id="rId4" Type="http://schemas.openxmlformats.org/officeDocument/2006/relationships/image" Target="../media/image45.png"/></Relationships>
</file>

<file path=xl/drawings/_rels/drawing16.xml.rels><?xml version="1.0" encoding="UTF-8" standalone="yes"?>
<Relationships xmlns="http://schemas.openxmlformats.org/package/2006/relationships"><Relationship Id="rId3" Type="http://schemas.openxmlformats.org/officeDocument/2006/relationships/chart" Target="../charts/chart55.xml"/><Relationship Id="rId2" Type="http://schemas.openxmlformats.org/officeDocument/2006/relationships/chart" Target="../charts/chart54.xml"/><Relationship Id="rId1" Type="http://schemas.openxmlformats.org/officeDocument/2006/relationships/image" Target="../media/image47.png"/></Relationships>
</file>

<file path=xl/drawings/_rels/drawing17.xml.rels><?xml version="1.0" encoding="UTF-8" standalone="yes"?>
<Relationships xmlns="http://schemas.openxmlformats.org/package/2006/relationships"><Relationship Id="rId3" Type="http://schemas.openxmlformats.org/officeDocument/2006/relationships/chart" Target="../charts/chart58.xml"/><Relationship Id="rId2" Type="http://schemas.openxmlformats.org/officeDocument/2006/relationships/chart" Target="../charts/chart57.xml"/><Relationship Id="rId1" Type="http://schemas.openxmlformats.org/officeDocument/2006/relationships/chart" Target="../charts/chart56.xml"/><Relationship Id="rId5" Type="http://schemas.openxmlformats.org/officeDocument/2006/relationships/image" Target="../media/image48.png"/><Relationship Id="rId4" Type="http://schemas.microsoft.com/office/2014/relationships/chartEx" Target="../charts/chartEx4.xml"/></Relationships>
</file>

<file path=xl/drawings/_rels/drawing18.xml.rels><?xml version="1.0" encoding="UTF-8" standalone="yes"?>
<Relationships xmlns="http://schemas.openxmlformats.org/package/2006/relationships"><Relationship Id="rId8" Type="http://schemas.openxmlformats.org/officeDocument/2006/relationships/chart" Target="../charts/chart64.xml"/><Relationship Id="rId13" Type="http://schemas.openxmlformats.org/officeDocument/2006/relationships/chart" Target="../charts/chart69.xml"/><Relationship Id="rId3" Type="http://schemas.openxmlformats.org/officeDocument/2006/relationships/chart" Target="../charts/chart60.xml"/><Relationship Id="rId7" Type="http://schemas.openxmlformats.org/officeDocument/2006/relationships/chart" Target="../charts/chart63.xml"/><Relationship Id="rId12" Type="http://schemas.openxmlformats.org/officeDocument/2006/relationships/chart" Target="../charts/chart68.xml"/><Relationship Id="rId2" Type="http://schemas.openxmlformats.org/officeDocument/2006/relationships/chart" Target="../charts/chart59.xml"/><Relationship Id="rId1" Type="http://schemas.openxmlformats.org/officeDocument/2006/relationships/image" Target="../media/image49.png"/><Relationship Id="rId6" Type="http://schemas.openxmlformats.org/officeDocument/2006/relationships/chart" Target="../charts/chart62.xml"/><Relationship Id="rId11" Type="http://schemas.openxmlformats.org/officeDocument/2006/relationships/chart" Target="../charts/chart67.xml"/><Relationship Id="rId5" Type="http://schemas.openxmlformats.org/officeDocument/2006/relationships/image" Target="../media/image50.png"/><Relationship Id="rId10" Type="http://schemas.openxmlformats.org/officeDocument/2006/relationships/chart" Target="../charts/chart66.xml"/><Relationship Id="rId4" Type="http://schemas.openxmlformats.org/officeDocument/2006/relationships/chart" Target="../charts/chart61.xml"/><Relationship Id="rId9" Type="http://schemas.openxmlformats.org/officeDocument/2006/relationships/chart" Target="../charts/chart65.xml"/><Relationship Id="rId14" Type="http://schemas.openxmlformats.org/officeDocument/2006/relationships/chart" Target="../charts/chart70.xml"/></Relationships>
</file>

<file path=xl/drawings/_rels/drawing19.xml.rels><?xml version="1.0" encoding="UTF-8" standalone="yes"?>
<Relationships xmlns="http://schemas.openxmlformats.org/package/2006/relationships"><Relationship Id="rId3" Type="http://schemas.openxmlformats.org/officeDocument/2006/relationships/chart" Target="../charts/chart73.xml"/><Relationship Id="rId2" Type="http://schemas.openxmlformats.org/officeDocument/2006/relationships/chart" Target="../charts/chart72.xml"/><Relationship Id="rId1" Type="http://schemas.openxmlformats.org/officeDocument/2006/relationships/chart" Target="../charts/chart71.xml"/><Relationship Id="rId6" Type="http://schemas.openxmlformats.org/officeDocument/2006/relationships/chart" Target="../charts/chart76.xml"/><Relationship Id="rId5" Type="http://schemas.openxmlformats.org/officeDocument/2006/relationships/chart" Target="../charts/chart75.xml"/><Relationship Id="rId4" Type="http://schemas.openxmlformats.org/officeDocument/2006/relationships/chart" Target="../charts/chart74.xml"/></Relationships>
</file>

<file path=xl/drawings/_rels/drawing2.xml.rels><?xml version="1.0" encoding="UTF-8" standalone="yes"?>
<Relationships xmlns="http://schemas.openxmlformats.org/package/2006/relationships"><Relationship Id="rId3" Type="http://schemas.openxmlformats.org/officeDocument/2006/relationships/image" Target="../media/image8.jpeg"/><Relationship Id="rId2" Type="http://schemas.openxmlformats.org/officeDocument/2006/relationships/image" Target="../media/image7.jpeg"/><Relationship Id="rId1" Type="http://schemas.openxmlformats.org/officeDocument/2006/relationships/chart" Target="../charts/chart7.xml"/><Relationship Id="rId5" Type="http://schemas.openxmlformats.org/officeDocument/2006/relationships/image" Target="../media/image10.png"/><Relationship Id="rId4" Type="http://schemas.openxmlformats.org/officeDocument/2006/relationships/image" Target="../media/image9.jpeg"/></Relationships>
</file>

<file path=xl/drawings/_rels/drawing20.xml.rels><?xml version="1.0" encoding="UTF-8" standalone="yes"?>
<Relationships xmlns="http://schemas.openxmlformats.org/package/2006/relationships"><Relationship Id="rId1" Type="http://schemas.openxmlformats.org/officeDocument/2006/relationships/chart" Target="../charts/chart77.xml"/></Relationships>
</file>

<file path=xl/drawings/_rels/drawing22.xml.rels><?xml version="1.0" encoding="UTF-8" standalone="yes"?>
<Relationships xmlns="http://schemas.openxmlformats.org/package/2006/relationships"><Relationship Id="rId2" Type="http://schemas.openxmlformats.org/officeDocument/2006/relationships/image" Target="../media/image51.png"/><Relationship Id="rId1" Type="http://schemas.openxmlformats.org/officeDocument/2006/relationships/chart" Target="../charts/chart78.xml"/></Relationships>
</file>

<file path=xl/drawings/_rels/drawing23.xml.rels><?xml version="1.0" encoding="UTF-8" standalone="yes"?>
<Relationships xmlns="http://schemas.openxmlformats.org/package/2006/relationships"><Relationship Id="rId1" Type="http://schemas.openxmlformats.org/officeDocument/2006/relationships/image" Target="../media/image45.png"/></Relationships>
</file>

<file path=xl/drawings/_rels/drawing24.xml.rels><?xml version="1.0" encoding="UTF-8" standalone="yes"?>
<Relationships xmlns="http://schemas.openxmlformats.org/package/2006/relationships"><Relationship Id="rId3" Type="http://schemas.openxmlformats.org/officeDocument/2006/relationships/image" Target="../media/image53.png"/><Relationship Id="rId2" Type="http://schemas.openxmlformats.org/officeDocument/2006/relationships/chart" Target="../charts/chart79.xml"/><Relationship Id="rId1" Type="http://schemas.openxmlformats.org/officeDocument/2006/relationships/image" Target="../media/image52.png"/></Relationships>
</file>

<file path=xl/drawings/_rels/drawing25.xml.rels><?xml version="1.0" encoding="UTF-8" standalone="yes"?>
<Relationships xmlns="http://schemas.openxmlformats.org/package/2006/relationships"><Relationship Id="rId3" Type="http://schemas.microsoft.com/office/2014/relationships/chartEx" Target="../charts/chartEx5.xml"/><Relationship Id="rId2" Type="http://schemas.openxmlformats.org/officeDocument/2006/relationships/image" Target="../media/image55.png"/><Relationship Id="rId1" Type="http://schemas.openxmlformats.org/officeDocument/2006/relationships/image" Target="../media/image54.png"/><Relationship Id="rId5" Type="http://schemas.openxmlformats.org/officeDocument/2006/relationships/image" Target="../media/image56.png"/><Relationship Id="rId4" Type="http://schemas.openxmlformats.org/officeDocument/2006/relationships/chart" Target="../charts/chart80.xml"/></Relationships>
</file>

<file path=xl/drawings/_rels/drawing26.xml.rels><?xml version="1.0" encoding="UTF-8" standalone="yes"?>
<Relationships xmlns="http://schemas.openxmlformats.org/package/2006/relationships"><Relationship Id="rId3" Type="http://schemas.openxmlformats.org/officeDocument/2006/relationships/chart" Target="../charts/chart82.xml"/><Relationship Id="rId2" Type="http://schemas.openxmlformats.org/officeDocument/2006/relationships/chart" Target="../charts/chart81.xml"/><Relationship Id="rId1" Type="http://schemas.openxmlformats.org/officeDocument/2006/relationships/image" Target="../media/image57.png"/></Relationships>
</file>

<file path=xl/drawings/_rels/drawing3.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chart" Target="../charts/chart8.xml"/><Relationship Id="rId1" Type="http://schemas.openxmlformats.org/officeDocument/2006/relationships/image" Target="../media/image11.png"/></Relationships>
</file>

<file path=xl/drawings/_rels/drawing4.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2.png"/><Relationship Id="rId1" Type="http://schemas.openxmlformats.org/officeDocument/2006/relationships/chart" Target="../charts/chart10.xml"/></Relationships>
</file>

<file path=xl/drawings/_rels/drawing5.xml.rels><?xml version="1.0" encoding="UTF-8" standalone="yes"?>
<Relationships xmlns="http://schemas.openxmlformats.org/package/2006/relationships"><Relationship Id="rId8" Type="http://schemas.openxmlformats.org/officeDocument/2006/relationships/chart" Target="../charts/chart11.xml"/><Relationship Id="rId13" Type="http://schemas.openxmlformats.org/officeDocument/2006/relationships/chart" Target="../charts/chart15.xml"/><Relationship Id="rId3" Type="http://schemas.openxmlformats.org/officeDocument/2006/relationships/image" Target="../media/image16.jpeg"/><Relationship Id="rId7" Type="http://schemas.openxmlformats.org/officeDocument/2006/relationships/image" Target="../media/image20.jpeg"/><Relationship Id="rId12" Type="http://schemas.openxmlformats.org/officeDocument/2006/relationships/chart" Target="../charts/chart14.xml"/><Relationship Id="rId2" Type="http://schemas.openxmlformats.org/officeDocument/2006/relationships/image" Target="../media/image15.jpeg"/><Relationship Id="rId1" Type="http://schemas.openxmlformats.org/officeDocument/2006/relationships/image" Target="../media/image14.jpeg"/><Relationship Id="rId6" Type="http://schemas.openxmlformats.org/officeDocument/2006/relationships/image" Target="../media/image19.png"/><Relationship Id="rId11" Type="http://schemas.openxmlformats.org/officeDocument/2006/relationships/chart" Target="../charts/chart13.xml"/><Relationship Id="rId5" Type="http://schemas.openxmlformats.org/officeDocument/2006/relationships/image" Target="../media/image18.jpeg"/><Relationship Id="rId10" Type="http://schemas.openxmlformats.org/officeDocument/2006/relationships/chart" Target="../charts/chart12.xml"/><Relationship Id="rId4" Type="http://schemas.openxmlformats.org/officeDocument/2006/relationships/image" Target="../media/image17.png"/><Relationship Id="rId9" Type="http://schemas.openxmlformats.org/officeDocument/2006/relationships/image" Target="../media/image21.png"/><Relationship Id="rId14" Type="http://schemas.openxmlformats.org/officeDocument/2006/relationships/chart" Target="../charts/chart16.xml"/></Relationships>
</file>

<file path=xl/drawings/_rels/drawing6.xml.rels><?xml version="1.0" encoding="UTF-8" standalone="yes"?>
<Relationships xmlns="http://schemas.openxmlformats.org/package/2006/relationships"><Relationship Id="rId2" Type="http://schemas.openxmlformats.org/officeDocument/2006/relationships/chart" Target="../charts/chart18.xml"/><Relationship Id="rId1" Type="http://schemas.openxmlformats.org/officeDocument/2006/relationships/chart" Target="../charts/chart17.xml"/></Relationships>
</file>

<file path=xl/drawings/_rels/drawing7.xml.rels><?xml version="1.0" encoding="UTF-8" standalone="yes"?>
<Relationships xmlns="http://schemas.openxmlformats.org/package/2006/relationships"><Relationship Id="rId8" Type="http://schemas.openxmlformats.org/officeDocument/2006/relationships/image" Target="../media/image25.png"/><Relationship Id="rId3" Type="http://schemas.openxmlformats.org/officeDocument/2006/relationships/image" Target="../media/image11.png"/><Relationship Id="rId7" Type="http://schemas.openxmlformats.org/officeDocument/2006/relationships/chart" Target="../charts/chart21.xml"/><Relationship Id="rId2" Type="http://schemas.openxmlformats.org/officeDocument/2006/relationships/image" Target="../media/image23.png"/><Relationship Id="rId1" Type="http://schemas.openxmlformats.org/officeDocument/2006/relationships/image" Target="../media/image22.png"/><Relationship Id="rId6" Type="http://schemas.openxmlformats.org/officeDocument/2006/relationships/chart" Target="../charts/chart20.xml"/><Relationship Id="rId5" Type="http://schemas.openxmlformats.org/officeDocument/2006/relationships/chart" Target="../charts/chart19.xml"/><Relationship Id="rId4" Type="http://schemas.openxmlformats.org/officeDocument/2006/relationships/image" Target="../media/image24.png"/></Relationships>
</file>

<file path=xl/drawings/_rels/drawing8.xml.rels><?xml version="1.0" encoding="UTF-8" standalone="yes"?>
<Relationships xmlns="http://schemas.openxmlformats.org/package/2006/relationships"><Relationship Id="rId3" Type="http://schemas.openxmlformats.org/officeDocument/2006/relationships/chart" Target="../charts/chart24.xml"/><Relationship Id="rId2" Type="http://schemas.openxmlformats.org/officeDocument/2006/relationships/chart" Target="../charts/chart23.xml"/><Relationship Id="rId1" Type="http://schemas.openxmlformats.org/officeDocument/2006/relationships/chart" Target="../charts/chart22.xml"/></Relationships>
</file>

<file path=xl/drawings/_rels/drawing9.xml.rels><?xml version="1.0" encoding="UTF-8" standalone="yes"?>
<Relationships xmlns="http://schemas.openxmlformats.org/package/2006/relationships"><Relationship Id="rId2" Type="http://schemas.openxmlformats.org/officeDocument/2006/relationships/image" Target="../media/image27.png"/><Relationship Id="rId1" Type="http://schemas.openxmlformats.org/officeDocument/2006/relationships/image" Target="../media/image26.png"/></Relationships>
</file>

<file path=xl/drawings/drawing1.xml><?xml version="1.0" encoding="utf-8"?>
<xdr:wsDr xmlns:xdr="http://schemas.openxmlformats.org/drawingml/2006/spreadsheetDrawing" xmlns:a="http://schemas.openxmlformats.org/drawingml/2006/main">
  <xdr:twoCellAnchor>
    <xdr:from>
      <xdr:col>1</xdr:col>
      <xdr:colOff>20568</xdr:colOff>
      <xdr:row>62</xdr:row>
      <xdr:rowOff>14409</xdr:rowOff>
    </xdr:from>
    <xdr:to>
      <xdr:col>4</xdr:col>
      <xdr:colOff>1400736</xdr:colOff>
      <xdr:row>81</xdr:row>
      <xdr:rowOff>159550</xdr:rowOff>
    </xdr:to>
    <xdr:graphicFrame macro="">
      <xdr:nvGraphicFramePr>
        <xdr:cNvPr id="2" name="Graphique 1">
          <a:extLst>
            <a:ext uri="{FF2B5EF4-FFF2-40B4-BE49-F238E27FC236}">
              <a16:creationId xmlns:a16="http://schemas.microsoft.com/office/drawing/2014/main" id="{8AC17EEF-E627-4895-985A-AE864E2D431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3274652</xdr:colOff>
      <xdr:row>71</xdr:row>
      <xdr:rowOff>23010</xdr:rowOff>
    </xdr:from>
    <xdr:to>
      <xdr:col>2</xdr:col>
      <xdr:colOff>734653</xdr:colOff>
      <xdr:row>74</xdr:row>
      <xdr:rowOff>95447</xdr:rowOff>
    </xdr:to>
    <xdr:sp macro="" textlink="">
      <xdr:nvSpPr>
        <xdr:cNvPr id="4" name="ZoneTexte 3">
          <a:extLst>
            <a:ext uri="{FF2B5EF4-FFF2-40B4-BE49-F238E27FC236}">
              <a16:creationId xmlns:a16="http://schemas.microsoft.com/office/drawing/2014/main" id="{CF376390-F6BE-4694-8222-A15C438143D2}"/>
            </a:ext>
          </a:extLst>
        </xdr:cNvPr>
        <xdr:cNvSpPr txBox="1"/>
      </xdr:nvSpPr>
      <xdr:spPr>
        <a:xfrm>
          <a:off x="4091081" y="6881010"/>
          <a:ext cx="961572" cy="6167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b="1">
              <a:solidFill>
                <a:schemeClr val="accent1"/>
              </a:solidFill>
            </a:rPr>
            <a:t>4,1 Millions de tonnes de CO2e</a:t>
          </a:r>
        </a:p>
      </xdr:txBody>
    </xdr:sp>
    <xdr:clientData/>
  </xdr:twoCellAnchor>
  <xdr:twoCellAnchor>
    <xdr:from>
      <xdr:col>4</xdr:col>
      <xdr:colOff>1437822</xdr:colOff>
      <xdr:row>62</xdr:row>
      <xdr:rowOff>18595</xdr:rowOff>
    </xdr:from>
    <xdr:to>
      <xdr:col>8</xdr:col>
      <xdr:colOff>762001</xdr:colOff>
      <xdr:row>81</xdr:row>
      <xdr:rowOff>172357</xdr:rowOff>
    </xdr:to>
    <xdr:graphicFrame macro="">
      <xdr:nvGraphicFramePr>
        <xdr:cNvPr id="3" name="Graphique 2">
          <a:extLst>
            <a:ext uri="{FF2B5EF4-FFF2-40B4-BE49-F238E27FC236}">
              <a16:creationId xmlns:a16="http://schemas.microsoft.com/office/drawing/2014/main" id="{8C5967FD-3B4F-43A8-B31B-D8DECB1060A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1443940</xdr:colOff>
      <xdr:row>128</xdr:row>
      <xdr:rowOff>46182</xdr:rowOff>
    </xdr:from>
    <xdr:to>
      <xdr:col>7</xdr:col>
      <xdr:colOff>1016001</xdr:colOff>
      <xdr:row>149</xdr:row>
      <xdr:rowOff>11049</xdr:rowOff>
    </xdr:to>
    <xdr:grpSp>
      <xdr:nvGrpSpPr>
        <xdr:cNvPr id="36" name="Groupe 35">
          <a:extLst>
            <a:ext uri="{FF2B5EF4-FFF2-40B4-BE49-F238E27FC236}">
              <a16:creationId xmlns:a16="http://schemas.microsoft.com/office/drawing/2014/main" id="{E4C273AD-62DC-4BAF-BA7B-1D0FC2B0A498}"/>
            </a:ext>
          </a:extLst>
        </xdr:cNvPr>
        <xdr:cNvGrpSpPr/>
      </xdr:nvGrpSpPr>
      <xdr:grpSpPr>
        <a:xfrm>
          <a:off x="6682690" y="3048000"/>
          <a:ext cx="6684061" cy="0"/>
          <a:chOff x="15293102" y="5590782"/>
          <a:chExt cx="5814126" cy="2775854"/>
        </a:xfrm>
      </xdr:grpSpPr>
      <xdr:graphicFrame macro="">
        <xdr:nvGraphicFramePr>
          <xdr:cNvPr id="16" name="Graphique 15">
            <a:extLst>
              <a:ext uri="{FF2B5EF4-FFF2-40B4-BE49-F238E27FC236}">
                <a16:creationId xmlns:a16="http://schemas.microsoft.com/office/drawing/2014/main" id="{68757379-7040-4AD4-8C76-B8998BDBF7E6}"/>
              </a:ext>
            </a:extLst>
          </xdr:cNvPr>
          <xdr:cNvGraphicFramePr>
            <a:graphicFrameLocks/>
          </xdr:cNvGraphicFramePr>
        </xdr:nvGraphicFramePr>
        <xdr:xfrm>
          <a:off x="15293102" y="5590782"/>
          <a:ext cx="5814126" cy="2775854"/>
        </xdr:xfrm>
        <a:graphic>
          <a:graphicData uri="http://schemas.openxmlformats.org/drawingml/2006/chart">
            <c:chart xmlns:c="http://schemas.openxmlformats.org/drawingml/2006/chart" xmlns:r="http://schemas.openxmlformats.org/officeDocument/2006/relationships" r:id="rId3"/>
          </a:graphicData>
        </a:graphic>
      </xdr:graphicFrame>
      <xdr:cxnSp macro="">
        <xdr:nvCxnSpPr>
          <xdr:cNvPr id="17" name="Connecteur droit avec flèche 16">
            <a:extLst>
              <a:ext uri="{FF2B5EF4-FFF2-40B4-BE49-F238E27FC236}">
                <a16:creationId xmlns:a16="http://schemas.microsoft.com/office/drawing/2014/main" id="{3CD62CAE-4EDA-4C49-8EC6-F3AB5625EEEF}"/>
              </a:ext>
            </a:extLst>
          </xdr:cNvPr>
          <xdr:cNvCxnSpPr/>
        </xdr:nvCxnSpPr>
        <xdr:spPr>
          <a:xfrm>
            <a:off x="16507001" y="6134471"/>
            <a:ext cx="264614" cy="259581"/>
          </a:xfrm>
          <a:prstGeom prst="straightConnector1">
            <a:avLst/>
          </a:prstGeom>
          <a:ln w="19050">
            <a:solidFill>
              <a:schemeClr val="accent1"/>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8" name="Connecteur droit avec flèche 17">
            <a:extLst>
              <a:ext uri="{FF2B5EF4-FFF2-40B4-BE49-F238E27FC236}">
                <a16:creationId xmlns:a16="http://schemas.microsoft.com/office/drawing/2014/main" id="{62F7220E-5B7B-4FB8-A4E5-41E7225C7CD0}"/>
              </a:ext>
            </a:extLst>
          </xdr:cNvPr>
          <xdr:cNvCxnSpPr/>
        </xdr:nvCxnSpPr>
        <xdr:spPr>
          <a:xfrm flipH="1" flipV="1">
            <a:off x="16291364" y="5926800"/>
            <a:ext cx="215638" cy="209544"/>
          </a:xfrm>
          <a:prstGeom prst="straightConnector1">
            <a:avLst/>
          </a:prstGeom>
          <a:ln w="19050">
            <a:solidFill>
              <a:schemeClr val="accent2"/>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9" name="ZoneTexte 18">
            <a:extLst>
              <a:ext uri="{FF2B5EF4-FFF2-40B4-BE49-F238E27FC236}">
                <a16:creationId xmlns:a16="http://schemas.microsoft.com/office/drawing/2014/main" id="{89C4F7E2-821D-4F06-AC3C-B29402F79349}"/>
              </a:ext>
            </a:extLst>
          </xdr:cNvPr>
          <xdr:cNvSpPr txBox="1"/>
        </xdr:nvSpPr>
        <xdr:spPr>
          <a:xfrm>
            <a:off x="16570501" y="5997149"/>
            <a:ext cx="942060" cy="34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GB" sz="800" b="1">
                <a:solidFill>
                  <a:schemeClr val="tx2"/>
                </a:solidFill>
              </a:rPr>
              <a:t>Intensité carbone faible</a:t>
            </a:r>
          </a:p>
        </xdr:txBody>
      </xdr:sp>
      <xdr:sp macro="" textlink="">
        <xdr:nvSpPr>
          <xdr:cNvPr id="20" name="ZoneTexte 19">
            <a:extLst>
              <a:ext uri="{FF2B5EF4-FFF2-40B4-BE49-F238E27FC236}">
                <a16:creationId xmlns:a16="http://schemas.microsoft.com/office/drawing/2014/main" id="{CE5E811F-F878-4CFF-8BE6-847642C904B6}"/>
              </a:ext>
            </a:extLst>
          </xdr:cNvPr>
          <xdr:cNvSpPr txBox="1"/>
        </xdr:nvSpPr>
        <xdr:spPr>
          <a:xfrm>
            <a:off x="16335925" y="5755234"/>
            <a:ext cx="913035" cy="34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GB" sz="800" b="1">
                <a:solidFill>
                  <a:schemeClr val="accent2"/>
                </a:solidFill>
              </a:rPr>
              <a:t>Intensité carbone élevée</a:t>
            </a:r>
          </a:p>
        </xdr:txBody>
      </xdr:sp>
    </xdr:grpSp>
    <xdr:clientData/>
  </xdr:twoCellAnchor>
  <xdr:twoCellAnchor>
    <xdr:from>
      <xdr:col>8</xdr:col>
      <xdr:colOff>5433</xdr:colOff>
      <xdr:row>130</xdr:row>
      <xdr:rowOff>48863</xdr:rowOff>
    </xdr:from>
    <xdr:to>
      <xdr:col>14</xdr:col>
      <xdr:colOff>689672</xdr:colOff>
      <xdr:row>146</xdr:row>
      <xdr:rowOff>51375</xdr:rowOff>
    </xdr:to>
    <xdr:pic>
      <xdr:nvPicPr>
        <xdr:cNvPr id="21" name="Image 20">
          <a:extLst>
            <a:ext uri="{FF2B5EF4-FFF2-40B4-BE49-F238E27FC236}">
              <a16:creationId xmlns:a16="http://schemas.microsoft.com/office/drawing/2014/main" id="{89182F24-AF9D-4F83-8041-8B3017D16471}"/>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3855904" y="17574863"/>
          <a:ext cx="5749297" cy="28712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2925268</xdr:colOff>
      <xdr:row>82</xdr:row>
      <xdr:rowOff>113127</xdr:rowOff>
    </xdr:from>
    <xdr:to>
      <xdr:col>9</xdr:col>
      <xdr:colOff>326571</xdr:colOff>
      <xdr:row>109</xdr:row>
      <xdr:rowOff>108857</xdr:rowOff>
    </xdr:to>
    <mc:AlternateContent xmlns:mc="http://schemas.openxmlformats.org/markup-compatibility/2006">
      <mc:Choice xmlns:cx1="http://schemas.microsoft.com/office/drawing/2015/9/8/chartex" Requires="cx1">
        <xdr:graphicFrame macro="">
          <xdr:nvGraphicFramePr>
            <xdr:cNvPr id="5" name="Graphique 4">
              <a:extLst>
                <a:ext uri="{FF2B5EF4-FFF2-40B4-BE49-F238E27FC236}">
                  <a16:creationId xmlns:a16="http://schemas.microsoft.com/office/drawing/2014/main" id="{F55FD0AC-AAB8-4C55-AACA-055BFA4D6FE8}"/>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5"/>
            </a:graphicData>
          </a:graphic>
        </xdr:graphicFrame>
      </mc:Choice>
      <mc:Fallback>
        <xdr:sp macro="" textlink="">
          <xdr:nvSpPr>
            <xdr:cNvPr id="0" name=""/>
            <xdr:cNvSpPr>
              <a:spLocks noTextEdit="1"/>
            </xdr:cNvSpPr>
          </xdr:nvSpPr>
          <xdr:spPr>
            <a:xfrm>
              <a:off x="9732468" y="2374900"/>
              <a:ext cx="5275303" cy="0"/>
            </a:xfrm>
            <a:prstGeom prst="rect">
              <a:avLst/>
            </a:prstGeom>
            <a:solidFill>
              <a:prstClr val="white"/>
            </a:solidFill>
            <a:ln w="1">
              <a:solidFill>
                <a:prstClr val="green"/>
              </a:solidFill>
            </a:ln>
          </xdr:spPr>
          <xdr:txBody>
            <a:bodyPr vertOverflow="clip" horzOverflow="clip"/>
            <a:lstStyle/>
            <a:p>
              <a:r>
                <a:rPr lang="en-GB" sz="1100"/>
                <a:t>Ce graphique n’est pas disponible dans votre version d’Excel.
La modification de cette forme ou l’enregistrement de ce classeur dans un autre format de fichier endommagera le graphique de façon irréparable.</a:t>
              </a:r>
            </a:p>
          </xdr:txBody>
        </xdr:sp>
      </mc:Fallback>
    </mc:AlternateContent>
    <xdr:clientData/>
  </xdr:twoCellAnchor>
  <xdr:twoCellAnchor>
    <xdr:from>
      <xdr:col>1</xdr:col>
      <xdr:colOff>20038</xdr:colOff>
      <xdr:row>82</xdr:row>
      <xdr:rowOff>99789</xdr:rowOff>
    </xdr:from>
    <xdr:to>
      <xdr:col>4</xdr:col>
      <xdr:colOff>2812142</xdr:colOff>
      <xdr:row>109</xdr:row>
      <xdr:rowOff>122877</xdr:rowOff>
    </xdr:to>
    <mc:AlternateContent xmlns:mc="http://schemas.openxmlformats.org/markup-compatibility/2006">
      <mc:Choice xmlns:cx1="http://schemas.microsoft.com/office/drawing/2015/9/8/chartex" Requires="cx1">
        <xdr:graphicFrame macro="">
          <xdr:nvGraphicFramePr>
            <xdr:cNvPr id="22" name="Graphique 21">
              <a:extLst>
                <a:ext uri="{FF2B5EF4-FFF2-40B4-BE49-F238E27FC236}">
                  <a16:creationId xmlns:a16="http://schemas.microsoft.com/office/drawing/2014/main" id="{CE8CC660-6B63-44C5-82EE-901CD6D63A0D}"/>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6"/>
            </a:graphicData>
          </a:graphic>
        </xdr:graphicFrame>
      </mc:Choice>
      <mc:Fallback>
        <xdr:sp macro="" textlink="">
          <xdr:nvSpPr>
            <xdr:cNvPr id="0" name=""/>
            <xdr:cNvSpPr>
              <a:spLocks noTextEdit="1"/>
            </xdr:cNvSpPr>
          </xdr:nvSpPr>
          <xdr:spPr>
            <a:xfrm>
              <a:off x="858238" y="2374900"/>
              <a:ext cx="8761104" cy="0"/>
            </a:xfrm>
            <a:prstGeom prst="rect">
              <a:avLst/>
            </a:prstGeom>
            <a:solidFill>
              <a:prstClr val="white"/>
            </a:solidFill>
            <a:ln w="1">
              <a:solidFill>
                <a:prstClr val="green"/>
              </a:solidFill>
            </a:ln>
          </xdr:spPr>
          <xdr:txBody>
            <a:bodyPr vertOverflow="clip" horzOverflow="clip"/>
            <a:lstStyle/>
            <a:p>
              <a:r>
                <a:rPr lang="en-GB" sz="1100"/>
                <a:t>Ce graphique n’est pas disponible dans votre version d’Excel.
La modification de cette forme ou l’enregistrement de ce classeur dans un autre format de fichier endommagera le graphique de façon irréparable.</a:t>
              </a:r>
            </a:p>
          </xdr:txBody>
        </xdr:sp>
      </mc:Fallback>
    </mc:AlternateContent>
    <xdr:clientData/>
  </xdr:twoCellAnchor>
  <xdr:twoCellAnchor>
    <xdr:from>
      <xdr:col>3</xdr:col>
      <xdr:colOff>438726</xdr:colOff>
      <xdr:row>171</xdr:row>
      <xdr:rowOff>11546</xdr:rowOff>
    </xdr:from>
    <xdr:to>
      <xdr:col>6</xdr:col>
      <xdr:colOff>715816</xdr:colOff>
      <xdr:row>184</xdr:row>
      <xdr:rowOff>80818</xdr:rowOff>
    </xdr:to>
    <mc:AlternateContent xmlns:mc="http://schemas.openxmlformats.org/markup-compatibility/2006">
      <mc:Choice xmlns:cx1="http://schemas.microsoft.com/office/drawing/2015/9/8/chartex" Requires="cx1">
        <xdr:graphicFrame macro="">
          <xdr:nvGraphicFramePr>
            <xdr:cNvPr id="11" name="Graphique 10">
              <a:extLst>
                <a:ext uri="{FF2B5EF4-FFF2-40B4-BE49-F238E27FC236}">
                  <a16:creationId xmlns:a16="http://schemas.microsoft.com/office/drawing/2014/main" id="{D8689664-198D-4BE7-B2C3-CEE7BBFA5870}"/>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7"/>
            </a:graphicData>
          </a:graphic>
        </xdr:graphicFrame>
      </mc:Choice>
      <mc:Fallback>
        <xdr:sp macro="" textlink="">
          <xdr:nvSpPr>
            <xdr:cNvPr id="0" name=""/>
            <xdr:cNvSpPr>
              <a:spLocks noTextEdit="1"/>
            </xdr:cNvSpPr>
          </xdr:nvSpPr>
          <xdr:spPr>
            <a:xfrm>
              <a:off x="5683826" y="3683000"/>
              <a:ext cx="6042890" cy="0"/>
            </a:xfrm>
            <a:prstGeom prst="rect">
              <a:avLst/>
            </a:prstGeom>
            <a:solidFill>
              <a:prstClr val="white"/>
            </a:solidFill>
            <a:ln w="1">
              <a:solidFill>
                <a:prstClr val="green"/>
              </a:solidFill>
            </a:ln>
          </xdr:spPr>
          <xdr:txBody>
            <a:bodyPr vertOverflow="clip" horzOverflow="clip"/>
            <a:lstStyle/>
            <a:p>
              <a:r>
                <a:rPr lang="en-GB" sz="1100"/>
                <a:t>Ce graphique n’est pas disponible dans votre version d’Excel.
La modification de cette forme ou l’enregistrement de ce classeur dans un autre format de fichier endommagera le graphique de façon irréparable.</a:t>
              </a:r>
            </a:p>
          </xdr:txBody>
        </xdr:sp>
      </mc:Fallback>
    </mc:AlternateContent>
    <xdr:clientData/>
  </xdr:twoCellAnchor>
  <xdr:twoCellAnchor>
    <xdr:from>
      <xdr:col>0</xdr:col>
      <xdr:colOff>797256</xdr:colOff>
      <xdr:row>127</xdr:row>
      <xdr:rowOff>120072</xdr:rowOff>
    </xdr:from>
    <xdr:to>
      <xdr:col>3</xdr:col>
      <xdr:colOff>1213512</xdr:colOff>
      <xdr:row>149</xdr:row>
      <xdr:rowOff>23092</xdr:rowOff>
    </xdr:to>
    <xdr:grpSp>
      <xdr:nvGrpSpPr>
        <xdr:cNvPr id="30" name="Groupe 29">
          <a:extLst>
            <a:ext uri="{FF2B5EF4-FFF2-40B4-BE49-F238E27FC236}">
              <a16:creationId xmlns:a16="http://schemas.microsoft.com/office/drawing/2014/main" id="{5162E172-744A-4498-830F-933EEED02F2F}"/>
            </a:ext>
          </a:extLst>
        </xdr:cNvPr>
        <xdr:cNvGrpSpPr/>
      </xdr:nvGrpSpPr>
      <xdr:grpSpPr>
        <a:xfrm>
          <a:off x="797256" y="3048000"/>
          <a:ext cx="5655006" cy="0"/>
          <a:chOff x="17457347" y="8432800"/>
          <a:chExt cx="5577074" cy="3713020"/>
        </a:xfrm>
      </xdr:grpSpPr>
      <xdr:graphicFrame macro="">
        <xdr:nvGraphicFramePr>
          <xdr:cNvPr id="6" name="Graphique 5">
            <a:extLst>
              <a:ext uri="{FF2B5EF4-FFF2-40B4-BE49-F238E27FC236}">
                <a16:creationId xmlns:a16="http://schemas.microsoft.com/office/drawing/2014/main" id="{5057260C-B2C0-403E-B856-3E4454819F83}"/>
              </a:ext>
            </a:extLst>
          </xdr:cNvPr>
          <xdr:cNvGraphicFramePr/>
        </xdr:nvGraphicFramePr>
        <xdr:xfrm>
          <a:off x="17457347" y="8506527"/>
          <a:ext cx="5577074" cy="3639293"/>
        </xdr:xfrm>
        <a:graphic>
          <a:graphicData uri="http://schemas.openxmlformats.org/drawingml/2006/chart">
            <c:chart xmlns:c="http://schemas.openxmlformats.org/drawingml/2006/chart" xmlns:r="http://schemas.openxmlformats.org/officeDocument/2006/relationships" r:id="rId8"/>
          </a:graphicData>
        </a:graphic>
      </xdr:graphicFrame>
      <xdr:sp macro="" textlink="">
        <xdr:nvSpPr>
          <xdr:cNvPr id="13" name="ZoneTexte 12">
            <a:extLst>
              <a:ext uri="{FF2B5EF4-FFF2-40B4-BE49-F238E27FC236}">
                <a16:creationId xmlns:a16="http://schemas.microsoft.com/office/drawing/2014/main" id="{A979D637-20AD-4B93-91F7-DD6BDED3A645}"/>
              </a:ext>
            </a:extLst>
          </xdr:cNvPr>
          <xdr:cNvSpPr txBox="1"/>
        </xdr:nvSpPr>
        <xdr:spPr>
          <a:xfrm>
            <a:off x="18437950" y="10933541"/>
            <a:ext cx="1096818" cy="7042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100" b="1">
                <a:solidFill>
                  <a:schemeClr val="accent1"/>
                </a:solidFill>
              </a:rPr>
              <a:t>15 kgCO</a:t>
            </a:r>
            <a:r>
              <a:rPr lang="en-GB" sz="1100" b="1" baseline="-25000">
                <a:solidFill>
                  <a:schemeClr val="accent1"/>
                </a:solidFill>
              </a:rPr>
              <a:t>2</a:t>
            </a:r>
            <a:r>
              <a:rPr lang="en-GB" sz="1100" b="1">
                <a:solidFill>
                  <a:schemeClr val="accent1"/>
                </a:solidFill>
              </a:rPr>
              <a:t>e</a:t>
            </a:r>
            <a:r>
              <a:rPr lang="en-GB" sz="1100" b="1" baseline="0">
                <a:solidFill>
                  <a:schemeClr val="accent1"/>
                </a:solidFill>
              </a:rPr>
              <a:t> par </a:t>
            </a:r>
            <a:r>
              <a:rPr lang="en-GB" sz="1100" b="1">
                <a:solidFill>
                  <a:schemeClr val="accent1"/>
                </a:solidFill>
              </a:rPr>
              <a:t>kg de gant</a:t>
            </a:r>
          </a:p>
        </xdr:txBody>
      </xdr:sp>
      <xdr:sp macro="" textlink="">
        <xdr:nvSpPr>
          <xdr:cNvPr id="34" name="ZoneTexte 33">
            <a:extLst>
              <a:ext uri="{FF2B5EF4-FFF2-40B4-BE49-F238E27FC236}">
                <a16:creationId xmlns:a16="http://schemas.microsoft.com/office/drawing/2014/main" id="{8FEA916A-8C6D-4C04-A70E-179AA98298EE}"/>
              </a:ext>
            </a:extLst>
          </xdr:cNvPr>
          <xdr:cNvSpPr txBox="1"/>
        </xdr:nvSpPr>
        <xdr:spPr>
          <a:xfrm>
            <a:off x="19964685" y="10808852"/>
            <a:ext cx="1096818" cy="7042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100" b="1">
                <a:solidFill>
                  <a:schemeClr val="accent1"/>
                </a:solidFill>
              </a:rPr>
              <a:t>39 kgCO</a:t>
            </a:r>
            <a:r>
              <a:rPr lang="en-GB" sz="1100" b="1" baseline="-25000">
                <a:solidFill>
                  <a:schemeClr val="accent1"/>
                </a:solidFill>
              </a:rPr>
              <a:t>2</a:t>
            </a:r>
            <a:r>
              <a:rPr lang="en-GB" sz="1100" b="1">
                <a:solidFill>
                  <a:schemeClr val="accent1"/>
                </a:solidFill>
              </a:rPr>
              <a:t>e</a:t>
            </a:r>
            <a:r>
              <a:rPr lang="en-GB" sz="1100" b="1" baseline="0">
                <a:solidFill>
                  <a:schemeClr val="accent1"/>
                </a:solidFill>
              </a:rPr>
              <a:t> par </a:t>
            </a:r>
            <a:r>
              <a:rPr lang="en-GB" sz="1100" b="1">
                <a:solidFill>
                  <a:schemeClr val="accent1"/>
                </a:solidFill>
              </a:rPr>
              <a:t>kg d'équipement</a:t>
            </a:r>
          </a:p>
        </xdr:txBody>
      </xdr:sp>
      <xdr:sp macro="" textlink="">
        <xdr:nvSpPr>
          <xdr:cNvPr id="35" name="ZoneTexte 34">
            <a:extLst>
              <a:ext uri="{FF2B5EF4-FFF2-40B4-BE49-F238E27FC236}">
                <a16:creationId xmlns:a16="http://schemas.microsoft.com/office/drawing/2014/main" id="{75A263B9-CA6E-4143-8AD9-F6CDC83C77BC}"/>
              </a:ext>
            </a:extLst>
          </xdr:cNvPr>
          <xdr:cNvSpPr txBox="1"/>
        </xdr:nvSpPr>
        <xdr:spPr>
          <a:xfrm>
            <a:off x="21548014" y="8432800"/>
            <a:ext cx="1096818" cy="7042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100" b="1">
                <a:solidFill>
                  <a:schemeClr val="accent1"/>
                </a:solidFill>
              </a:rPr>
              <a:t>340 kgCO</a:t>
            </a:r>
            <a:r>
              <a:rPr lang="en-GB" sz="1100" b="1" baseline="-25000">
                <a:solidFill>
                  <a:schemeClr val="accent1"/>
                </a:solidFill>
              </a:rPr>
              <a:t>2</a:t>
            </a:r>
            <a:r>
              <a:rPr lang="en-GB" sz="1100" b="1">
                <a:solidFill>
                  <a:schemeClr val="accent1"/>
                </a:solidFill>
              </a:rPr>
              <a:t>e</a:t>
            </a:r>
            <a:r>
              <a:rPr lang="en-GB" sz="1100" b="1" baseline="0">
                <a:solidFill>
                  <a:schemeClr val="accent1"/>
                </a:solidFill>
              </a:rPr>
              <a:t> par </a:t>
            </a:r>
            <a:r>
              <a:rPr lang="en-GB" sz="1100" b="1">
                <a:solidFill>
                  <a:schemeClr val="accent1"/>
                </a:solidFill>
              </a:rPr>
              <a:t>kg de verres</a:t>
            </a:r>
          </a:p>
        </xdr:txBody>
      </xdr:sp>
    </xdr:grpSp>
    <xdr:clientData/>
  </xdr:twoCellAnchor>
  <xdr:twoCellAnchor>
    <xdr:from>
      <xdr:col>3</xdr:col>
      <xdr:colOff>1489363</xdr:colOff>
      <xdr:row>224</xdr:row>
      <xdr:rowOff>23092</xdr:rowOff>
    </xdr:from>
    <xdr:to>
      <xdr:col>7</xdr:col>
      <xdr:colOff>969817</xdr:colOff>
      <xdr:row>246</xdr:row>
      <xdr:rowOff>32484</xdr:rowOff>
    </xdr:to>
    <xdr:pic>
      <xdr:nvPicPr>
        <xdr:cNvPr id="38" name="Image 37">
          <a:extLst>
            <a:ext uri="{FF2B5EF4-FFF2-40B4-BE49-F238E27FC236}">
              <a16:creationId xmlns:a16="http://schemas.microsoft.com/office/drawing/2014/main" id="{FE21EDB7-37CC-4AB1-8AF9-6B650AEF53C4}"/>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6719454" y="10979728"/>
          <a:ext cx="6615545" cy="38309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0</xdr:colOff>
      <xdr:row>225</xdr:row>
      <xdr:rowOff>138545</xdr:rowOff>
    </xdr:from>
    <xdr:to>
      <xdr:col>3</xdr:col>
      <xdr:colOff>1339273</xdr:colOff>
      <xdr:row>246</xdr:row>
      <xdr:rowOff>136236</xdr:rowOff>
    </xdr:to>
    <xdr:graphicFrame macro="">
      <xdr:nvGraphicFramePr>
        <xdr:cNvPr id="39" name="Graphique 38">
          <a:extLst>
            <a:ext uri="{FF2B5EF4-FFF2-40B4-BE49-F238E27FC236}">
              <a16:creationId xmlns:a16="http://schemas.microsoft.com/office/drawing/2014/main" id="{66C6475C-4D99-47A0-853A-84B6567FFD4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11544</xdr:colOff>
      <xdr:row>21</xdr:row>
      <xdr:rowOff>163945</xdr:rowOff>
    </xdr:from>
    <xdr:to>
      <xdr:col>3</xdr:col>
      <xdr:colOff>519544</xdr:colOff>
      <xdr:row>37</xdr:row>
      <xdr:rowOff>136236</xdr:rowOff>
    </xdr:to>
    <xdr:graphicFrame macro="">
      <xdr:nvGraphicFramePr>
        <xdr:cNvPr id="7" name="Graphique 6">
          <a:extLst>
            <a:ext uri="{FF2B5EF4-FFF2-40B4-BE49-F238E27FC236}">
              <a16:creationId xmlns:a16="http://schemas.microsoft.com/office/drawing/2014/main" id="{70E53F64-2060-4F5E-9D6E-A3FBFB8187F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4</xdr:col>
      <xdr:colOff>1406071</xdr:colOff>
      <xdr:row>62</xdr:row>
      <xdr:rowOff>63501</xdr:rowOff>
    </xdr:from>
    <xdr:to>
      <xdr:col>8</xdr:col>
      <xdr:colOff>734393</xdr:colOff>
      <xdr:row>82</xdr:row>
      <xdr:rowOff>37977</xdr:rowOff>
    </xdr:to>
    <xdr:pic>
      <xdr:nvPicPr>
        <xdr:cNvPr id="9" name="Image 8">
          <a:extLst>
            <a:ext uri="{FF2B5EF4-FFF2-40B4-BE49-F238E27FC236}">
              <a16:creationId xmlns:a16="http://schemas.microsoft.com/office/drawing/2014/main" id="{677D4715-C611-401D-A8C8-E95BDF78219A}"/>
            </a:ext>
          </a:extLst>
        </xdr:cNvPr>
        <xdr:cNvPicPr>
          <a:picLocks noChangeAspect="1"/>
        </xdr:cNvPicPr>
      </xdr:nvPicPr>
      <xdr:blipFill>
        <a:blip xmlns:r="http://schemas.openxmlformats.org/officeDocument/2006/relationships" r:embed="rId12"/>
        <a:stretch>
          <a:fillRect/>
        </a:stretch>
      </xdr:blipFill>
      <xdr:spPr>
        <a:xfrm>
          <a:off x="8200571" y="6313715"/>
          <a:ext cx="6358679" cy="3603048"/>
        </a:xfrm>
        <a:prstGeom prst="rect">
          <a:avLst/>
        </a:prstGeom>
      </xdr:spPr>
    </xdr:pic>
    <xdr:clientData/>
  </xdr:twoCellAnchor>
  <xdr:twoCellAnchor>
    <xdr:from>
      <xdr:col>1</xdr:col>
      <xdr:colOff>18143</xdr:colOff>
      <xdr:row>62</xdr:row>
      <xdr:rowOff>18144</xdr:rowOff>
    </xdr:from>
    <xdr:to>
      <xdr:col>4</xdr:col>
      <xdr:colOff>1398434</xdr:colOff>
      <xdr:row>81</xdr:row>
      <xdr:rowOff>161856</xdr:rowOff>
    </xdr:to>
    <xdr:pic>
      <xdr:nvPicPr>
        <xdr:cNvPr id="10" name="Image 9">
          <a:extLst>
            <a:ext uri="{FF2B5EF4-FFF2-40B4-BE49-F238E27FC236}">
              <a16:creationId xmlns:a16="http://schemas.microsoft.com/office/drawing/2014/main" id="{EEC84E4C-9369-449E-85DF-3F8DDE1324D4}"/>
            </a:ext>
          </a:extLst>
        </xdr:cNvPr>
        <xdr:cNvPicPr>
          <a:picLocks noChangeAspect="1"/>
        </xdr:cNvPicPr>
      </xdr:nvPicPr>
      <xdr:blipFill>
        <a:blip xmlns:r="http://schemas.openxmlformats.org/officeDocument/2006/relationships" r:embed="rId13"/>
        <a:stretch>
          <a:fillRect/>
        </a:stretch>
      </xdr:blipFill>
      <xdr:spPr>
        <a:xfrm>
          <a:off x="852714" y="6268358"/>
          <a:ext cx="7340220" cy="3590855"/>
        </a:xfrm>
        <a:prstGeom prst="rect">
          <a:avLst/>
        </a:prstGeom>
      </xdr:spPr>
    </xdr:pic>
    <xdr:clientData/>
  </xdr:twoCellAnchor>
  <xdr:twoCellAnchor>
    <xdr:from>
      <xdr:col>3</xdr:col>
      <xdr:colOff>1460500</xdr:colOff>
      <xdr:row>128</xdr:row>
      <xdr:rowOff>9072</xdr:rowOff>
    </xdr:from>
    <xdr:to>
      <xdr:col>7</xdr:col>
      <xdr:colOff>1045463</xdr:colOff>
      <xdr:row>148</xdr:row>
      <xdr:rowOff>166445</xdr:rowOff>
    </xdr:to>
    <xdr:pic>
      <xdr:nvPicPr>
        <xdr:cNvPr id="12" name="Image 11">
          <a:extLst>
            <a:ext uri="{FF2B5EF4-FFF2-40B4-BE49-F238E27FC236}">
              <a16:creationId xmlns:a16="http://schemas.microsoft.com/office/drawing/2014/main" id="{9C6CAE4D-1DDF-4D75-8FBB-E979A9DAA0A6}"/>
            </a:ext>
          </a:extLst>
        </xdr:cNvPr>
        <xdr:cNvPicPr>
          <a:picLocks noChangeAspect="1"/>
        </xdr:cNvPicPr>
      </xdr:nvPicPr>
      <xdr:blipFill>
        <a:blip xmlns:r="http://schemas.openxmlformats.org/officeDocument/2006/relationships" r:embed="rId14"/>
        <a:stretch>
          <a:fillRect/>
        </a:stretch>
      </xdr:blipFill>
      <xdr:spPr>
        <a:xfrm>
          <a:off x="6694714" y="5978072"/>
          <a:ext cx="6687892" cy="3785944"/>
        </a:xfrm>
        <a:prstGeom prst="rect">
          <a:avLst/>
        </a:prstGeom>
      </xdr:spPr>
    </xdr:pic>
    <xdr:clientData/>
  </xdr:twoCellAnchor>
  <xdr:twoCellAnchor>
    <xdr:from>
      <xdr:col>0</xdr:col>
      <xdr:colOff>789214</xdr:colOff>
      <xdr:row>127</xdr:row>
      <xdr:rowOff>127001</xdr:rowOff>
    </xdr:from>
    <xdr:to>
      <xdr:col>3</xdr:col>
      <xdr:colOff>1218675</xdr:colOff>
      <xdr:row>149</xdr:row>
      <xdr:rowOff>37350</xdr:rowOff>
    </xdr:to>
    <xdr:pic>
      <xdr:nvPicPr>
        <xdr:cNvPr id="14" name="Image 13">
          <a:extLst>
            <a:ext uri="{FF2B5EF4-FFF2-40B4-BE49-F238E27FC236}">
              <a16:creationId xmlns:a16="http://schemas.microsoft.com/office/drawing/2014/main" id="{47663B55-D100-4E7F-8A3F-3CC005CD04E3}"/>
            </a:ext>
          </a:extLst>
        </xdr:cNvPr>
        <xdr:cNvPicPr>
          <a:picLocks noChangeAspect="1"/>
        </xdr:cNvPicPr>
      </xdr:nvPicPr>
      <xdr:blipFill>
        <a:blip xmlns:r="http://schemas.openxmlformats.org/officeDocument/2006/relationships" r:embed="rId15"/>
        <a:stretch>
          <a:fillRect/>
        </a:stretch>
      </xdr:blipFill>
      <xdr:spPr>
        <a:xfrm>
          <a:off x="789214" y="5914572"/>
          <a:ext cx="5663675" cy="3901778"/>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1</xdr:col>
      <xdr:colOff>117929</xdr:colOff>
      <xdr:row>62</xdr:row>
      <xdr:rowOff>106902</xdr:rowOff>
    </xdr:from>
    <xdr:to>
      <xdr:col>3</xdr:col>
      <xdr:colOff>733815</xdr:colOff>
      <xdr:row>77</xdr:row>
      <xdr:rowOff>89424</xdr:rowOff>
    </xdr:to>
    <xdr:pic>
      <xdr:nvPicPr>
        <xdr:cNvPr id="2" name="Image 1">
          <a:extLst>
            <a:ext uri="{FF2B5EF4-FFF2-40B4-BE49-F238E27FC236}">
              <a16:creationId xmlns:a16="http://schemas.microsoft.com/office/drawing/2014/main" id="{023395EA-C150-431F-86DE-B15D680D5C34}"/>
            </a:ext>
          </a:extLst>
        </xdr:cNvPr>
        <xdr:cNvPicPr>
          <a:picLocks noChangeAspect="1"/>
        </xdr:cNvPicPr>
      </xdr:nvPicPr>
      <xdr:blipFill>
        <a:blip xmlns:r="http://schemas.openxmlformats.org/officeDocument/2006/relationships" r:embed="rId1"/>
        <a:stretch>
          <a:fillRect/>
        </a:stretch>
      </xdr:blipFill>
      <xdr:spPr>
        <a:xfrm>
          <a:off x="934358" y="5105259"/>
          <a:ext cx="6657457" cy="2703951"/>
        </a:xfrm>
        <a:prstGeom prst="rect">
          <a:avLst/>
        </a:prstGeom>
      </xdr:spPr>
    </xdr:pic>
    <xdr:clientData/>
  </xdr:twoCellAnchor>
  <xdr:twoCellAnchor>
    <xdr:from>
      <xdr:col>3</xdr:col>
      <xdr:colOff>726683</xdr:colOff>
      <xdr:row>62</xdr:row>
      <xdr:rowOff>68594</xdr:rowOff>
    </xdr:from>
    <xdr:to>
      <xdr:col>9</xdr:col>
      <xdr:colOff>173181</xdr:colOff>
      <xdr:row>78</xdr:row>
      <xdr:rowOff>123901</xdr:rowOff>
    </xdr:to>
    <xdr:pic>
      <xdr:nvPicPr>
        <xdr:cNvPr id="3" name="Image 2">
          <a:extLst>
            <a:ext uri="{FF2B5EF4-FFF2-40B4-BE49-F238E27FC236}">
              <a16:creationId xmlns:a16="http://schemas.microsoft.com/office/drawing/2014/main" id="{ECA4ADD6-8AA0-44BE-BCA4-7E04455CDAD4}"/>
            </a:ext>
          </a:extLst>
        </xdr:cNvPr>
        <xdr:cNvPicPr>
          <a:picLocks noChangeAspect="1"/>
        </xdr:cNvPicPr>
      </xdr:nvPicPr>
      <xdr:blipFill>
        <a:blip xmlns:r="http://schemas.openxmlformats.org/officeDocument/2006/relationships" r:embed="rId2"/>
        <a:stretch>
          <a:fillRect/>
        </a:stretch>
      </xdr:blipFill>
      <xdr:spPr>
        <a:xfrm>
          <a:off x="7573138" y="4086412"/>
          <a:ext cx="4399498" cy="2826216"/>
        </a:xfrm>
        <a:prstGeom prst="rect">
          <a:avLst/>
        </a:prstGeom>
      </xdr:spPr>
    </xdr:pic>
    <xdr:clientData/>
  </xdr:twoCellAnchor>
  <xdr:twoCellAnchor>
    <xdr:from>
      <xdr:col>9</xdr:col>
      <xdr:colOff>98136</xdr:colOff>
      <xdr:row>62</xdr:row>
      <xdr:rowOff>64944</xdr:rowOff>
    </xdr:from>
    <xdr:to>
      <xdr:col>13</xdr:col>
      <xdr:colOff>304511</xdr:colOff>
      <xdr:row>79</xdr:row>
      <xdr:rowOff>69997</xdr:rowOff>
    </xdr:to>
    <xdr:pic>
      <xdr:nvPicPr>
        <xdr:cNvPr id="4" name="Image 3">
          <a:extLst>
            <a:ext uri="{FF2B5EF4-FFF2-40B4-BE49-F238E27FC236}">
              <a16:creationId xmlns:a16="http://schemas.microsoft.com/office/drawing/2014/main" id="{3977D3BA-5B38-4740-BF71-F5DDE94CECB9}"/>
            </a:ext>
          </a:extLst>
        </xdr:cNvPr>
        <xdr:cNvPicPr>
          <a:picLocks noChangeAspect="1"/>
        </xdr:cNvPicPr>
      </xdr:nvPicPr>
      <xdr:blipFill>
        <a:blip xmlns:r="http://schemas.openxmlformats.org/officeDocument/2006/relationships" r:embed="rId3"/>
        <a:stretch>
          <a:fillRect/>
        </a:stretch>
      </xdr:blipFill>
      <xdr:spPr>
        <a:xfrm>
          <a:off x="11897591" y="4082762"/>
          <a:ext cx="3439102" cy="2949144"/>
        </a:xfrm>
        <a:prstGeom prst="rect">
          <a:avLst/>
        </a:prstGeom>
      </xdr:spPr>
    </xdr:pic>
    <xdr:clientData/>
  </xdr:twoCellAnchor>
  <xdr:twoCellAnchor>
    <xdr:from>
      <xdr:col>5</xdr:col>
      <xdr:colOff>290367</xdr:colOff>
      <xdr:row>127</xdr:row>
      <xdr:rowOff>34636</xdr:rowOff>
    </xdr:from>
    <xdr:to>
      <xdr:col>13</xdr:col>
      <xdr:colOff>245010</xdr:colOff>
      <xdr:row>142</xdr:row>
      <xdr:rowOff>81147</xdr:rowOff>
    </xdr:to>
    <xdr:graphicFrame macro="">
      <xdr:nvGraphicFramePr>
        <xdr:cNvPr id="5" name="Graphique 4">
          <a:extLst>
            <a:ext uri="{FF2B5EF4-FFF2-40B4-BE49-F238E27FC236}">
              <a16:creationId xmlns:a16="http://schemas.microsoft.com/office/drawing/2014/main" id="{03E770B6-9A3D-4D58-914C-276902EA608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5773</xdr:colOff>
      <xdr:row>178</xdr:row>
      <xdr:rowOff>129472</xdr:rowOff>
    </xdr:from>
    <xdr:to>
      <xdr:col>1</xdr:col>
      <xdr:colOff>3770414</xdr:colOff>
      <xdr:row>190</xdr:row>
      <xdr:rowOff>93187</xdr:rowOff>
    </xdr:to>
    <xdr:pic>
      <xdr:nvPicPr>
        <xdr:cNvPr id="19" name="Picture 1">
          <a:extLst>
            <a:ext uri="{FF2B5EF4-FFF2-40B4-BE49-F238E27FC236}">
              <a16:creationId xmlns:a16="http://schemas.microsoft.com/office/drawing/2014/main" id="{3C88E25C-7420-42BC-8B08-458DA1D09070}"/>
            </a:ext>
          </a:extLst>
        </xdr:cNvPr>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813955" y="10970654"/>
          <a:ext cx="3764641" cy="2041897"/>
        </a:xfrm>
        <a:prstGeom prst="rect">
          <a:avLst/>
        </a:prstGeom>
      </xdr:spPr>
    </xdr:pic>
    <xdr:clientData/>
  </xdr:twoCellAnchor>
  <xdr:twoCellAnchor>
    <xdr:from>
      <xdr:col>0</xdr:col>
      <xdr:colOff>801585</xdr:colOff>
      <xdr:row>206</xdr:row>
      <xdr:rowOff>83539</xdr:rowOff>
    </xdr:from>
    <xdr:to>
      <xdr:col>3</xdr:col>
      <xdr:colOff>588818</xdr:colOff>
      <xdr:row>223</xdr:row>
      <xdr:rowOff>62674</xdr:rowOff>
    </xdr:to>
    <xdr:grpSp>
      <xdr:nvGrpSpPr>
        <xdr:cNvPr id="22" name="Groupe 21">
          <a:extLst>
            <a:ext uri="{FF2B5EF4-FFF2-40B4-BE49-F238E27FC236}">
              <a16:creationId xmlns:a16="http://schemas.microsoft.com/office/drawing/2014/main" id="{B4EA0B55-C1CB-468B-B58B-F3A4421A85C1}"/>
            </a:ext>
          </a:extLst>
        </xdr:cNvPr>
        <xdr:cNvGrpSpPr/>
      </xdr:nvGrpSpPr>
      <xdr:grpSpPr>
        <a:xfrm>
          <a:off x="801585" y="6900333"/>
          <a:ext cx="6634650" cy="0"/>
          <a:chOff x="9626387" y="31020603"/>
          <a:chExt cx="5927378" cy="3221371"/>
        </a:xfrm>
      </xdr:grpSpPr>
      <xdr:graphicFrame macro="">
        <xdr:nvGraphicFramePr>
          <xdr:cNvPr id="18" name="Graphique 17">
            <a:extLst>
              <a:ext uri="{FF2B5EF4-FFF2-40B4-BE49-F238E27FC236}">
                <a16:creationId xmlns:a16="http://schemas.microsoft.com/office/drawing/2014/main" id="{E08ABD0E-E398-46E9-AA64-84C3ED6C4A59}"/>
              </a:ext>
            </a:extLst>
          </xdr:cNvPr>
          <xdr:cNvGraphicFramePr/>
        </xdr:nvGraphicFramePr>
        <xdr:xfrm>
          <a:off x="9626387" y="31020603"/>
          <a:ext cx="5927378" cy="3221371"/>
        </xdr:xfrm>
        <a:graphic>
          <a:graphicData uri="http://schemas.openxmlformats.org/drawingml/2006/chart">
            <c:chart xmlns:c="http://schemas.openxmlformats.org/drawingml/2006/chart" xmlns:r="http://schemas.openxmlformats.org/officeDocument/2006/relationships" r:id="rId6"/>
          </a:graphicData>
        </a:graphic>
      </xdr:graphicFrame>
      <xdr:sp macro="" textlink="">
        <xdr:nvSpPr>
          <xdr:cNvPr id="20" name="ZoneTexte 19">
            <a:extLst>
              <a:ext uri="{FF2B5EF4-FFF2-40B4-BE49-F238E27FC236}">
                <a16:creationId xmlns:a16="http://schemas.microsoft.com/office/drawing/2014/main" id="{217D46F6-9FD9-4323-A79D-96190346C6D2}"/>
              </a:ext>
            </a:extLst>
          </xdr:cNvPr>
          <xdr:cNvSpPr txBox="1"/>
        </xdr:nvSpPr>
        <xdr:spPr>
          <a:xfrm>
            <a:off x="13144354" y="32347649"/>
            <a:ext cx="1143000" cy="2241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000" b="1">
                <a:solidFill>
                  <a:schemeClr val="tx2"/>
                </a:solidFill>
              </a:rPr>
              <a:t>Valeur basse</a:t>
            </a:r>
          </a:p>
        </xdr:txBody>
      </xdr:sp>
      <xdr:sp macro="" textlink="">
        <xdr:nvSpPr>
          <xdr:cNvPr id="23" name="ZoneTexte 22">
            <a:extLst>
              <a:ext uri="{FF2B5EF4-FFF2-40B4-BE49-F238E27FC236}">
                <a16:creationId xmlns:a16="http://schemas.microsoft.com/office/drawing/2014/main" id="{53B0BD7B-71FA-4298-ADAE-4B8C06D516BB}"/>
              </a:ext>
            </a:extLst>
          </xdr:cNvPr>
          <xdr:cNvSpPr txBox="1"/>
        </xdr:nvSpPr>
        <xdr:spPr>
          <a:xfrm>
            <a:off x="13132399" y="31546875"/>
            <a:ext cx="1143000" cy="2241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000" b="1">
                <a:solidFill>
                  <a:schemeClr val="tx2"/>
                </a:solidFill>
              </a:rPr>
              <a:t>Valeur haute</a:t>
            </a:r>
          </a:p>
        </xdr:txBody>
      </xdr:sp>
    </xdr:grpSp>
    <xdr:clientData/>
  </xdr:twoCellAnchor>
  <xdr:twoCellAnchor>
    <xdr:from>
      <xdr:col>13</xdr:col>
      <xdr:colOff>92362</xdr:colOff>
      <xdr:row>127</xdr:row>
      <xdr:rowOff>23091</xdr:rowOff>
    </xdr:from>
    <xdr:to>
      <xdr:col>23</xdr:col>
      <xdr:colOff>438727</xdr:colOff>
      <xdr:row>142</xdr:row>
      <xdr:rowOff>131124</xdr:rowOff>
    </xdr:to>
    <xdr:grpSp>
      <xdr:nvGrpSpPr>
        <xdr:cNvPr id="24" name="Groupe 23">
          <a:extLst>
            <a:ext uri="{FF2B5EF4-FFF2-40B4-BE49-F238E27FC236}">
              <a16:creationId xmlns:a16="http://schemas.microsoft.com/office/drawing/2014/main" id="{7EFBB7A7-172E-475B-B071-55347E905A5C}"/>
            </a:ext>
          </a:extLst>
        </xdr:cNvPr>
        <xdr:cNvGrpSpPr/>
      </xdr:nvGrpSpPr>
      <xdr:grpSpPr>
        <a:xfrm>
          <a:off x="15184195" y="4646083"/>
          <a:ext cx="8495532" cy="0"/>
          <a:chOff x="15124544" y="16814154"/>
          <a:chExt cx="8428183" cy="3837214"/>
        </a:xfrm>
      </xdr:grpSpPr>
      <xdr:graphicFrame macro="">
        <xdr:nvGraphicFramePr>
          <xdr:cNvPr id="30" name="Graphique 29">
            <a:extLst>
              <a:ext uri="{FF2B5EF4-FFF2-40B4-BE49-F238E27FC236}">
                <a16:creationId xmlns:a16="http://schemas.microsoft.com/office/drawing/2014/main" id="{B65FCCB6-096F-4F94-89DB-B32EE29147CF}"/>
              </a:ext>
            </a:extLst>
          </xdr:cNvPr>
          <xdr:cNvGraphicFramePr>
            <a:graphicFrameLocks/>
          </xdr:cNvGraphicFramePr>
        </xdr:nvGraphicFramePr>
        <xdr:xfrm>
          <a:off x="15124544" y="16814154"/>
          <a:ext cx="8428183" cy="3837214"/>
        </xdr:xfrm>
        <a:graphic>
          <a:graphicData uri="http://schemas.openxmlformats.org/drawingml/2006/chart">
            <c:chart xmlns:c="http://schemas.openxmlformats.org/drawingml/2006/chart" xmlns:r="http://schemas.openxmlformats.org/officeDocument/2006/relationships" r:id="rId7"/>
          </a:graphicData>
        </a:graphic>
      </xdr:graphicFrame>
      <xdr:sp macro="" textlink="">
        <xdr:nvSpPr>
          <xdr:cNvPr id="31" name="ZoneTexte 30">
            <a:extLst>
              <a:ext uri="{FF2B5EF4-FFF2-40B4-BE49-F238E27FC236}">
                <a16:creationId xmlns:a16="http://schemas.microsoft.com/office/drawing/2014/main" id="{8D85BBF4-BEDB-4C29-8CBF-471E9C801385}"/>
              </a:ext>
            </a:extLst>
          </xdr:cNvPr>
          <xdr:cNvSpPr txBox="1"/>
        </xdr:nvSpPr>
        <xdr:spPr>
          <a:xfrm>
            <a:off x="21163140" y="18350500"/>
            <a:ext cx="1134749" cy="21783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000" b="1">
                <a:solidFill>
                  <a:schemeClr val="tx2"/>
                </a:solidFill>
              </a:rPr>
              <a:t>Valeur basse</a:t>
            </a:r>
          </a:p>
        </xdr:txBody>
      </xdr:sp>
      <xdr:sp macro="" textlink="">
        <xdr:nvSpPr>
          <xdr:cNvPr id="32" name="ZoneTexte 31">
            <a:extLst>
              <a:ext uri="{FF2B5EF4-FFF2-40B4-BE49-F238E27FC236}">
                <a16:creationId xmlns:a16="http://schemas.microsoft.com/office/drawing/2014/main" id="{036A47CD-C28E-4567-92F1-7D88F615F94F}"/>
              </a:ext>
            </a:extLst>
          </xdr:cNvPr>
          <xdr:cNvSpPr txBox="1"/>
        </xdr:nvSpPr>
        <xdr:spPr>
          <a:xfrm>
            <a:off x="21151272" y="17283545"/>
            <a:ext cx="1134749" cy="21783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000" b="1">
                <a:solidFill>
                  <a:schemeClr val="tx2"/>
                </a:solidFill>
              </a:rPr>
              <a:t>Valeur haute</a:t>
            </a:r>
          </a:p>
        </xdr:txBody>
      </xdr:sp>
    </xdr:grpSp>
    <xdr:clientData/>
  </xdr:twoCellAnchor>
  <xdr:twoCellAnchor>
    <xdr:from>
      <xdr:col>8</xdr:col>
      <xdr:colOff>566553</xdr:colOff>
      <xdr:row>231</xdr:row>
      <xdr:rowOff>53026</xdr:rowOff>
    </xdr:from>
    <xdr:to>
      <xdr:col>15</xdr:col>
      <xdr:colOff>249054</xdr:colOff>
      <xdr:row>244</xdr:row>
      <xdr:rowOff>150090</xdr:rowOff>
    </xdr:to>
    <xdr:grpSp>
      <xdr:nvGrpSpPr>
        <xdr:cNvPr id="36" name="Groupe 35">
          <a:extLst>
            <a:ext uri="{FF2B5EF4-FFF2-40B4-BE49-F238E27FC236}">
              <a16:creationId xmlns:a16="http://schemas.microsoft.com/office/drawing/2014/main" id="{134CD7F1-E9F6-424A-B094-3F5E87A8A7F1}"/>
            </a:ext>
          </a:extLst>
        </xdr:cNvPr>
        <xdr:cNvGrpSpPr/>
      </xdr:nvGrpSpPr>
      <xdr:grpSpPr>
        <a:xfrm>
          <a:off x="11583803" y="7556500"/>
          <a:ext cx="5386918" cy="0"/>
          <a:chOff x="12798623" y="42051995"/>
          <a:chExt cx="5376447" cy="2785117"/>
        </a:xfrm>
      </xdr:grpSpPr>
      <xdr:graphicFrame macro="">
        <xdr:nvGraphicFramePr>
          <xdr:cNvPr id="12" name="Graphique 11">
            <a:extLst>
              <a:ext uri="{FF2B5EF4-FFF2-40B4-BE49-F238E27FC236}">
                <a16:creationId xmlns:a16="http://schemas.microsoft.com/office/drawing/2014/main" id="{BDBF42CE-0E57-468F-8A11-3CD355C2D50C}"/>
              </a:ext>
            </a:extLst>
          </xdr:cNvPr>
          <xdr:cNvGraphicFramePr/>
        </xdr:nvGraphicFramePr>
        <xdr:xfrm>
          <a:off x="12798623" y="42051995"/>
          <a:ext cx="5376447" cy="2785117"/>
        </xdr:xfrm>
        <a:graphic>
          <a:graphicData uri="http://schemas.openxmlformats.org/drawingml/2006/chart">
            <c:chart xmlns:c="http://schemas.openxmlformats.org/drawingml/2006/chart" xmlns:r="http://schemas.openxmlformats.org/officeDocument/2006/relationships" r:id="rId8"/>
          </a:graphicData>
        </a:graphic>
      </xdr:graphicFrame>
      <xdr:cxnSp macro="">
        <xdr:nvCxnSpPr>
          <xdr:cNvPr id="34" name="Connecteur droit avec flèche 33">
            <a:extLst>
              <a:ext uri="{FF2B5EF4-FFF2-40B4-BE49-F238E27FC236}">
                <a16:creationId xmlns:a16="http://schemas.microsoft.com/office/drawing/2014/main" id="{7D646E08-AB8C-41FF-AE3A-96E3604A7A62}"/>
              </a:ext>
            </a:extLst>
          </xdr:cNvPr>
          <xdr:cNvCxnSpPr/>
        </xdr:nvCxnSpPr>
        <xdr:spPr>
          <a:xfrm>
            <a:off x="15148315" y="42513758"/>
            <a:ext cx="415636" cy="473364"/>
          </a:xfrm>
          <a:prstGeom prst="straightConnector1">
            <a:avLst/>
          </a:prstGeom>
          <a:ln w="28575">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35" name="ZoneTexte 34">
            <a:extLst>
              <a:ext uri="{FF2B5EF4-FFF2-40B4-BE49-F238E27FC236}">
                <a16:creationId xmlns:a16="http://schemas.microsoft.com/office/drawing/2014/main" id="{3A065900-D3EE-4FAF-A47D-8EEB04AE96BC}"/>
              </a:ext>
            </a:extLst>
          </xdr:cNvPr>
          <xdr:cNvSpPr txBox="1"/>
        </xdr:nvSpPr>
        <xdr:spPr>
          <a:xfrm>
            <a:off x="15286181" y="42526663"/>
            <a:ext cx="606475" cy="2309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b="1">
                <a:solidFill>
                  <a:schemeClr val="tx2"/>
                </a:solidFill>
              </a:rPr>
              <a:t>-34%</a:t>
            </a:r>
          </a:p>
        </xdr:txBody>
      </xdr:sp>
    </xdr:grpSp>
    <xdr:clientData/>
  </xdr:twoCellAnchor>
  <xdr:twoCellAnchor>
    <xdr:from>
      <xdr:col>1</xdr:col>
      <xdr:colOff>52863</xdr:colOff>
      <xdr:row>10</xdr:row>
      <xdr:rowOff>65893</xdr:rowOff>
    </xdr:from>
    <xdr:to>
      <xdr:col>2</xdr:col>
      <xdr:colOff>967840</xdr:colOff>
      <xdr:row>48</xdr:row>
      <xdr:rowOff>21938</xdr:rowOff>
    </xdr:to>
    <xdr:pic>
      <xdr:nvPicPr>
        <xdr:cNvPr id="38" name="Image 37">
          <a:extLst>
            <a:ext uri="{FF2B5EF4-FFF2-40B4-BE49-F238E27FC236}">
              <a16:creationId xmlns:a16="http://schemas.microsoft.com/office/drawing/2014/main" id="{A1CC252F-65AD-47B4-BEC5-EE8FC834E34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61045" y="1924711"/>
          <a:ext cx="5902613" cy="6587259"/>
        </a:xfrm>
        <a:prstGeom prst="rect">
          <a:avLst/>
        </a:prstGeom>
      </xdr:spPr>
    </xdr:pic>
    <xdr:clientData/>
  </xdr:twoCellAnchor>
  <xdr:twoCellAnchor>
    <xdr:from>
      <xdr:col>4</xdr:col>
      <xdr:colOff>294697</xdr:colOff>
      <xdr:row>19</xdr:row>
      <xdr:rowOff>38096</xdr:rowOff>
    </xdr:from>
    <xdr:to>
      <xdr:col>12</xdr:col>
      <xdr:colOff>432130</xdr:colOff>
      <xdr:row>34</xdr:row>
      <xdr:rowOff>114296</xdr:rowOff>
    </xdr:to>
    <xdr:grpSp>
      <xdr:nvGrpSpPr>
        <xdr:cNvPr id="50" name="Groupe 49">
          <a:extLst>
            <a:ext uri="{FF2B5EF4-FFF2-40B4-BE49-F238E27FC236}">
              <a16:creationId xmlns:a16="http://schemas.microsoft.com/office/drawing/2014/main" id="{86BBD81A-1301-493D-81B0-8E990628534D}"/>
            </a:ext>
          </a:extLst>
        </xdr:cNvPr>
        <xdr:cNvGrpSpPr/>
      </xdr:nvGrpSpPr>
      <xdr:grpSpPr>
        <a:xfrm>
          <a:off x="8052280" y="1735667"/>
          <a:ext cx="6656767" cy="0"/>
          <a:chOff x="13806656" y="50949773"/>
          <a:chExt cx="6668862" cy="2797628"/>
        </a:xfrm>
      </xdr:grpSpPr>
      <xdr:graphicFrame macro="">
        <xdr:nvGraphicFramePr>
          <xdr:cNvPr id="44" name="Graphique 43">
            <a:extLst>
              <a:ext uri="{FF2B5EF4-FFF2-40B4-BE49-F238E27FC236}">
                <a16:creationId xmlns:a16="http://schemas.microsoft.com/office/drawing/2014/main" id="{C168D419-3865-497F-B878-6CF56E1474A4}"/>
              </a:ext>
            </a:extLst>
          </xdr:cNvPr>
          <xdr:cNvGraphicFramePr/>
        </xdr:nvGraphicFramePr>
        <xdr:xfrm>
          <a:off x="13806656" y="50949773"/>
          <a:ext cx="6668862" cy="2797628"/>
        </xdr:xfrm>
        <a:graphic>
          <a:graphicData uri="http://schemas.openxmlformats.org/drawingml/2006/chart">
            <c:chart xmlns:c="http://schemas.openxmlformats.org/drawingml/2006/chart" xmlns:r="http://schemas.openxmlformats.org/officeDocument/2006/relationships" r:id="rId10"/>
          </a:graphicData>
        </a:graphic>
      </xdr:graphicFrame>
      <xdr:pic>
        <xdr:nvPicPr>
          <xdr:cNvPr id="49" name="Image 48">
            <a:extLst>
              <a:ext uri="{FF2B5EF4-FFF2-40B4-BE49-F238E27FC236}">
                <a16:creationId xmlns:a16="http://schemas.microsoft.com/office/drawing/2014/main" id="{28AC40A9-1F30-4D29-86F0-371527A1C665}"/>
              </a:ext>
            </a:extLst>
          </xdr:cNvPr>
          <xdr:cNvPicPr>
            <a:picLocks noChangeAspect="1"/>
          </xdr:cNvPicPr>
        </xdr:nvPicPr>
        <xdr:blipFill>
          <a:blip xmlns:r="http://schemas.openxmlformats.org/officeDocument/2006/relationships" r:embed="rId11"/>
          <a:stretch>
            <a:fillRect/>
          </a:stretch>
        </xdr:blipFill>
        <xdr:spPr>
          <a:xfrm>
            <a:off x="14342909" y="51555556"/>
            <a:ext cx="1449796" cy="1542336"/>
          </a:xfrm>
          <a:prstGeom prst="rect">
            <a:avLst/>
          </a:prstGeom>
        </xdr:spPr>
      </xdr:pic>
    </xdr:grpSp>
    <xdr:clientData/>
  </xdr:twoCellAnchor>
  <xdr:twoCellAnchor>
    <xdr:from>
      <xdr:col>3</xdr:col>
      <xdr:colOff>906997</xdr:colOff>
      <xdr:row>150</xdr:row>
      <xdr:rowOff>165081</xdr:rowOff>
    </xdr:from>
    <xdr:to>
      <xdr:col>7</xdr:col>
      <xdr:colOff>3039</xdr:colOff>
      <xdr:row>171</xdr:row>
      <xdr:rowOff>80139</xdr:rowOff>
    </xdr:to>
    <xdr:pic>
      <xdr:nvPicPr>
        <xdr:cNvPr id="41" name="Image 40">
          <a:extLst>
            <a:ext uri="{FF2B5EF4-FFF2-40B4-BE49-F238E27FC236}">
              <a16:creationId xmlns:a16="http://schemas.microsoft.com/office/drawing/2014/main" id="{E4417211-BD86-4FFA-A9DB-AE52039935EE}"/>
            </a:ext>
          </a:extLst>
        </xdr:cNvPr>
        <xdr:cNvPicPr>
          <a:picLocks noChangeAspect="1"/>
        </xdr:cNvPicPr>
      </xdr:nvPicPr>
      <xdr:blipFill>
        <a:blip xmlns:r="http://schemas.openxmlformats.org/officeDocument/2006/relationships" r:embed="rId12"/>
        <a:stretch>
          <a:fillRect/>
        </a:stretch>
      </xdr:blipFill>
      <xdr:spPr>
        <a:xfrm>
          <a:off x="7753452" y="5452899"/>
          <a:ext cx="2432678" cy="4175331"/>
        </a:xfrm>
        <a:prstGeom prst="rect">
          <a:avLst/>
        </a:prstGeom>
      </xdr:spPr>
    </xdr:pic>
    <xdr:clientData/>
  </xdr:twoCellAnchor>
  <xdr:twoCellAnchor>
    <xdr:from>
      <xdr:col>1</xdr:col>
      <xdr:colOff>161636</xdr:colOff>
      <xdr:row>150</xdr:row>
      <xdr:rowOff>138546</xdr:rowOff>
    </xdr:from>
    <xdr:to>
      <xdr:col>4</xdr:col>
      <xdr:colOff>121228</xdr:colOff>
      <xdr:row>159</xdr:row>
      <xdr:rowOff>123357</xdr:rowOff>
    </xdr:to>
    <xdr:pic>
      <xdr:nvPicPr>
        <xdr:cNvPr id="42" name="Image 41">
          <a:extLst>
            <a:ext uri="{FF2B5EF4-FFF2-40B4-BE49-F238E27FC236}">
              <a16:creationId xmlns:a16="http://schemas.microsoft.com/office/drawing/2014/main" id="{DFAF96EF-9985-428B-929F-D5084EC9A3F0}"/>
            </a:ext>
          </a:extLst>
        </xdr:cNvPr>
        <xdr:cNvPicPr>
          <a:picLocks noChangeAspect="1"/>
        </xdr:cNvPicPr>
      </xdr:nvPicPr>
      <xdr:blipFill>
        <a:blip xmlns:r="http://schemas.openxmlformats.org/officeDocument/2006/relationships" r:embed="rId13"/>
        <a:stretch>
          <a:fillRect/>
        </a:stretch>
      </xdr:blipFill>
      <xdr:spPr>
        <a:xfrm>
          <a:off x="969818" y="5426364"/>
          <a:ext cx="6909955" cy="1543448"/>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4</xdr:col>
      <xdr:colOff>102466</xdr:colOff>
      <xdr:row>31</xdr:row>
      <xdr:rowOff>0</xdr:rowOff>
    </xdr:from>
    <xdr:to>
      <xdr:col>9</xdr:col>
      <xdr:colOff>277091</xdr:colOff>
      <xdr:row>45</xdr:row>
      <xdr:rowOff>150091</xdr:rowOff>
    </xdr:to>
    <xdr:graphicFrame macro="">
      <xdr:nvGraphicFramePr>
        <xdr:cNvPr id="9" name="Graphique 8">
          <a:extLst>
            <a:ext uri="{FF2B5EF4-FFF2-40B4-BE49-F238E27FC236}">
              <a16:creationId xmlns:a16="http://schemas.microsoft.com/office/drawing/2014/main" id="{5A2BD78A-966D-4794-ADD9-D1A8683E327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26682</xdr:colOff>
      <xdr:row>11</xdr:row>
      <xdr:rowOff>69370</xdr:rowOff>
    </xdr:from>
    <xdr:to>
      <xdr:col>14</xdr:col>
      <xdr:colOff>275878</xdr:colOff>
      <xdr:row>28</xdr:row>
      <xdr:rowOff>9072</xdr:rowOff>
    </xdr:to>
    <xdr:graphicFrame macro="">
      <xdr:nvGraphicFramePr>
        <xdr:cNvPr id="10" name="Graphique 9">
          <a:extLst>
            <a:ext uri="{FF2B5EF4-FFF2-40B4-BE49-F238E27FC236}">
              <a16:creationId xmlns:a16="http://schemas.microsoft.com/office/drawing/2014/main" id="{AB77F3CC-E18F-4E40-950A-E85F0531971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54429</xdr:colOff>
      <xdr:row>558</xdr:row>
      <xdr:rowOff>45357</xdr:rowOff>
    </xdr:from>
    <xdr:to>
      <xdr:col>10</xdr:col>
      <xdr:colOff>2360957</xdr:colOff>
      <xdr:row>564</xdr:row>
      <xdr:rowOff>290286</xdr:rowOff>
    </xdr:to>
    <xdr:pic>
      <xdr:nvPicPr>
        <xdr:cNvPr id="3" name="Image 2">
          <a:extLst>
            <a:ext uri="{FF2B5EF4-FFF2-40B4-BE49-F238E27FC236}">
              <a16:creationId xmlns:a16="http://schemas.microsoft.com/office/drawing/2014/main" id="{C57B387D-3B98-4D8B-B680-B22BBBFE3A54}"/>
            </a:ext>
          </a:extLst>
        </xdr:cNvPr>
        <xdr:cNvPicPr>
          <a:picLocks noChangeAspect="1"/>
        </xdr:cNvPicPr>
      </xdr:nvPicPr>
      <xdr:blipFill>
        <a:blip xmlns:r="http://schemas.openxmlformats.org/officeDocument/2006/relationships" r:embed="rId3"/>
        <a:stretch>
          <a:fillRect/>
        </a:stretch>
      </xdr:blipFill>
      <xdr:spPr>
        <a:xfrm>
          <a:off x="10668000" y="15140214"/>
          <a:ext cx="4256886" cy="2050143"/>
        </a:xfrm>
        <a:prstGeom prst="rect">
          <a:avLst/>
        </a:prstGeom>
      </xdr:spPr>
    </xdr:pic>
    <xdr:clientData/>
  </xdr:twoCellAnchor>
  <xdr:twoCellAnchor>
    <xdr:from>
      <xdr:col>5</xdr:col>
      <xdr:colOff>1170213</xdr:colOff>
      <xdr:row>313</xdr:row>
      <xdr:rowOff>159017</xdr:rowOff>
    </xdr:from>
    <xdr:to>
      <xdr:col>9</xdr:col>
      <xdr:colOff>210244</xdr:colOff>
      <xdr:row>321</xdr:row>
      <xdr:rowOff>178762</xdr:rowOff>
    </xdr:to>
    <xdr:pic>
      <xdr:nvPicPr>
        <xdr:cNvPr id="5" name="Image 4">
          <a:extLst>
            <a:ext uri="{FF2B5EF4-FFF2-40B4-BE49-F238E27FC236}">
              <a16:creationId xmlns:a16="http://schemas.microsoft.com/office/drawing/2014/main" id="{D874FE51-8A97-4DA6-985F-F98BF2A6DFA9}"/>
            </a:ext>
          </a:extLst>
        </xdr:cNvPr>
        <xdr:cNvPicPr>
          <a:picLocks noChangeAspect="1"/>
        </xdr:cNvPicPr>
      </xdr:nvPicPr>
      <xdr:blipFill>
        <a:blip xmlns:r="http://schemas.openxmlformats.org/officeDocument/2006/relationships" r:embed="rId4"/>
        <a:stretch>
          <a:fillRect/>
        </a:stretch>
      </xdr:blipFill>
      <xdr:spPr>
        <a:xfrm>
          <a:off x="8192566" y="8623193"/>
          <a:ext cx="3649384" cy="1461569"/>
        </a:xfrm>
        <a:prstGeom prst="rect">
          <a:avLst/>
        </a:prstGeom>
      </xdr:spPr>
    </xdr:pic>
    <xdr:clientData/>
  </xdr:twoCellAnchor>
  <xdr:twoCellAnchor>
    <xdr:from>
      <xdr:col>4</xdr:col>
      <xdr:colOff>136072</xdr:colOff>
      <xdr:row>631</xdr:row>
      <xdr:rowOff>90714</xdr:rowOff>
    </xdr:from>
    <xdr:to>
      <xdr:col>7</xdr:col>
      <xdr:colOff>789215</xdr:colOff>
      <xdr:row>643</xdr:row>
      <xdr:rowOff>107371</xdr:rowOff>
    </xdr:to>
    <xdr:graphicFrame macro="">
      <xdr:nvGraphicFramePr>
        <xdr:cNvPr id="2" name="Graphique 1">
          <a:extLst>
            <a:ext uri="{FF2B5EF4-FFF2-40B4-BE49-F238E27FC236}">
              <a16:creationId xmlns:a16="http://schemas.microsoft.com/office/drawing/2014/main" id="{20E2FA37-F03A-4126-895F-758114A4FD6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4</xdr:col>
      <xdr:colOff>404091</xdr:colOff>
      <xdr:row>51</xdr:row>
      <xdr:rowOff>46182</xdr:rowOff>
    </xdr:from>
    <xdr:to>
      <xdr:col>10</xdr:col>
      <xdr:colOff>496453</xdr:colOff>
      <xdr:row>62</xdr:row>
      <xdr:rowOff>103909</xdr:rowOff>
    </xdr:to>
    <xdr:graphicFrame macro="">
      <xdr:nvGraphicFramePr>
        <xdr:cNvPr id="8" name="Graphique 7">
          <a:extLst>
            <a:ext uri="{FF2B5EF4-FFF2-40B4-BE49-F238E27FC236}">
              <a16:creationId xmlns:a16="http://schemas.microsoft.com/office/drawing/2014/main" id="{CAE9AEF9-F32E-4C6F-A6CD-C7CB4CC4CF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4</xdr:col>
      <xdr:colOff>157514</xdr:colOff>
      <xdr:row>203</xdr:row>
      <xdr:rowOff>41235</xdr:rowOff>
    </xdr:from>
    <xdr:to>
      <xdr:col>6</xdr:col>
      <xdr:colOff>191196</xdr:colOff>
      <xdr:row>213</xdr:row>
      <xdr:rowOff>95662</xdr:rowOff>
    </xdr:to>
    <xdr:pic>
      <xdr:nvPicPr>
        <xdr:cNvPr id="2" name="Image 1">
          <a:extLst>
            <a:ext uri="{FF2B5EF4-FFF2-40B4-BE49-F238E27FC236}">
              <a16:creationId xmlns:a16="http://schemas.microsoft.com/office/drawing/2014/main" id="{E05EB2FD-C44D-4D05-AFA0-6DFA419BC05C}"/>
            </a:ext>
          </a:extLst>
        </xdr:cNvPr>
        <xdr:cNvPicPr>
          <a:picLocks noChangeAspect="1"/>
        </xdr:cNvPicPr>
      </xdr:nvPicPr>
      <xdr:blipFill>
        <a:blip xmlns:r="http://schemas.openxmlformats.org/officeDocument/2006/relationships" r:embed="rId1"/>
        <a:stretch>
          <a:fillRect/>
        </a:stretch>
      </xdr:blipFill>
      <xdr:spPr>
        <a:xfrm>
          <a:off x="8447150" y="13641780"/>
          <a:ext cx="2631410" cy="1809337"/>
        </a:xfrm>
        <a:prstGeom prst="rect">
          <a:avLst/>
        </a:prstGeom>
      </xdr:spPr>
    </xdr:pic>
    <xdr:clientData/>
  </xdr:twoCellAnchor>
  <xdr:twoCellAnchor>
    <xdr:from>
      <xdr:col>1</xdr:col>
      <xdr:colOff>468827</xdr:colOff>
      <xdr:row>25</xdr:row>
      <xdr:rowOff>81066</xdr:rowOff>
    </xdr:from>
    <xdr:to>
      <xdr:col>2</xdr:col>
      <xdr:colOff>727363</xdr:colOff>
      <xdr:row>43</xdr:row>
      <xdr:rowOff>150090</xdr:rowOff>
    </xdr:to>
    <xdr:graphicFrame macro="">
      <xdr:nvGraphicFramePr>
        <xdr:cNvPr id="4" name="Graphique 3">
          <a:extLst>
            <a:ext uri="{FF2B5EF4-FFF2-40B4-BE49-F238E27FC236}">
              <a16:creationId xmlns:a16="http://schemas.microsoft.com/office/drawing/2014/main" id="{968D7EFC-90F9-4A04-875E-A73B3683C99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821789</xdr:colOff>
      <xdr:row>25</xdr:row>
      <xdr:rowOff>132910</xdr:rowOff>
    </xdr:from>
    <xdr:to>
      <xdr:col>6</xdr:col>
      <xdr:colOff>1324841</xdr:colOff>
      <xdr:row>44</xdr:row>
      <xdr:rowOff>21167</xdr:rowOff>
    </xdr:to>
    <xdr:graphicFrame macro="">
      <xdr:nvGraphicFramePr>
        <xdr:cNvPr id="12" name="Graphique 11">
          <a:extLst>
            <a:ext uri="{FF2B5EF4-FFF2-40B4-BE49-F238E27FC236}">
              <a16:creationId xmlns:a16="http://schemas.microsoft.com/office/drawing/2014/main" id="{C9D188B0-1965-43C9-B646-134E509E08F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4</xdr:col>
      <xdr:colOff>689429</xdr:colOff>
      <xdr:row>77</xdr:row>
      <xdr:rowOff>18142</xdr:rowOff>
    </xdr:from>
    <xdr:to>
      <xdr:col>8</xdr:col>
      <xdr:colOff>390072</xdr:colOff>
      <xdr:row>89</xdr:row>
      <xdr:rowOff>25636</xdr:rowOff>
    </xdr:to>
    <xdr:graphicFrame macro="">
      <xdr:nvGraphicFramePr>
        <xdr:cNvPr id="5" name="Graphique 4">
          <a:extLst>
            <a:ext uri="{FF2B5EF4-FFF2-40B4-BE49-F238E27FC236}">
              <a16:creationId xmlns:a16="http://schemas.microsoft.com/office/drawing/2014/main" id="{F9B054C2-759E-40C2-835A-6BE589F5533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145143</xdr:colOff>
      <xdr:row>77</xdr:row>
      <xdr:rowOff>18142</xdr:rowOff>
    </xdr:from>
    <xdr:to>
      <xdr:col>13</xdr:col>
      <xdr:colOff>462643</xdr:colOff>
      <xdr:row>89</xdr:row>
      <xdr:rowOff>22914</xdr:rowOff>
    </xdr:to>
    <xdr:graphicFrame macro="">
      <xdr:nvGraphicFramePr>
        <xdr:cNvPr id="6" name="Graphique 5">
          <a:extLst>
            <a:ext uri="{FF2B5EF4-FFF2-40B4-BE49-F238E27FC236}">
              <a16:creationId xmlns:a16="http://schemas.microsoft.com/office/drawing/2014/main" id="{B8A440EB-5895-4971-8E75-3D0A9F9156C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230700</xdr:colOff>
      <xdr:row>209</xdr:row>
      <xdr:rowOff>34637</xdr:rowOff>
    </xdr:from>
    <xdr:to>
      <xdr:col>15</xdr:col>
      <xdr:colOff>1440501</xdr:colOff>
      <xdr:row>224</xdr:row>
      <xdr:rowOff>103909</xdr:rowOff>
    </xdr:to>
    <xdr:graphicFrame macro="">
      <xdr:nvGraphicFramePr>
        <xdr:cNvPr id="3" name="Graphique 2">
          <a:extLst>
            <a:ext uri="{FF2B5EF4-FFF2-40B4-BE49-F238E27FC236}">
              <a16:creationId xmlns:a16="http://schemas.microsoft.com/office/drawing/2014/main" id="{9B51F058-EC1C-4C5F-826D-459B6CE909F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xdr:colOff>
      <xdr:row>260</xdr:row>
      <xdr:rowOff>0</xdr:rowOff>
    </xdr:from>
    <xdr:to>
      <xdr:col>2</xdr:col>
      <xdr:colOff>1152071</xdr:colOff>
      <xdr:row>261</xdr:row>
      <xdr:rowOff>9071</xdr:rowOff>
    </xdr:to>
    <xdr:pic>
      <xdr:nvPicPr>
        <xdr:cNvPr id="9" name="Image 8">
          <a:extLst>
            <a:ext uri="{FF2B5EF4-FFF2-40B4-BE49-F238E27FC236}">
              <a16:creationId xmlns:a16="http://schemas.microsoft.com/office/drawing/2014/main" id="{1B2FB654-B17D-4D2E-8D2E-D793E4BA42B1}"/>
            </a:ext>
          </a:extLst>
        </xdr:cNvPr>
        <xdr:cNvPicPr>
          <a:picLocks noChangeAspect="1"/>
        </xdr:cNvPicPr>
      </xdr:nvPicPr>
      <xdr:blipFill>
        <a:blip xmlns:r="http://schemas.openxmlformats.org/officeDocument/2006/relationships" r:embed="rId4"/>
        <a:stretch>
          <a:fillRect/>
        </a:stretch>
      </xdr:blipFill>
      <xdr:spPr>
        <a:xfrm>
          <a:off x="816430" y="17698357"/>
          <a:ext cx="5079998" cy="190500"/>
        </a:xfrm>
        <a:prstGeom prst="rect">
          <a:avLst/>
        </a:prstGeom>
      </xdr:spPr>
    </xdr:pic>
    <xdr:clientData/>
  </xdr:twoCellAnchor>
  <xdr:twoCellAnchor>
    <xdr:from>
      <xdr:col>2</xdr:col>
      <xdr:colOff>1850572</xdr:colOff>
      <xdr:row>259</xdr:row>
      <xdr:rowOff>36285</xdr:rowOff>
    </xdr:from>
    <xdr:to>
      <xdr:col>6</xdr:col>
      <xdr:colOff>727364</xdr:colOff>
      <xdr:row>262</xdr:row>
      <xdr:rowOff>6421</xdr:rowOff>
    </xdr:to>
    <xdr:pic>
      <xdr:nvPicPr>
        <xdr:cNvPr id="10" name="Image 9">
          <a:extLst>
            <a:ext uri="{FF2B5EF4-FFF2-40B4-BE49-F238E27FC236}">
              <a16:creationId xmlns:a16="http://schemas.microsoft.com/office/drawing/2014/main" id="{1E411641-B4A4-4F6A-ADA1-73D2C7559AF3}"/>
            </a:ext>
          </a:extLst>
        </xdr:cNvPr>
        <xdr:cNvPicPr>
          <a:picLocks noChangeAspect="1"/>
        </xdr:cNvPicPr>
      </xdr:nvPicPr>
      <xdr:blipFill>
        <a:blip xmlns:r="http://schemas.openxmlformats.org/officeDocument/2006/relationships" r:embed="rId5"/>
        <a:stretch>
          <a:fillRect/>
        </a:stretch>
      </xdr:blipFill>
      <xdr:spPr>
        <a:xfrm>
          <a:off x="6584208" y="17562285"/>
          <a:ext cx="5284520" cy="489681"/>
        </a:xfrm>
        <a:prstGeom prst="rect">
          <a:avLst/>
        </a:prstGeom>
      </xdr:spPr>
    </xdr:pic>
    <xdr:clientData/>
  </xdr:twoCellAnchor>
  <xdr:twoCellAnchor>
    <xdr:from>
      <xdr:col>8</xdr:col>
      <xdr:colOff>0</xdr:colOff>
      <xdr:row>259</xdr:row>
      <xdr:rowOff>0</xdr:rowOff>
    </xdr:from>
    <xdr:to>
      <xdr:col>8</xdr:col>
      <xdr:colOff>1569357</xdr:colOff>
      <xdr:row>264</xdr:row>
      <xdr:rowOff>34637</xdr:rowOff>
    </xdr:to>
    <xdr:pic>
      <xdr:nvPicPr>
        <xdr:cNvPr id="11" name="Image 10">
          <a:extLst>
            <a:ext uri="{FF2B5EF4-FFF2-40B4-BE49-F238E27FC236}">
              <a16:creationId xmlns:a16="http://schemas.microsoft.com/office/drawing/2014/main" id="{1788AD19-3BED-4955-8817-5D24DD62346B}"/>
            </a:ext>
          </a:extLst>
        </xdr:cNvPr>
        <xdr:cNvPicPr>
          <a:picLocks noChangeAspect="1"/>
        </xdr:cNvPicPr>
      </xdr:nvPicPr>
      <xdr:blipFill>
        <a:blip xmlns:r="http://schemas.openxmlformats.org/officeDocument/2006/relationships" r:embed="rId6"/>
        <a:stretch>
          <a:fillRect/>
        </a:stretch>
      </xdr:blipFill>
      <xdr:spPr>
        <a:xfrm>
          <a:off x="14316364" y="36241182"/>
          <a:ext cx="1569357" cy="912091"/>
        </a:xfrm>
        <a:prstGeom prst="rect">
          <a:avLst/>
        </a:prstGeom>
      </xdr:spPr>
    </xdr:pic>
    <xdr:clientData/>
  </xdr:twoCellAnchor>
  <xdr:twoCellAnchor>
    <xdr:from>
      <xdr:col>13</xdr:col>
      <xdr:colOff>0</xdr:colOff>
      <xdr:row>259</xdr:row>
      <xdr:rowOff>0</xdr:rowOff>
    </xdr:from>
    <xdr:to>
      <xdr:col>17</xdr:col>
      <xdr:colOff>544285</xdr:colOff>
      <xdr:row>262</xdr:row>
      <xdr:rowOff>38034</xdr:rowOff>
    </xdr:to>
    <xdr:pic>
      <xdr:nvPicPr>
        <xdr:cNvPr id="13" name="Image 12">
          <a:extLst>
            <a:ext uri="{FF2B5EF4-FFF2-40B4-BE49-F238E27FC236}">
              <a16:creationId xmlns:a16="http://schemas.microsoft.com/office/drawing/2014/main" id="{715BE9B8-5115-4155-9F25-26992FACE327}"/>
            </a:ext>
          </a:extLst>
        </xdr:cNvPr>
        <xdr:cNvPicPr>
          <a:picLocks noChangeAspect="1"/>
        </xdr:cNvPicPr>
      </xdr:nvPicPr>
      <xdr:blipFill>
        <a:blip xmlns:r="http://schemas.openxmlformats.org/officeDocument/2006/relationships" r:embed="rId7"/>
        <a:stretch>
          <a:fillRect/>
        </a:stretch>
      </xdr:blipFill>
      <xdr:spPr>
        <a:xfrm>
          <a:off x="19276786" y="17516929"/>
          <a:ext cx="4608285" cy="582320"/>
        </a:xfrm>
        <a:prstGeom prst="rect">
          <a:avLst/>
        </a:prstGeom>
      </xdr:spPr>
    </xdr:pic>
    <xdr:clientData/>
  </xdr:twoCellAnchor>
  <xdr:twoCellAnchor>
    <xdr:from>
      <xdr:col>1</xdr:col>
      <xdr:colOff>23090</xdr:colOff>
      <xdr:row>344</xdr:row>
      <xdr:rowOff>27998</xdr:rowOff>
    </xdr:from>
    <xdr:to>
      <xdr:col>3</xdr:col>
      <xdr:colOff>911876</xdr:colOff>
      <xdr:row>361</xdr:row>
      <xdr:rowOff>76302</xdr:rowOff>
    </xdr:to>
    <xdr:pic>
      <xdr:nvPicPr>
        <xdr:cNvPr id="12" name="Image 11">
          <a:extLst>
            <a:ext uri="{FF2B5EF4-FFF2-40B4-BE49-F238E27FC236}">
              <a16:creationId xmlns:a16="http://schemas.microsoft.com/office/drawing/2014/main" id="{7364A061-7307-4359-9291-82F70305D6C6}"/>
            </a:ext>
          </a:extLst>
        </xdr:cNvPr>
        <xdr:cNvPicPr>
          <a:picLocks noChangeAspect="1"/>
        </xdr:cNvPicPr>
      </xdr:nvPicPr>
      <xdr:blipFill>
        <a:blip xmlns:r="http://schemas.openxmlformats.org/officeDocument/2006/relationships" r:embed="rId8"/>
        <a:stretch>
          <a:fillRect/>
        </a:stretch>
      </xdr:blipFill>
      <xdr:spPr>
        <a:xfrm>
          <a:off x="831272" y="21918180"/>
          <a:ext cx="6753877" cy="2992395"/>
        </a:xfrm>
        <a:prstGeom prst="rect">
          <a:avLst/>
        </a:prstGeom>
      </xdr:spPr>
    </xdr:pic>
    <xdr:clientData/>
  </xdr:twoCellAnchor>
  <xdr:twoCellAnchor>
    <xdr:from>
      <xdr:col>1</xdr:col>
      <xdr:colOff>92362</xdr:colOff>
      <xdr:row>44</xdr:row>
      <xdr:rowOff>103909</xdr:rowOff>
    </xdr:from>
    <xdr:to>
      <xdr:col>5</xdr:col>
      <xdr:colOff>1258454</xdr:colOff>
      <xdr:row>65</xdr:row>
      <xdr:rowOff>150091</xdr:rowOff>
    </xdr:to>
    <xdr:graphicFrame macro="">
      <xdr:nvGraphicFramePr>
        <xdr:cNvPr id="4" name="Graphique 3">
          <a:extLst>
            <a:ext uri="{FF2B5EF4-FFF2-40B4-BE49-F238E27FC236}">
              <a16:creationId xmlns:a16="http://schemas.microsoft.com/office/drawing/2014/main" id="{222B85B5-43CA-47F9-BCAC-F6F57692B69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6</xdr:col>
      <xdr:colOff>45893</xdr:colOff>
      <xdr:row>44</xdr:row>
      <xdr:rowOff>152111</xdr:rowOff>
    </xdr:from>
    <xdr:to>
      <xdr:col>14</xdr:col>
      <xdr:colOff>475013</xdr:colOff>
      <xdr:row>65</xdr:row>
      <xdr:rowOff>143865</xdr:rowOff>
    </xdr:to>
    <xdr:graphicFrame macro="">
      <xdr:nvGraphicFramePr>
        <xdr:cNvPr id="14" name="Graphique 13">
          <a:extLst>
            <a:ext uri="{FF2B5EF4-FFF2-40B4-BE49-F238E27FC236}">
              <a16:creationId xmlns:a16="http://schemas.microsoft.com/office/drawing/2014/main" id="{65B666B3-E744-4145-A6D9-32E1D6EC44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14</xdr:col>
      <xdr:colOff>715818</xdr:colOff>
      <xdr:row>44</xdr:row>
      <xdr:rowOff>138547</xdr:rowOff>
    </xdr:from>
    <xdr:to>
      <xdr:col>26</xdr:col>
      <xdr:colOff>186665</xdr:colOff>
      <xdr:row>65</xdr:row>
      <xdr:rowOff>134919</xdr:rowOff>
    </xdr:to>
    <xdr:graphicFrame macro="">
      <xdr:nvGraphicFramePr>
        <xdr:cNvPr id="15" name="Graphique 14">
          <a:extLst>
            <a:ext uri="{FF2B5EF4-FFF2-40B4-BE49-F238E27FC236}">
              <a16:creationId xmlns:a16="http://schemas.microsoft.com/office/drawing/2014/main" id="{0FEDBA99-C718-4E6E-97D4-8AB3317997A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16</xdr:col>
      <xdr:colOff>265547</xdr:colOff>
      <xdr:row>31</xdr:row>
      <xdr:rowOff>2311</xdr:rowOff>
    </xdr:from>
    <xdr:to>
      <xdr:col>21</xdr:col>
      <xdr:colOff>796638</xdr:colOff>
      <xdr:row>44</xdr:row>
      <xdr:rowOff>78511</xdr:rowOff>
    </xdr:to>
    <xdr:graphicFrame macro="">
      <xdr:nvGraphicFramePr>
        <xdr:cNvPr id="7" name="Graphique 6">
          <a:extLst>
            <a:ext uri="{FF2B5EF4-FFF2-40B4-BE49-F238E27FC236}">
              <a16:creationId xmlns:a16="http://schemas.microsoft.com/office/drawing/2014/main" id="{383804F4-6436-4317-8D83-5862CDD504F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21</xdr:col>
      <xdr:colOff>658091</xdr:colOff>
      <xdr:row>31</xdr:row>
      <xdr:rowOff>0</xdr:rowOff>
    </xdr:from>
    <xdr:to>
      <xdr:col>27</xdr:col>
      <xdr:colOff>381000</xdr:colOff>
      <xdr:row>44</xdr:row>
      <xdr:rowOff>76200</xdr:rowOff>
    </xdr:to>
    <xdr:graphicFrame macro="">
      <xdr:nvGraphicFramePr>
        <xdr:cNvPr id="16" name="Graphique 15">
          <a:extLst>
            <a:ext uri="{FF2B5EF4-FFF2-40B4-BE49-F238E27FC236}">
              <a16:creationId xmlns:a16="http://schemas.microsoft.com/office/drawing/2014/main" id="{51B8511D-A498-475D-B2F2-3BF8A0CE924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3</xdr:col>
      <xdr:colOff>150091</xdr:colOff>
      <xdr:row>16</xdr:row>
      <xdr:rowOff>94673</xdr:rowOff>
    </xdr:from>
    <xdr:to>
      <xdr:col>6</xdr:col>
      <xdr:colOff>254000</xdr:colOff>
      <xdr:row>30</xdr:row>
      <xdr:rowOff>115454</xdr:rowOff>
    </xdr:to>
    <xdr:graphicFrame macro="">
      <xdr:nvGraphicFramePr>
        <xdr:cNvPr id="17" name="Graphique 16">
          <a:extLst>
            <a:ext uri="{FF2B5EF4-FFF2-40B4-BE49-F238E27FC236}">
              <a16:creationId xmlns:a16="http://schemas.microsoft.com/office/drawing/2014/main" id="{A47F49E7-C448-4B97-A732-3F920B1FE2B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1</xdr:col>
      <xdr:colOff>172359</xdr:colOff>
      <xdr:row>20</xdr:row>
      <xdr:rowOff>120649</xdr:rowOff>
    </xdr:from>
    <xdr:to>
      <xdr:col>4</xdr:col>
      <xdr:colOff>789215</xdr:colOff>
      <xdr:row>42</xdr:row>
      <xdr:rowOff>154213</xdr:rowOff>
    </xdr:to>
    <xdr:graphicFrame macro="">
      <xdr:nvGraphicFramePr>
        <xdr:cNvPr id="4" name="Graphique 3">
          <a:extLst>
            <a:ext uri="{FF2B5EF4-FFF2-40B4-BE49-F238E27FC236}">
              <a16:creationId xmlns:a16="http://schemas.microsoft.com/office/drawing/2014/main" id="{51531709-6A92-47BD-80BC-B1E6EB1107B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196273</xdr:colOff>
      <xdr:row>74</xdr:row>
      <xdr:rowOff>71582</xdr:rowOff>
    </xdr:from>
    <xdr:to>
      <xdr:col>11</xdr:col>
      <xdr:colOff>773546</xdr:colOff>
      <xdr:row>87</xdr:row>
      <xdr:rowOff>159327</xdr:rowOff>
    </xdr:to>
    <xdr:graphicFrame macro="">
      <xdr:nvGraphicFramePr>
        <xdr:cNvPr id="6" name="Graphique 5">
          <a:extLst>
            <a:ext uri="{FF2B5EF4-FFF2-40B4-BE49-F238E27FC236}">
              <a16:creationId xmlns:a16="http://schemas.microsoft.com/office/drawing/2014/main" id="{8891459C-A1AD-4DBA-87E0-F7E1430A45B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975176</xdr:colOff>
      <xdr:row>20</xdr:row>
      <xdr:rowOff>84365</xdr:rowOff>
    </xdr:from>
    <xdr:to>
      <xdr:col>7</xdr:col>
      <xdr:colOff>625928</xdr:colOff>
      <xdr:row>37</xdr:row>
      <xdr:rowOff>99785</xdr:rowOff>
    </xdr:to>
    <xdr:graphicFrame macro="">
      <xdr:nvGraphicFramePr>
        <xdr:cNvPr id="8" name="Graphique 7">
          <a:extLst>
            <a:ext uri="{FF2B5EF4-FFF2-40B4-BE49-F238E27FC236}">
              <a16:creationId xmlns:a16="http://schemas.microsoft.com/office/drawing/2014/main" id="{B876C03C-0127-4CE2-9909-7AA069FDDEE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376831</xdr:colOff>
      <xdr:row>20</xdr:row>
      <xdr:rowOff>73346</xdr:rowOff>
    </xdr:from>
    <xdr:to>
      <xdr:col>13</xdr:col>
      <xdr:colOff>645265</xdr:colOff>
      <xdr:row>37</xdr:row>
      <xdr:rowOff>88766</xdr:rowOff>
    </xdr:to>
    <xdr:graphicFrame macro="">
      <xdr:nvGraphicFramePr>
        <xdr:cNvPr id="9" name="Graphique 8">
          <a:extLst>
            <a:ext uri="{FF2B5EF4-FFF2-40B4-BE49-F238E27FC236}">
              <a16:creationId xmlns:a16="http://schemas.microsoft.com/office/drawing/2014/main" id="{28CF96F7-6B87-4BDE-B77A-DD313B1F88C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14</xdr:col>
      <xdr:colOff>704273</xdr:colOff>
      <xdr:row>15</xdr:row>
      <xdr:rowOff>69273</xdr:rowOff>
    </xdr:from>
    <xdr:to>
      <xdr:col>21</xdr:col>
      <xdr:colOff>695616</xdr:colOff>
      <xdr:row>32</xdr:row>
      <xdr:rowOff>61602</xdr:rowOff>
    </xdr:to>
    <xdr:graphicFrame macro="">
      <xdr:nvGraphicFramePr>
        <xdr:cNvPr id="16" name="Graphique 15">
          <a:extLst>
            <a:ext uri="{FF2B5EF4-FFF2-40B4-BE49-F238E27FC236}">
              <a16:creationId xmlns:a16="http://schemas.microsoft.com/office/drawing/2014/main" id="{CDE0F286-6C0C-40BE-8A4D-28B26E4DA1C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438727</xdr:colOff>
      <xdr:row>553</xdr:row>
      <xdr:rowOff>11545</xdr:rowOff>
    </xdr:from>
    <xdr:to>
      <xdr:col>11</xdr:col>
      <xdr:colOff>300181</xdr:colOff>
      <xdr:row>554</xdr:row>
      <xdr:rowOff>127000</xdr:rowOff>
    </xdr:to>
    <xdr:sp macro="" textlink="">
      <xdr:nvSpPr>
        <xdr:cNvPr id="18" name="ZoneTexte 17">
          <a:extLst>
            <a:ext uri="{FF2B5EF4-FFF2-40B4-BE49-F238E27FC236}">
              <a16:creationId xmlns:a16="http://schemas.microsoft.com/office/drawing/2014/main" id="{86BCDF4D-C6DA-42B4-BB97-23D7EB8791EA}"/>
            </a:ext>
          </a:extLst>
        </xdr:cNvPr>
        <xdr:cNvSpPr txBox="1"/>
      </xdr:nvSpPr>
      <xdr:spPr>
        <a:xfrm>
          <a:off x="18576636" y="52197000"/>
          <a:ext cx="692727" cy="28863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100" b="1">
              <a:solidFill>
                <a:schemeClr val="tx2"/>
              </a:solidFill>
            </a:rPr>
            <a:t>-1%</a:t>
          </a:r>
        </a:p>
      </xdr:txBody>
    </xdr:sp>
    <xdr:clientData/>
  </xdr:twoCellAnchor>
  <xdr:twoCellAnchor>
    <xdr:from>
      <xdr:col>10</xdr:col>
      <xdr:colOff>591127</xdr:colOff>
      <xdr:row>553</xdr:row>
      <xdr:rowOff>163945</xdr:rowOff>
    </xdr:from>
    <xdr:to>
      <xdr:col>11</xdr:col>
      <xdr:colOff>452581</xdr:colOff>
      <xdr:row>555</xdr:row>
      <xdr:rowOff>106218</xdr:rowOff>
    </xdr:to>
    <xdr:sp macro="" textlink="">
      <xdr:nvSpPr>
        <xdr:cNvPr id="19" name="ZoneTexte 18">
          <a:extLst>
            <a:ext uri="{FF2B5EF4-FFF2-40B4-BE49-F238E27FC236}">
              <a16:creationId xmlns:a16="http://schemas.microsoft.com/office/drawing/2014/main" id="{2AF99599-34E1-400C-A0E8-91D5E45096F6}"/>
            </a:ext>
          </a:extLst>
        </xdr:cNvPr>
        <xdr:cNvSpPr txBox="1"/>
      </xdr:nvSpPr>
      <xdr:spPr>
        <a:xfrm>
          <a:off x="18729036" y="52349400"/>
          <a:ext cx="692727" cy="28863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100" b="1">
              <a:solidFill>
                <a:schemeClr val="tx2"/>
              </a:solidFill>
            </a:rPr>
            <a:t>-1%</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9</xdr:col>
      <xdr:colOff>17315</xdr:colOff>
      <xdr:row>273</xdr:row>
      <xdr:rowOff>71580</xdr:rowOff>
    </xdr:from>
    <xdr:to>
      <xdr:col>16</xdr:col>
      <xdr:colOff>163284</xdr:colOff>
      <xdr:row>285</xdr:row>
      <xdr:rowOff>69271</xdr:rowOff>
    </xdr:to>
    <xdr:graphicFrame macro="">
      <xdr:nvGraphicFramePr>
        <xdr:cNvPr id="7" name="Graphique 6">
          <a:extLst>
            <a:ext uri="{FF2B5EF4-FFF2-40B4-BE49-F238E27FC236}">
              <a16:creationId xmlns:a16="http://schemas.microsoft.com/office/drawing/2014/main" id="{A8521275-714A-4724-895C-C2DC154FF95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385946</xdr:colOff>
      <xdr:row>300</xdr:row>
      <xdr:rowOff>426409</xdr:rowOff>
    </xdr:from>
    <xdr:to>
      <xdr:col>21</xdr:col>
      <xdr:colOff>715817</xdr:colOff>
      <xdr:row>315</xdr:row>
      <xdr:rowOff>327686</xdr:rowOff>
    </xdr:to>
    <xdr:pic>
      <xdr:nvPicPr>
        <xdr:cNvPr id="2" name="Image 1">
          <a:extLst>
            <a:ext uri="{FF2B5EF4-FFF2-40B4-BE49-F238E27FC236}">
              <a16:creationId xmlns:a16="http://schemas.microsoft.com/office/drawing/2014/main" id="{B9FBDCDE-545B-47E9-A058-79DCB7F19454}"/>
            </a:ext>
          </a:extLst>
        </xdr:cNvPr>
        <xdr:cNvPicPr>
          <a:picLocks noChangeAspect="1"/>
        </xdr:cNvPicPr>
      </xdr:nvPicPr>
      <xdr:blipFill>
        <a:blip xmlns:r="http://schemas.openxmlformats.org/officeDocument/2006/relationships" r:embed="rId2"/>
        <a:stretch>
          <a:fillRect/>
        </a:stretch>
      </xdr:blipFill>
      <xdr:spPr>
        <a:xfrm>
          <a:off x="18927946" y="46065591"/>
          <a:ext cx="5178962" cy="3041640"/>
        </a:xfrm>
        <a:prstGeom prst="rect">
          <a:avLst/>
        </a:prstGeom>
      </xdr:spPr>
    </xdr:pic>
    <xdr:clientData/>
  </xdr:twoCellAnchor>
  <xdr:twoCellAnchor>
    <xdr:from>
      <xdr:col>0</xdr:col>
      <xdr:colOff>727362</xdr:colOff>
      <xdr:row>25</xdr:row>
      <xdr:rowOff>127001</xdr:rowOff>
    </xdr:from>
    <xdr:to>
      <xdr:col>2</xdr:col>
      <xdr:colOff>1028782</xdr:colOff>
      <xdr:row>38</xdr:row>
      <xdr:rowOff>505693</xdr:rowOff>
    </xdr:to>
    <xdr:graphicFrame macro="">
      <xdr:nvGraphicFramePr>
        <xdr:cNvPr id="5" name="Graphique 4">
          <a:extLst>
            <a:ext uri="{FF2B5EF4-FFF2-40B4-BE49-F238E27FC236}">
              <a16:creationId xmlns:a16="http://schemas.microsoft.com/office/drawing/2014/main" id="{A1809C6D-5399-4CF4-A8AE-629682564FA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302454</xdr:colOff>
      <xdr:row>387</xdr:row>
      <xdr:rowOff>79271</xdr:rowOff>
    </xdr:from>
    <xdr:to>
      <xdr:col>11</xdr:col>
      <xdr:colOff>113686</xdr:colOff>
      <xdr:row>395</xdr:row>
      <xdr:rowOff>21049</xdr:rowOff>
    </xdr:to>
    <xdr:pic>
      <xdr:nvPicPr>
        <xdr:cNvPr id="8" name="Image 7">
          <a:extLst>
            <a:ext uri="{FF2B5EF4-FFF2-40B4-BE49-F238E27FC236}">
              <a16:creationId xmlns:a16="http://schemas.microsoft.com/office/drawing/2014/main" id="{F2B50755-1AD6-4B78-A7C6-630E8F46A228}"/>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0662454" y="85769271"/>
          <a:ext cx="6821232" cy="23417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15</xdr:col>
      <xdr:colOff>236682</xdr:colOff>
      <xdr:row>22</xdr:row>
      <xdr:rowOff>36282</xdr:rowOff>
    </xdr:from>
    <xdr:to>
      <xdr:col>26</xdr:col>
      <xdr:colOff>381000</xdr:colOff>
      <xdr:row>42</xdr:row>
      <xdr:rowOff>34636</xdr:rowOff>
    </xdr:to>
    <xdr:graphicFrame macro="">
      <xdr:nvGraphicFramePr>
        <xdr:cNvPr id="4" name="Graphique 3">
          <a:extLst>
            <a:ext uri="{FF2B5EF4-FFF2-40B4-BE49-F238E27FC236}">
              <a16:creationId xmlns:a16="http://schemas.microsoft.com/office/drawing/2014/main" id="{86614E4A-41BF-48D4-8383-E40948F8909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571500</xdr:colOff>
      <xdr:row>26</xdr:row>
      <xdr:rowOff>0</xdr:rowOff>
    </xdr:from>
    <xdr:to>
      <xdr:col>2</xdr:col>
      <xdr:colOff>872578</xdr:colOff>
      <xdr:row>38</xdr:row>
      <xdr:rowOff>561625</xdr:rowOff>
    </xdr:to>
    <xdr:pic>
      <xdr:nvPicPr>
        <xdr:cNvPr id="3" name="Image 2">
          <a:extLst>
            <a:ext uri="{FF2B5EF4-FFF2-40B4-BE49-F238E27FC236}">
              <a16:creationId xmlns:a16="http://schemas.microsoft.com/office/drawing/2014/main" id="{5672CCE6-709B-41C8-891D-605101EADB86}"/>
            </a:ext>
          </a:extLst>
        </xdr:cNvPr>
        <xdr:cNvPicPr>
          <a:picLocks noChangeAspect="1"/>
        </xdr:cNvPicPr>
      </xdr:nvPicPr>
      <xdr:blipFill>
        <a:blip xmlns:r="http://schemas.openxmlformats.org/officeDocument/2006/relationships" r:embed="rId6"/>
        <a:stretch>
          <a:fillRect/>
        </a:stretch>
      </xdr:blipFill>
      <xdr:spPr>
        <a:xfrm>
          <a:off x="571500" y="4826000"/>
          <a:ext cx="4925995" cy="3292125"/>
        </a:xfrm>
        <a:prstGeom prst="rect">
          <a:avLst/>
        </a:prstGeom>
      </xdr:spPr>
    </xdr:pic>
    <xdr:clientData/>
  </xdr:twoCellAnchor>
  <xdr:twoCellAnchor>
    <xdr:from>
      <xdr:col>2</xdr:col>
      <xdr:colOff>508000</xdr:colOff>
      <xdr:row>24</xdr:row>
      <xdr:rowOff>158750</xdr:rowOff>
    </xdr:from>
    <xdr:to>
      <xdr:col>5</xdr:col>
      <xdr:colOff>1028699</xdr:colOff>
      <xdr:row>39</xdr:row>
      <xdr:rowOff>25690</xdr:rowOff>
    </xdr:to>
    <xdr:graphicFrame macro="">
      <xdr:nvGraphicFramePr>
        <xdr:cNvPr id="10" name="Graphique 9">
          <a:extLst>
            <a:ext uri="{FF2B5EF4-FFF2-40B4-BE49-F238E27FC236}">
              <a16:creationId xmlns:a16="http://schemas.microsoft.com/office/drawing/2014/main" id="{E4031098-BA31-4C3E-A096-E3C741D7939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8</xdr:col>
      <xdr:colOff>72571</xdr:colOff>
      <xdr:row>148</xdr:row>
      <xdr:rowOff>154214</xdr:rowOff>
    </xdr:from>
    <xdr:to>
      <xdr:col>12</xdr:col>
      <xdr:colOff>716643</xdr:colOff>
      <xdr:row>156</xdr:row>
      <xdr:rowOff>0</xdr:rowOff>
    </xdr:to>
    <xdr:pic>
      <xdr:nvPicPr>
        <xdr:cNvPr id="2" name="Image 1">
          <a:extLst>
            <a:ext uri="{FF2B5EF4-FFF2-40B4-BE49-F238E27FC236}">
              <a16:creationId xmlns:a16="http://schemas.microsoft.com/office/drawing/2014/main" id="{65188914-8E2A-4038-890A-53F58861873A}"/>
            </a:ext>
          </a:extLst>
        </xdr:cNvPr>
        <xdr:cNvPicPr>
          <a:picLocks noChangeAspect="1"/>
        </xdr:cNvPicPr>
      </xdr:nvPicPr>
      <xdr:blipFill>
        <a:blip xmlns:r="http://schemas.openxmlformats.org/officeDocument/2006/relationships" r:embed="rId1"/>
        <a:stretch>
          <a:fillRect/>
        </a:stretch>
      </xdr:blipFill>
      <xdr:spPr>
        <a:xfrm>
          <a:off x="12536714" y="12019643"/>
          <a:ext cx="4689929" cy="1496786"/>
        </a:xfrm>
        <a:prstGeom prst="rect">
          <a:avLst/>
        </a:prstGeom>
      </xdr:spPr>
    </xdr:pic>
    <xdr:clientData/>
  </xdr:twoCellAnchor>
  <xdr:twoCellAnchor>
    <xdr:from>
      <xdr:col>1</xdr:col>
      <xdr:colOff>11545</xdr:colOff>
      <xdr:row>19</xdr:row>
      <xdr:rowOff>54265</xdr:rowOff>
    </xdr:from>
    <xdr:to>
      <xdr:col>2</xdr:col>
      <xdr:colOff>831272</xdr:colOff>
      <xdr:row>34</xdr:row>
      <xdr:rowOff>63500</xdr:rowOff>
    </xdr:to>
    <xdr:graphicFrame macro="">
      <xdr:nvGraphicFramePr>
        <xdr:cNvPr id="6" name="Graphique 5">
          <a:extLst>
            <a:ext uri="{FF2B5EF4-FFF2-40B4-BE49-F238E27FC236}">
              <a16:creationId xmlns:a16="http://schemas.microsoft.com/office/drawing/2014/main" id="{1D0AFE75-085B-4284-B1FA-BA6178C5F9C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144658</xdr:colOff>
      <xdr:row>19</xdr:row>
      <xdr:rowOff>50257</xdr:rowOff>
    </xdr:from>
    <xdr:to>
      <xdr:col>7</xdr:col>
      <xdr:colOff>774225</xdr:colOff>
      <xdr:row>34</xdr:row>
      <xdr:rowOff>59492</xdr:rowOff>
    </xdr:to>
    <xdr:graphicFrame macro="">
      <xdr:nvGraphicFramePr>
        <xdr:cNvPr id="21" name="Graphique 20">
          <a:extLst>
            <a:ext uri="{FF2B5EF4-FFF2-40B4-BE49-F238E27FC236}">
              <a16:creationId xmlns:a16="http://schemas.microsoft.com/office/drawing/2014/main" id="{C5F72E1F-AC8C-4FA5-8FF1-7B44BD7950C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7</xdr:col>
      <xdr:colOff>450274</xdr:colOff>
      <xdr:row>133</xdr:row>
      <xdr:rowOff>60037</xdr:rowOff>
    </xdr:from>
    <xdr:to>
      <xdr:col>13</xdr:col>
      <xdr:colOff>334818</xdr:colOff>
      <xdr:row>148</xdr:row>
      <xdr:rowOff>150091</xdr:rowOff>
    </xdr:to>
    <xdr:graphicFrame macro="">
      <xdr:nvGraphicFramePr>
        <xdr:cNvPr id="5" name="Graphique 4">
          <a:extLst>
            <a:ext uri="{FF2B5EF4-FFF2-40B4-BE49-F238E27FC236}">
              <a16:creationId xmlns:a16="http://schemas.microsoft.com/office/drawing/2014/main" id="{4314406E-FDA4-490D-B2F7-F5E7416419B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437079</xdr:colOff>
      <xdr:row>184</xdr:row>
      <xdr:rowOff>143494</xdr:rowOff>
    </xdr:from>
    <xdr:to>
      <xdr:col>11</xdr:col>
      <xdr:colOff>569849</xdr:colOff>
      <xdr:row>195</xdr:row>
      <xdr:rowOff>75871</xdr:rowOff>
    </xdr:to>
    <xdr:graphicFrame macro="">
      <xdr:nvGraphicFramePr>
        <xdr:cNvPr id="6" name="Graphique 5">
          <a:extLst>
            <a:ext uri="{FF2B5EF4-FFF2-40B4-BE49-F238E27FC236}">
              <a16:creationId xmlns:a16="http://schemas.microsoft.com/office/drawing/2014/main" id="{32675CF4-BE33-4A8B-82F5-F6793B18AF6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207817</xdr:colOff>
      <xdr:row>10</xdr:row>
      <xdr:rowOff>8081</xdr:rowOff>
    </xdr:from>
    <xdr:to>
      <xdr:col>15</xdr:col>
      <xdr:colOff>323273</xdr:colOff>
      <xdr:row>25</xdr:row>
      <xdr:rowOff>161636</xdr:rowOff>
    </xdr:to>
    <xdr:graphicFrame macro="">
      <xdr:nvGraphicFramePr>
        <xdr:cNvPr id="2" name="Graphique 1">
          <a:extLst>
            <a:ext uri="{FF2B5EF4-FFF2-40B4-BE49-F238E27FC236}">
              <a16:creationId xmlns:a16="http://schemas.microsoft.com/office/drawing/2014/main" id="{A5993250-F168-46C2-BCDE-5E092E58D35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53</xdr:col>
      <xdr:colOff>738908</xdr:colOff>
      <xdr:row>132</xdr:row>
      <xdr:rowOff>152401</xdr:rowOff>
    </xdr:from>
    <xdr:to>
      <xdr:col>67</xdr:col>
      <xdr:colOff>103910</xdr:colOff>
      <xdr:row>151</xdr:row>
      <xdr:rowOff>0</xdr:rowOff>
    </xdr:to>
    <mc:AlternateContent xmlns:mc="http://schemas.openxmlformats.org/markup-compatibility/2006">
      <mc:Choice xmlns:cx1="http://schemas.microsoft.com/office/drawing/2015/9/8/chartex" Requires="cx1">
        <xdr:graphicFrame macro="">
          <xdr:nvGraphicFramePr>
            <xdr:cNvPr id="7" name="Graphique 6">
              <a:extLst>
                <a:ext uri="{FF2B5EF4-FFF2-40B4-BE49-F238E27FC236}">
                  <a16:creationId xmlns:a16="http://schemas.microsoft.com/office/drawing/2014/main" id="{C5288D5E-ADFC-43C2-9850-7DEB674512A4}"/>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4"/>
            </a:graphicData>
          </a:graphic>
        </xdr:graphicFrame>
      </mc:Choice>
      <mc:Fallback>
        <xdr:sp macro="" textlink="">
          <xdr:nvSpPr>
            <xdr:cNvPr id="0" name=""/>
            <xdr:cNvSpPr>
              <a:spLocks noTextEdit="1"/>
            </xdr:cNvSpPr>
          </xdr:nvSpPr>
          <xdr:spPr>
            <a:xfrm>
              <a:off x="50129208" y="5708650"/>
              <a:ext cx="11099802" cy="0"/>
            </a:xfrm>
            <a:prstGeom prst="rect">
              <a:avLst/>
            </a:prstGeom>
            <a:solidFill>
              <a:prstClr val="white"/>
            </a:solidFill>
            <a:ln w="1">
              <a:solidFill>
                <a:prstClr val="green"/>
              </a:solidFill>
            </a:ln>
          </xdr:spPr>
          <xdr:txBody>
            <a:bodyPr vertOverflow="clip" horzOverflow="clip"/>
            <a:lstStyle/>
            <a:p>
              <a:r>
                <a:rPr lang="en-GB" sz="1100"/>
                <a:t>Ce graphique n’est pas disponible dans votre version d’Excel.
La modification de cette forme ou l’enregistrement de ce classeur dans un autre format de fichier endommagera le graphique de façon irréparable.</a:t>
              </a:r>
            </a:p>
          </xdr:txBody>
        </xdr:sp>
      </mc:Fallback>
    </mc:AlternateContent>
    <xdr:clientData/>
  </xdr:twoCellAnchor>
  <xdr:twoCellAnchor>
    <xdr:from>
      <xdr:col>0</xdr:col>
      <xdr:colOff>738909</xdr:colOff>
      <xdr:row>86</xdr:row>
      <xdr:rowOff>127000</xdr:rowOff>
    </xdr:from>
    <xdr:to>
      <xdr:col>7</xdr:col>
      <xdr:colOff>467903</xdr:colOff>
      <xdr:row>114</xdr:row>
      <xdr:rowOff>124648</xdr:rowOff>
    </xdr:to>
    <xdr:pic>
      <xdr:nvPicPr>
        <xdr:cNvPr id="8" name="Image 7">
          <a:extLst>
            <a:ext uri="{FF2B5EF4-FFF2-40B4-BE49-F238E27FC236}">
              <a16:creationId xmlns:a16="http://schemas.microsoft.com/office/drawing/2014/main" id="{F1745737-6BC1-4DA7-A2A4-B0BFF0218BA4}"/>
            </a:ext>
          </a:extLst>
        </xdr:cNvPr>
        <xdr:cNvPicPr>
          <a:picLocks noChangeAspect="1"/>
        </xdr:cNvPicPr>
      </xdr:nvPicPr>
      <xdr:blipFill>
        <a:blip xmlns:r="http://schemas.openxmlformats.org/officeDocument/2006/relationships" r:embed="rId5"/>
        <a:stretch>
          <a:fillRect/>
        </a:stretch>
      </xdr:blipFill>
      <xdr:spPr>
        <a:xfrm>
          <a:off x="738909" y="11210636"/>
          <a:ext cx="9461812" cy="4846739"/>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xdr:from>
      <xdr:col>1</xdr:col>
      <xdr:colOff>63310</xdr:colOff>
      <xdr:row>56</xdr:row>
      <xdr:rowOff>10510</xdr:rowOff>
    </xdr:from>
    <xdr:to>
      <xdr:col>1</xdr:col>
      <xdr:colOff>4029364</xdr:colOff>
      <xdr:row>73</xdr:row>
      <xdr:rowOff>11545</xdr:rowOff>
    </xdr:to>
    <xdr:pic>
      <xdr:nvPicPr>
        <xdr:cNvPr id="7" name="Image 6">
          <a:extLst>
            <a:ext uri="{FF2B5EF4-FFF2-40B4-BE49-F238E27FC236}">
              <a16:creationId xmlns:a16="http://schemas.microsoft.com/office/drawing/2014/main" id="{E2C2588E-D658-4055-A773-BC16103B189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71492" y="3889783"/>
          <a:ext cx="3966054" cy="29451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1131454</xdr:colOff>
      <xdr:row>71</xdr:row>
      <xdr:rowOff>161637</xdr:rowOff>
    </xdr:from>
    <xdr:to>
      <xdr:col>8</xdr:col>
      <xdr:colOff>230908</xdr:colOff>
      <xdr:row>88</xdr:row>
      <xdr:rowOff>59086</xdr:rowOff>
    </xdr:to>
    <xdr:graphicFrame macro="">
      <xdr:nvGraphicFramePr>
        <xdr:cNvPr id="8" name="Graphique 7">
          <a:extLst>
            <a:ext uri="{FF2B5EF4-FFF2-40B4-BE49-F238E27FC236}">
              <a16:creationId xmlns:a16="http://schemas.microsoft.com/office/drawing/2014/main" id="{B243D263-EA95-4A14-A575-B4D9F81D204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399967</xdr:colOff>
      <xdr:row>95</xdr:row>
      <xdr:rowOff>27461</xdr:rowOff>
    </xdr:from>
    <xdr:to>
      <xdr:col>6</xdr:col>
      <xdr:colOff>3651250</xdr:colOff>
      <xdr:row>108</xdr:row>
      <xdr:rowOff>9071</xdr:rowOff>
    </xdr:to>
    <xdr:graphicFrame macro="">
      <xdr:nvGraphicFramePr>
        <xdr:cNvPr id="9" name="Graphique 8">
          <a:extLst>
            <a:ext uri="{FF2B5EF4-FFF2-40B4-BE49-F238E27FC236}">
              <a16:creationId xmlns:a16="http://schemas.microsoft.com/office/drawing/2014/main" id="{CF498FBE-6786-4C8B-88D4-A6CE9ACD8E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xdr:col>
      <xdr:colOff>326570</xdr:colOff>
      <xdr:row>121</xdr:row>
      <xdr:rowOff>90715</xdr:rowOff>
    </xdr:from>
    <xdr:to>
      <xdr:col>7</xdr:col>
      <xdr:colOff>45356</xdr:colOff>
      <xdr:row>137</xdr:row>
      <xdr:rowOff>36287</xdr:rowOff>
    </xdr:to>
    <xdr:graphicFrame macro="">
      <xdr:nvGraphicFramePr>
        <xdr:cNvPr id="10" name="Graphique 9">
          <a:extLst>
            <a:ext uri="{FF2B5EF4-FFF2-40B4-BE49-F238E27FC236}">
              <a16:creationId xmlns:a16="http://schemas.microsoft.com/office/drawing/2014/main" id="{0D4F1951-208D-4FEF-9274-EED6FEEF8F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305955</xdr:colOff>
      <xdr:row>122</xdr:row>
      <xdr:rowOff>9072</xdr:rowOff>
    </xdr:from>
    <xdr:to>
      <xdr:col>9</xdr:col>
      <xdr:colOff>1669143</xdr:colOff>
      <xdr:row>137</xdr:row>
      <xdr:rowOff>77931</xdr:rowOff>
    </xdr:to>
    <xdr:pic>
      <xdr:nvPicPr>
        <xdr:cNvPr id="11" name="Image 10">
          <a:extLst>
            <a:ext uri="{FF2B5EF4-FFF2-40B4-BE49-F238E27FC236}">
              <a16:creationId xmlns:a16="http://schemas.microsoft.com/office/drawing/2014/main" id="{052FB2A7-2986-4225-B90F-E8ADA1F20A08}"/>
            </a:ext>
          </a:extLst>
        </xdr:cNvPr>
        <xdr:cNvPicPr>
          <a:picLocks noChangeAspect="1"/>
        </xdr:cNvPicPr>
      </xdr:nvPicPr>
      <xdr:blipFill>
        <a:blip xmlns:r="http://schemas.openxmlformats.org/officeDocument/2006/relationships" r:embed="rId5"/>
        <a:stretch>
          <a:fillRect/>
        </a:stretch>
      </xdr:blipFill>
      <xdr:spPr>
        <a:xfrm>
          <a:off x="15101455" y="20392572"/>
          <a:ext cx="3603831" cy="3171288"/>
        </a:xfrm>
        <a:prstGeom prst="rect">
          <a:avLst/>
        </a:prstGeom>
      </xdr:spPr>
    </xdr:pic>
    <xdr:clientData/>
  </xdr:twoCellAnchor>
  <xdr:twoCellAnchor>
    <xdr:from>
      <xdr:col>4</xdr:col>
      <xdr:colOff>289750</xdr:colOff>
      <xdr:row>151</xdr:row>
      <xdr:rowOff>36283</xdr:rowOff>
    </xdr:from>
    <xdr:to>
      <xdr:col>6</xdr:col>
      <xdr:colOff>2617954</xdr:colOff>
      <xdr:row>164</xdr:row>
      <xdr:rowOff>74706</xdr:rowOff>
    </xdr:to>
    <xdr:graphicFrame macro="">
      <xdr:nvGraphicFramePr>
        <xdr:cNvPr id="14" name="Graphique 13">
          <a:extLst>
            <a:ext uri="{FF2B5EF4-FFF2-40B4-BE49-F238E27FC236}">
              <a16:creationId xmlns:a16="http://schemas.microsoft.com/office/drawing/2014/main" id="{B9603372-C933-4B8A-872A-3F9584BFC7A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22677</xdr:colOff>
      <xdr:row>311</xdr:row>
      <xdr:rowOff>161636</xdr:rowOff>
    </xdr:from>
    <xdr:to>
      <xdr:col>1</xdr:col>
      <xdr:colOff>4727450</xdr:colOff>
      <xdr:row>324</xdr:row>
      <xdr:rowOff>69273</xdr:rowOff>
    </xdr:to>
    <xdr:graphicFrame macro="">
      <xdr:nvGraphicFramePr>
        <xdr:cNvPr id="2" name="Graphique 1">
          <a:extLst>
            <a:ext uri="{FF2B5EF4-FFF2-40B4-BE49-F238E27FC236}">
              <a16:creationId xmlns:a16="http://schemas.microsoft.com/office/drawing/2014/main" id="{5D6A9461-B185-4F35-B084-0E9512BBD60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xdr:col>
      <xdr:colOff>746743</xdr:colOff>
      <xdr:row>340</xdr:row>
      <xdr:rowOff>138792</xdr:rowOff>
    </xdr:from>
    <xdr:to>
      <xdr:col>4</xdr:col>
      <xdr:colOff>1240312</xdr:colOff>
      <xdr:row>347</xdr:row>
      <xdr:rowOff>127000</xdr:rowOff>
    </xdr:to>
    <xdr:graphicFrame macro="">
      <xdr:nvGraphicFramePr>
        <xdr:cNvPr id="4" name="Graphique 3">
          <a:extLst>
            <a:ext uri="{FF2B5EF4-FFF2-40B4-BE49-F238E27FC236}">
              <a16:creationId xmlns:a16="http://schemas.microsoft.com/office/drawing/2014/main" id="{86271725-67C0-4A3E-B55D-AB21ADF2A95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3659909</xdr:colOff>
      <xdr:row>340</xdr:row>
      <xdr:rowOff>126999</xdr:rowOff>
    </xdr:from>
    <xdr:to>
      <xdr:col>2</xdr:col>
      <xdr:colOff>1065067</xdr:colOff>
      <xdr:row>347</xdr:row>
      <xdr:rowOff>127000</xdr:rowOff>
    </xdr:to>
    <xdr:graphicFrame macro="">
      <xdr:nvGraphicFramePr>
        <xdr:cNvPr id="12" name="Graphique 11">
          <a:extLst>
            <a:ext uri="{FF2B5EF4-FFF2-40B4-BE49-F238E27FC236}">
              <a16:creationId xmlns:a16="http://schemas.microsoft.com/office/drawing/2014/main" id="{49351839-99FA-43D9-8635-EB1B2633671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1825830</xdr:colOff>
      <xdr:row>340</xdr:row>
      <xdr:rowOff>136071</xdr:rowOff>
    </xdr:from>
    <xdr:to>
      <xdr:col>1</xdr:col>
      <xdr:colOff>4025651</xdr:colOff>
      <xdr:row>347</xdr:row>
      <xdr:rowOff>127000</xdr:rowOff>
    </xdr:to>
    <xdr:graphicFrame macro="">
      <xdr:nvGraphicFramePr>
        <xdr:cNvPr id="13" name="Graphique 12">
          <a:extLst>
            <a:ext uri="{FF2B5EF4-FFF2-40B4-BE49-F238E27FC236}">
              <a16:creationId xmlns:a16="http://schemas.microsoft.com/office/drawing/2014/main" id="{2EA06578-E586-4A21-A73C-4830F3370E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825</xdr:colOff>
      <xdr:row>340</xdr:row>
      <xdr:rowOff>136071</xdr:rowOff>
    </xdr:from>
    <xdr:to>
      <xdr:col>1</xdr:col>
      <xdr:colOff>2211366</xdr:colOff>
      <xdr:row>347</xdr:row>
      <xdr:rowOff>127000</xdr:rowOff>
    </xdr:to>
    <xdr:graphicFrame macro="">
      <xdr:nvGraphicFramePr>
        <xdr:cNvPr id="15" name="Graphique 14">
          <a:extLst>
            <a:ext uri="{FF2B5EF4-FFF2-40B4-BE49-F238E27FC236}">
              <a16:creationId xmlns:a16="http://schemas.microsoft.com/office/drawing/2014/main" id="{F99EE7E7-13CE-4910-A655-FC7549627A4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xdr:col>
      <xdr:colOff>16905</xdr:colOff>
      <xdr:row>14</xdr:row>
      <xdr:rowOff>122299</xdr:rowOff>
    </xdr:from>
    <xdr:to>
      <xdr:col>2</xdr:col>
      <xdr:colOff>1229591</xdr:colOff>
      <xdr:row>29</xdr:row>
      <xdr:rowOff>92363</xdr:rowOff>
    </xdr:to>
    <xdr:graphicFrame macro="">
      <xdr:nvGraphicFramePr>
        <xdr:cNvPr id="5" name="Graphique 4">
          <a:extLst>
            <a:ext uri="{FF2B5EF4-FFF2-40B4-BE49-F238E27FC236}">
              <a16:creationId xmlns:a16="http://schemas.microsoft.com/office/drawing/2014/main" id="{87C840A7-3134-458F-8F00-23994C073B1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20</xdr:col>
      <xdr:colOff>103909</xdr:colOff>
      <xdr:row>304</xdr:row>
      <xdr:rowOff>161637</xdr:rowOff>
    </xdr:from>
    <xdr:to>
      <xdr:col>25</xdr:col>
      <xdr:colOff>772721</xdr:colOff>
      <xdr:row>311</xdr:row>
      <xdr:rowOff>0</xdr:rowOff>
    </xdr:to>
    <xdr:graphicFrame macro="">
      <xdr:nvGraphicFramePr>
        <xdr:cNvPr id="17" name="Graphique 16">
          <a:extLst>
            <a:ext uri="{FF2B5EF4-FFF2-40B4-BE49-F238E27FC236}">
              <a16:creationId xmlns:a16="http://schemas.microsoft.com/office/drawing/2014/main" id="{F84570ED-489C-488D-9316-F8E494BAF41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4</xdr:col>
      <xdr:colOff>125351</xdr:colOff>
      <xdr:row>30</xdr:row>
      <xdr:rowOff>114465</xdr:rowOff>
    </xdr:from>
    <xdr:to>
      <xdr:col>6</xdr:col>
      <xdr:colOff>1847272</xdr:colOff>
      <xdr:row>42</xdr:row>
      <xdr:rowOff>1</xdr:rowOff>
    </xdr:to>
    <xdr:graphicFrame macro="">
      <xdr:nvGraphicFramePr>
        <xdr:cNvPr id="3" name="Graphique 2">
          <a:extLst>
            <a:ext uri="{FF2B5EF4-FFF2-40B4-BE49-F238E27FC236}">
              <a16:creationId xmlns:a16="http://schemas.microsoft.com/office/drawing/2014/main" id="{AC695971-2B9D-4385-9F60-83D17EAFFD5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2</xdr:col>
      <xdr:colOff>1170132</xdr:colOff>
      <xdr:row>66</xdr:row>
      <xdr:rowOff>87745</xdr:rowOff>
    </xdr:from>
    <xdr:to>
      <xdr:col>7</xdr:col>
      <xdr:colOff>536864</xdr:colOff>
      <xdr:row>81</xdr:row>
      <xdr:rowOff>163945</xdr:rowOff>
    </xdr:to>
    <xdr:graphicFrame macro="">
      <xdr:nvGraphicFramePr>
        <xdr:cNvPr id="7" name="Graphique 6">
          <a:extLst>
            <a:ext uri="{FF2B5EF4-FFF2-40B4-BE49-F238E27FC236}">
              <a16:creationId xmlns:a16="http://schemas.microsoft.com/office/drawing/2014/main" id="{640AB8E6-1344-4505-8B62-6DF7B9BE219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23091</xdr:colOff>
      <xdr:row>66</xdr:row>
      <xdr:rowOff>87745</xdr:rowOff>
    </xdr:from>
    <xdr:to>
      <xdr:col>2</xdr:col>
      <xdr:colOff>1417782</xdr:colOff>
      <xdr:row>81</xdr:row>
      <xdr:rowOff>163945</xdr:rowOff>
    </xdr:to>
    <xdr:graphicFrame macro="">
      <xdr:nvGraphicFramePr>
        <xdr:cNvPr id="5" name="Graphique 4">
          <a:extLst>
            <a:ext uri="{FF2B5EF4-FFF2-40B4-BE49-F238E27FC236}">
              <a16:creationId xmlns:a16="http://schemas.microsoft.com/office/drawing/2014/main" id="{F07E5E53-D3C2-4F00-96AC-3A65CB9DCA7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1177059</xdr:colOff>
      <xdr:row>74</xdr:row>
      <xdr:rowOff>50798</xdr:rowOff>
    </xdr:from>
    <xdr:to>
      <xdr:col>2</xdr:col>
      <xdr:colOff>1437409</xdr:colOff>
      <xdr:row>76</xdr:row>
      <xdr:rowOff>95249</xdr:rowOff>
    </xdr:to>
    <xdr:sp macro="" textlink="">
      <xdr:nvSpPr>
        <xdr:cNvPr id="8" name="ZoneTexte 7">
          <a:extLst>
            <a:ext uri="{FF2B5EF4-FFF2-40B4-BE49-F238E27FC236}">
              <a16:creationId xmlns:a16="http://schemas.microsoft.com/office/drawing/2014/main" id="{4C821839-9849-4E83-9A35-A475FC99C6D2}"/>
            </a:ext>
          </a:extLst>
        </xdr:cNvPr>
        <xdr:cNvSpPr txBox="1"/>
      </xdr:nvSpPr>
      <xdr:spPr>
        <a:xfrm>
          <a:off x="1985241" y="9564253"/>
          <a:ext cx="3839441" cy="39081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solidFill>
                <a:schemeClr val="tx2"/>
              </a:solidFill>
            </a:rPr>
            <a:t>117 tCO</a:t>
          </a:r>
          <a:r>
            <a:rPr lang="en-GB" sz="700" b="1">
              <a:solidFill>
                <a:schemeClr val="tx2"/>
              </a:solidFill>
            </a:rPr>
            <a:t>2</a:t>
          </a:r>
          <a:r>
            <a:rPr lang="en-GB" sz="1100" b="1">
              <a:solidFill>
                <a:schemeClr val="tx2"/>
              </a:solidFill>
            </a:rPr>
            <a:t>e</a:t>
          </a:r>
        </a:p>
      </xdr:txBody>
    </xdr:sp>
    <xdr:clientData/>
  </xdr:twoCellAnchor>
  <xdr:twoCellAnchor>
    <xdr:from>
      <xdr:col>3</xdr:col>
      <xdr:colOff>460663</xdr:colOff>
      <xdr:row>74</xdr:row>
      <xdr:rowOff>55994</xdr:rowOff>
    </xdr:from>
    <xdr:to>
      <xdr:col>4</xdr:col>
      <xdr:colOff>721013</xdr:colOff>
      <xdr:row>76</xdr:row>
      <xdr:rowOff>100445</xdr:rowOff>
    </xdr:to>
    <xdr:sp macro="" textlink="">
      <xdr:nvSpPr>
        <xdr:cNvPr id="9" name="ZoneTexte 8">
          <a:extLst>
            <a:ext uri="{FF2B5EF4-FFF2-40B4-BE49-F238E27FC236}">
              <a16:creationId xmlns:a16="http://schemas.microsoft.com/office/drawing/2014/main" id="{36A20BA4-37A5-4F2A-8279-DE9461CD6449}"/>
            </a:ext>
          </a:extLst>
        </xdr:cNvPr>
        <xdr:cNvSpPr txBox="1"/>
      </xdr:nvSpPr>
      <xdr:spPr>
        <a:xfrm>
          <a:off x="6625936" y="9569449"/>
          <a:ext cx="1068532" cy="39081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solidFill>
                <a:schemeClr val="tx2"/>
              </a:solidFill>
            </a:rPr>
            <a:t>203 tCO</a:t>
          </a:r>
          <a:r>
            <a:rPr lang="en-GB" sz="700" b="1">
              <a:solidFill>
                <a:schemeClr val="tx2"/>
              </a:solidFill>
            </a:rPr>
            <a:t>2</a:t>
          </a:r>
          <a:r>
            <a:rPr lang="en-GB" sz="1100" b="1">
              <a:solidFill>
                <a:schemeClr val="tx2"/>
              </a:solidFill>
            </a:rPr>
            <a:t>e</a:t>
          </a:r>
        </a:p>
      </xdr:txBody>
    </xdr:sp>
    <xdr:clientData/>
  </xdr:twoCellAnchor>
  <xdr:twoCellAnchor>
    <xdr:from>
      <xdr:col>0</xdr:col>
      <xdr:colOff>784678</xdr:colOff>
      <xdr:row>127</xdr:row>
      <xdr:rowOff>123125</xdr:rowOff>
    </xdr:from>
    <xdr:to>
      <xdr:col>1</xdr:col>
      <xdr:colOff>3286331</xdr:colOff>
      <xdr:row>140</xdr:row>
      <xdr:rowOff>66800</xdr:rowOff>
    </xdr:to>
    <xdr:graphicFrame macro="">
      <xdr:nvGraphicFramePr>
        <xdr:cNvPr id="10" name="Graphique 9">
          <a:extLst>
            <a:ext uri="{FF2B5EF4-FFF2-40B4-BE49-F238E27FC236}">
              <a16:creationId xmlns:a16="http://schemas.microsoft.com/office/drawing/2014/main" id="{41460022-BCB0-42FF-91BF-298A1A8F6D0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2632362</xdr:colOff>
      <xdr:row>127</xdr:row>
      <xdr:rowOff>138546</xdr:rowOff>
    </xdr:from>
    <xdr:to>
      <xdr:col>6</xdr:col>
      <xdr:colOff>660562</xdr:colOff>
      <xdr:row>140</xdr:row>
      <xdr:rowOff>82221</xdr:rowOff>
    </xdr:to>
    <xdr:graphicFrame macro="">
      <xdr:nvGraphicFramePr>
        <xdr:cNvPr id="11" name="Graphique 10">
          <a:extLst>
            <a:ext uri="{FF2B5EF4-FFF2-40B4-BE49-F238E27FC236}">
              <a16:creationId xmlns:a16="http://schemas.microsoft.com/office/drawing/2014/main" id="{30AF919F-484B-47CB-B476-67E8A648DC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5</xdr:col>
      <xdr:colOff>84530</xdr:colOff>
      <xdr:row>111</xdr:row>
      <xdr:rowOff>153636</xdr:rowOff>
    </xdr:from>
    <xdr:to>
      <xdr:col>10</xdr:col>
      <xdr:colOff>46182</xdr:colOff>
      <xdr:row>126</xdr:row>
      <xdr:rowOff>-1</xdr:rowOff>
    </xdr:to>
    <xdr:graphicFrame macro="">
      <xdr:nvGraphicFramePr>
        <xdr:cNvPr id="12" name="Graphique 11">
          <a:extLst>
            <a:ext uri="{FF2B5EF4-FFF2-40B4-BE49-F238E27FC236}">
              <a16:creationId xmlns:a16="http://schemas.microsoft.com/office/drawing/2014/main" id="{E7C5BA2E-8572-4CAC-B5F3-22EFF6714AA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4</xdr:col>
      <xdr:colOff>848080</xdr:colOff>
      <xdr:row>11</xdr:row>
      <xdr:rowOff>16643</xdr:rowOff>
    </xdr:from>
    <xdr:to>
      <xdr:col>10</xdr:col>
      <xdr:colOff>142643</xdr:colOff>
      <xdr:row>24</xdr:row>
      <xdr:rowOff>138546</xdr:rowOff>
    </xdr:to>
    <xdr:graphicFrame macro="">
      <xdr:nvGraphicFramePr>
        <xdr:cNvPr id="14" name="Graphique 13">
          <a:extLst>
            <a:ext uri="{FF2B5EF4-FFF2-40B4-BE49-F238E27FC236}">
              <a16:creationId xmlns:a16="http://schemas.microsoft.com/office/drawing/2014/main" id="{DDB1C05A-0DEE-42A3-B8E9-EDC9E6780B4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796636</xdr:colOff>
      <xdr:row>21</xdr:row>
      <xdr:rowOff>2314</xdr:rowOff>
    </xdr:from>
    <xdr:to>
      <xdr:col>7</xdr:col>
      <xdr:colOff>40411</xdr:colOff>
      <xdr:row>51</xdr:row>
      <xdr:rowOff>34640</xdr:rowOff>
    </xdr:to>
    <xdr:grpSp>
      <xdr:nvGrpSpPr>
        <xdr:cNvPr id="18" name="Groupe 17">
          <a:extLst>
            <a:ext uri="{FF2B5EF4-FFF2-40B4-BE49-F238E27FC236}">
              <a16:creationId xmlns:a16="http://schemas.microsoft.com/office/drawing/2014/main" id="{4EFF0E2E-7F3E-4D18-A843-1EA747DE9264}"/>
            </a:ext>
          </a:extLst>
        </xdr:cNvPr>
        <xdr:cNvGrpSpPr/>
      </xdr:nvGrpSpPr>
      <xdr:grpSpPr>
        <a:xfrm>
          <a:off x="796636" y="1735667"/>
          <a:ext cx="9509608" cy="0"/>
          <a:chOff x="10063511" y="4066313"/>
          <a:chExt cx="9522527" cy="5516417"/>
        </a:xfrm>
      </xdr:grpSpPr>
      <xdr:grpSp>
        <xdr:nvGrpSpPr>
          <xdr:cNvPr id="12" name="Groupe 11">
            <a:extLst>
              <a:ext uri="{FF2B5EF4-FFF2-40B4-BE49-F238E27FC236}">
                <a16:creationId xmlns:a16="http://schemas.microsoft.com/office/drawing/2014/main" id="{CF7DF3A8-B68F-4408-A87B-29B781512BCA}"/>
              </a:ext>
            </a:extLst>
          </xdr:cNvPr>
          <xdr:cNvGrpSpPr/>
        </xdr:nvGrpSpPr>
        <xdr:grpSpPr>
          <a:xfrm>
            <a:off x="10063511" y="4066313"/>
            <a:ext cx="9522527" cy="5516417"/>
            <a:chOff x="10038770" y="3973949"/>
            <a:chExt cx="9484593" cy="5377872"/>
          </a:xfrm>
        </xdr:grpSpPr>
        <xdr:grpSp>
          <xdr:nvGrpSpPr>
            <xdr:cNvPr id="9" name="Groupe 8">
              <a:extLst>
                <a:ext uri="{FF2B5EF4-FFF2-40B4-BE49-F238E27FC236}">
                  <a16:creationId xmlns:a16="http://schemas.microsoft.com/office/drawing/2014/main" id="{1CB3FB02-5F98-4F5C-ABEE-F61896BE1585}"/>
                </a:ext>
              </a:extLst>
            </xdr:cNvPr>
            <xdr:cNvGrpSpPr/>
          </xdr:nvGrpSpPr>
          <xdr:grpSpPr>
            <a:xfrm>
              <a:off x="10038770" y="3973949"/>
              <a:ext cx="9484593" cy="5377872"/>
              <a:chOff x="10038770" y="3973949"/>
              <a:chExt cx="9484593" cy="5377872"/>
            </a:xfrm>
          </xdr:grpSpPr>
          <xdr:graphicFrame macro="">
            <xdr:nvGraphicFramePr>
              <xdr:cNvPr id="3" name="Graphique 2">
                <a:extLst>
                  <a:ext uri="{FF2B5EF4-FFF2-40B4-BE49-F238E27FC236}">
                    <a16:creationId xmlns:a16="http://schemas.microsoft.com/office/drawing/2014/main" id="{48938CA8-0BBE-4B8F-8CAD-C98DC70ADD55}"/>
                  </a:ext>
                </a:extLst>
              </xdr:cNvPr>
              <xdr:cNvGraphicFramePr/>
            </xdr:nvGraphicFramePr>
            <xdr:xfrm>
              <a:off x="10038770" y="3973949"/>
              <a:ext cx="9484593" cy="5377872"/>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4" name="ZoneTexte 3">
                <a:extLst>
                  <a:ext uri="{FF2B5EF4-FFF2-40B4-BE49-F238E27FC236}">
                    <a16:creationId xmlns:a16="http://schemas.microsoft.com/office/drawing/2014/main" id="{22D09425-6350-4B99-82DF-597762E8FCD8}"/>
                  </a:ext>
                </a:extLst>
              </xdr:cNvPr>
              <xdr:cNvSpPr txBox="1"/>
            </xdr:nvSpPr>
            <xdr:spPr>
              <a:xfrm>
                <a:off x="11487727" y="5010731"/>
                <a:ext cx="1743364" cy="3463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b="1">
                    <a:solidFill>
                      <a:schemeClr val="tx2"/>
                    </a:solidFill>
                  </a:rPr>
                  <a:t>Poches à perfusion</a:t>
                </a:r>
              </a:p>
            </xdr:txBody>
          </xdr:sp>
          <xdr:sp macro="" textlink="">
            <xdr:nvSpPr>
              <xdr:cNvPr id="6" name="ZoneTexte 5">
                <a:extLst>
                  <a:ext uri="{FF2B5EF4-FFF2-40B4-BE49-F238E27FC236}">
                    <a16:creationId xmlns:a16="http://schemas.microsoft.com/office/drawing/2014/main" id="{54CFA657-8C86-49F7-8C7C-041E1F4D1328}"/>
                  </a:ext>
                </a:extLst>
              </xdr:cNvPr>
              <xdr:cNvSpPr txBox="1"/>
            </xdr:nvSpPr>
            <xdr:spPr>
              <a:xfrm>
                <a:off x="14440839" y="5001494"/>
                <a:ext cx="1743364" cy="3463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b="1">
                    <a:solidFill>
                      <a:schemeClr val="tx2"/>
                    </a:solidFill>
                  </a:rPr>
                  <a:t>Casaques</a:t>
                </a:r>
              </a:p>
            </xdr:txBody>
          </xdr:sp>
          <xdr:sp macro="" textlink="">
            <xdr:nvSpPr>
              <xdr:cNvPr id="7" name="ZoneTexte 6">
                <a:extLst>
                  <a:ext uri="{FF2B5EF4-FFF2-40B4-BE49-F238E27FC236}">
                    <a16:creationId xmlns:a16="http://schemas.microsoft.com/office/drawing/2014/main" id="{99A206D6-CB69-407A-9994-380C8FE5BD3D}"/>
                  </a:ext>
                </a:extLst>
              </xdr:cNvPr>
              <xdr:cNvSpPr txBox="1"/>
            </xdr:nvSpPr>
            <xdr:spPr>
              <a:xfrm>
                <a:off x="17436040" y="4980712"/>
                <a:ext cx="1743364" cy="3463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b="1">
                    <a:solidFill>
                      <a:schemeClr val="tx2"/>
                    </a:solidFill>
                  </a:rPr>
                  <a:t>Verres de lunettes</a:t>
                </a:r>
              </a:p>
            </xdr:txBody>
          </xdr:sp>
          <xdr:pic>
            <xdr:nvPicPr>
              <xdr:cNvPr id="8" name="Image 7" descr="Poche de perfusion - Tous les fabricants de matériel médical">
                <a:extLst>
                  <a:ext uri="{FF2B5EF4-FFF2-40B4-BE49-F238E27FC236}">
                    <a16:creationId xmlns:a16="http://schemas.microsoft.com/office/drawing/2014/main" id="{392CFB98-E40C-443D-B8B0-B7D0EA8754A6}"/>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884615" y="4121730"/>
                <a:ext cx="839630" cy="833004"/>
              </a:xfrm>
              <a:prstGeom prst="rect">
                <a:avLst/>
              </a:prstGeom>
              <a:noFill/>
              <a:extLst>
                <a:ext uri="{909E8E84-426E-40DD-AFC4-6F175D3DCCD1}">
                  <a14:hiddenFill xmlns:a14="http://schemas.microsoft.com/office/drawing/2010/main">
                    <a:solidFill>
                      <a:srgbClr val="FFFFFF"/>
                    </a:solidFill>
                  </a14:hiddenFill>
                </a:ext>
              </a:extLst>
            </xdr:spPr>
          </xdr:pic>
        </xdr:grpSp>
        <xdr:pic>
          <xdr:nvPicPr>
            <xdr:cNvPr id="10" name="Image 9" descr="CASAQUE CHIRURGIE STÉRILE MEDISTOCK">
              <a:extLst>
                <a:ext uri="{FF2B5EF4-FFF2-40B4-BE49-F238E27FC236}">
                  <a16:creationId xmlns:a16="http://schemas.microsoft.com/office/drawing/2014/main" id="{AC0AF19B-FE4B-4942-B92A-3858480F8B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4832513" y="4053417"/>
              <a:ext cx="1035457" cy="1025496"/>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1" name="Image 10" descr="173 600+ Verre Lunette Photos, taleaux et images libre de droits - iStock |  Verre optique, Opticien, Oeil">
              <a:extLst>
                <a:ext uri="{FF2B5EF4-FFF2-40B4-BE49-F238E27FC236}">
                  <a16:creationId xmlns:a16="http://schemas.microsoft.com/office/drawing/2014/main" id="{1166EEC8-EFEB-433F-8A27-F154DA71C49D}"/>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7659324" y="4191071"/>
              <a:ext cx="1368265" cy="913166"/>
            </a:xfrm>
            <a:prstGeom prst="rect">
              <a:avLst/>
            </a:prstGeom>
            <a:noFill/>
            <a:extLst>
              <a:ext uri="{909E8E84-426E-40DD-AFC4-6F175D3DCCD1}">
                <a14:hiddenFill xmlns:a14="http://schemas.microsoft.com/office/drawing/2010/main">
                  <a:solidFill>
                    <a:srgbClr val="FFFFFF"/>
                  </a:solidFill>
                </a14:hiddenFill>
              </a:ext>
            </a:extLst>
          </xdr:spPr>
        </xdr:pic>
      </xdr:grpSp>
      <xdr:sp macro="" textlink="">
        <xdr:nvSpPr>
          <xdr:cNvPr id="15" name="ZoneTexte 14">
            <a:extLst>
              <a:ext uri="{FF2B5EF4-FFF2-40B4-BE49-F238E27FC236}">
                <a16:creationId xmlns:a16="http://schemas.microsoft.com/office/drawing/2014/main" id="{D8D75AC5-78C6-4501-99EA-5B4293AA9457}"/>
              </a:ext>
            </a:extLst>
          </xdr:cNvPr>
          <xdr:cNvSpPr txBox="1"/>
        </xdr:nvSpPr>
        <xdr:spPr>
          <a:xfrm>
            <a:off x="12467440" y="6588169"/>
            <a:ext cx="686132" cy="3424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tx2"/>
                </a:solidFill>
              </a:rPr>
              <a:t>- 48%</a:t>
            </a:r>
          </a:p>
        </xdr:txBody>
      </xdr:sp>
      <xdr:sp macro="" textlink="">
        <xdr:nvSpPr>
          <xdr:cNvPr id="16" name="ZoneTexte 15">
            <a:extLst>
              <a:ext uri="{FF2B5EF4-FFF2-40B4-BE49-F238E27FC236}">
                <a16:creationId xmlns:a16="http://schemas.microsoft.com/office/drawing/2014/main" id="{38352794-5796-4CA4-9506-855C8FFE2001}"/>
              </a:ext>
            </a:extLst>
          </xdr:cNvPr>
          <xdr:cNvSpPr txBox="1"/>
        </xdr:nvSpPr>
        <xdr:spPr>
          <a:xfrm>
            <a:off x="15522697" y="6323284"/>
            <a:ext cx="686132" cy="3424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tx2"/>
                </a:solidFill>
              </a:rPr>
              <a:t>- 38%</a:t>
            </a:r>
          </a:p>
        </xdr:txBody>
      </xdr:sp>
      <xdr:sp macro="" textlink="">
        <xdr:nvSpPr>
          <xdr:cNvPr id="17" name="ZoneTexte 16">
            <a:extLst>
              <a:ext uri="{FF2B5EF4-FFF2-40B4-BE49-F238E27FC236}">
                <a16:creationId xmlns:a16="http://schemas.microsoft.com/office/drawing/2014/main" id="{E14A1A14-237B-4A96-8EF4-FD94059A7599}"/>
              </a:ext>
            </a:extLst>
          </xdr:cNvPr>
          <xdr:cNvSpPr txBox="1"/>
        </xdr:nvSpPr>
        <xdr:spPr>
          <a:xfrm>
            <a:off x="18550740" y="6203541"/>
            <a:ext cx="686132" cy="3424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tx2"/>
                </a:solidFill>
              </a:rPr>
              <a:t>- 34%</a:t>
            </a:r>
          </a:p>
        </xdr:txBody>
      </xdr:sp>
    </xdr:grpSp>
    <xdr:clientData/>
  </xdr:twoCellAnchor>
  <xdr:twoCellAnchor>
    <xdr:from>
      <xdr:col>0</xdr:col>
      <xdr:colOff>789214</xdr:colOff>
      <xdr:row>21</xdr:row>
      <xdr:rowOff>0</xdr:rowOff>
    </xdr:from>
    <xdr:to>
      <xdr:col>7</xdr:col>
      <xdr:colOff>46255</xdr:colOff>
      <xdr:row>51</xdr:row>
      <xdr:rowOff>44019</xdr:rowOff>
    </xdr:to>
    <xdr:pic>
      <xdr:nvPicPr>
        <xdr:cNvPr id="2" name="Image 1">
          <a:extLst>
            <a:ext uri="{FF2B5EF4-FFF2-40B4-BE49-F238E27FC236}">
              <a16:creationId xmlns:a16="http://schemas.microsoft.com/office/drawing/2014/main" id="{87A39338-6BD5-44F6-A9B9-4FEBFC5A75D6}"/>
            </a:ext>
          </a:extLst>
        </xdr:cNvPr>
        <xdr:cNvPicPr>
          <a:picLocks noChangeAspect="1"/>
        </xdr:cNvPicPr>
      </xdr:nvPicPr>
      <xdr:blipFill>
        <a:blip xmlns:r="http://schemas.openxmlformats.org/officeDocument/2006/relationships" r:embed="rId5"/>
        <a:stretch>
          <a:fillRect/>
        </a:stretch>
      </xdr:blipFill>
      <xdr:spPr>
        <a:xfrm>
          <a:off x="789214" y="3583214"/>
          <a:ext cx="9534970" cy="5486876"/>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xdr:from>
      <xdr:col>4</xdr:col>
      <xdr:colOff>221427</xdr:colOff>
      <xdr:row>10</xdr:row>
      <xdr:rowOff>161637</xdr:rowOff>
    </xdr:from>
    <xdr:to>
      <xdr:col>6</xdr:col>
      <xdr:colOff>81231</xdr:colOff>
      <xdr:row>25</xdr:row>
      <xdr:rowOff>3875</xdr:rowOff>
    </xdr:to>
    <xdr:graphicFrame macro="">
      <xdr:nvGraphicFramePr>
        <xdr:cNvPr id="2" name="Graphique 1">
          <a:extLst>
            <a:ext uri="{FF2B5EF4-FFF2-40B4-BE49-F238E27FC236}">
              <a16:creationId xmlns:a16="http://schemas.microsoft.com/office/drawing/2014/main" id="{93886D1C-AF1D-49FE-90D6-A453C3C37C1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c:userShapes xmlns:c="http://schemas.openxmlformats.org/drawingml/2006/chart">
  <cdr:relSizeAnchor xmlns:cdr="http://schemas.openxmlformats.org/drawingml/2006/chartDrawing">
    <cdr:from>
      <cdr:x>0.17758</cdr:x>
      <cdr:y>0.45205</cdr:y>
    </cdr:from>
    <cdr:to>
      <cdr:x>0.36409</cdr:x>
      <cdr:y>0.667</cdr:y>
    </cdr:to>
    <cdr:sp macro="" textlink="">
      <cdr:nvSpPr>
        <cdr:cNvPr id="2" name="ZoneTexte 1">
          <a:extLst xmlns:a="http://schemas.openxmlformats.org/drawingml/2006/main">
            <a:ext uri="{FF2B5EF4-FFF2-40B4-BE49-F238E27FC236}">
              <a16:creationId xmlns:a16="http://schemas.microsoft.com/office/drawing/2014/main" id="{66E05E91-2710-46D7-9DFB-D591DBA9D2C2}"/>
            </a:ext>
          </a:extLst>
        </cdr:cNvPr>
        <cdr:cNvSpPr txBox="1"/>
      </cdr:nvSpPr>
      <cdr:spPr>
        <a:xfrm xmlns:a="http://schemas.openxmlformats.org/drawingml/2006/main">
          <a:off x="811893" y="1240064"/>
          <a:ext cx="852714" cy="58964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GB" sz="1600" b="1">
              <a:solidFill>
                <a:schemeClr val="tx2"/>
              </a:solidFill>
            </a:rPr>
            <a:t>867</a:t>
          </a:r>
          <a:endParaRPr lang="en-GB" sz="1200" b="1">
            <a:solidFill>
              <a:schemeClr val="tx2"/>
            </a:solidFill>
          </a:endParaRPr>
        </a:p>
        <a:p xmlns:a="http://schemas.openxmlformats.org/drawingml/2006/main">
          <a:pPr algn="ctr"/>
          <a:r>
            <a:rPr lang="en-GB" sz="1200" b="1">
              <a:solidFill>
                <a:schemeClr val="tx2"/>
              </a:solidFill>
            </a:rPr>
            <a:t>ktCO</a:t>
          </a:r>
          <a:r>
            <a:rPr lang="en-GB" sz="1200" b="1" baseline="-25000">
              <a:solidFill>
                <a:schemeClr val="tx2"/>
              </a:solidFill>
            </a:rPr>
            <a:t>2</a:t>
          </a:r>
          <a:r>
            <a:rPr lang="en-GB" sz="1200" b="1">
              <a:solidFill>
                <a:schemeClr val="tx2"/>
              </a:solidFill>
            </a:rPr>
            <a:t>e</a:t>
          </a:r>
        </a:p>
      </cdr:txBody>
    </cdr:sp>
  </cdr:relSizeAnchor>
</c:userShapes>
</file>

<file path=xl/drawings/drawing22.xml><?xml version="1.0" encoding="utf-8"?>
<xdr:wsDr xmlns:xdr="http://schemas.openxmlformats.org/drawingml/2006/spreadsheetDrawing" xmlns:a="http://schemas.openxmlformats.org/drawingml/2006/main">
  <xdr:twoCellAnchor>
    <xdr:from>
      <xdr:col>3</xdr:col>
      <xdr:colOff>557892</xdr:colOff>
      <xdr:row>9</xdr:row>
      <xdr:rowOff>9072</xdr:rowOff>
    </xdr:from>
    <xdr:to>
      <xdr:col>6</xdr:col>
      <xdr:colOff>870857</xdr:colOff>
      <xdr:row>17</xdr:row>
      <xdr:rowOff>145143</xdr:rowOff>
    </xdr:to>
    <xdr:graphicFrame macro="">
      <xdr:nvGraphicFramePr>
        <xdr:cNvPr id="2" name="Graphique 1">
          <a:extLst>
            <a:ext uri="{FF2B5EF4-FFF2-40B4-BE49-F238E27FC236}">
              <a16:creationId xmlns:a16="http://schemas.microsoft.com/office/drawing/2014/main" id="{AB4BA1C1-FE66-49A8-925B-60C010EB9E8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1066800</xdr:colOff>
      <xdr:row>144</xdr:row>
      <xdr:rowOff>20544</xdr:rowOff>
    </xdr:from>
    <xdr:to>
      <xdr:col>10</xdr:col>
      <xdr:colOff>279400</xdr:colOff>
      <xdr:row>151</xdr:row>
      <xdr:rowOff>47822</xdr:rowOff>
    </xdr:to>
    <xdr:pic>
      <xdr:nvPicPr>
        <xdr:cNvPr id="4" name="Image 3">
          <a:extLst>
            <a:ext uri="{FF2B5EF4-FFF2-40B4-BE49-F238E27FC236}">
              <a16:creationId xmlns:a16="http://schemas.microsoft.com/office/drawing/2014/main" id="{E719C66B-EA10-4207-962E-CB54E01E9D30}"/>
            </a:ext>
          </a:extLst>
        </xdr:cNvPr>
        <xdr:cNvPicPr>
          <a:picLocks noChangeAspect="1"/>
        </xdr:cNvPicPr>
      </xdr:nvPicPr>
      <xdr:blipFill>
        <a:blip xmlns:r="http://schemas.openxmlformats.org/officeDocument/2006/relationships" r:embed="rId2"/>
        <a:stretch>
          <a:fillRect/>
        </a:stretch>
      </xdr:blipFill>
      <xdr:spPr>
        <a:xfrm>
          <a:off x="10979150" y="11336244"/>
          <a:ext cx="2165350" cy="1690978"/>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6</xdr:col>
      <xdr:colOff>0</xdr:colOff>
      <xdr:row>354</xdr:row>
      <xdr:rowOff>0</xdr:rowOff>
    </xdr:from>
    <xdr:to>
      <xdr:col>13</xdr:col>
      <xdr:colOff>494146</xdr:colOff>
      <xdr:row>369</xdr:row>
      <xdr:rowOff>31749</xdr:rowOff>
    </xdr:to>
    <xdr:pic>
      <xdr:nvPicPr>
        <xdr:cNvPr id="2" name="Image 1">
          <a:extLst>
            <a:ext uri="{FF2B5EF4-FFF2-40B4-BE49-F238E27FC236}">
              <a16:creationId xmlns:a16="http://schemas.microsoft.com/office/drawing/2014/main" id="{EBD3BE10-7169-421C-A263-B5715FB25E4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27850" y="67868800"/>
          <a:ext cx="6838950" cy="2698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4.xml><?xml version="1.0" encoding="utf-8"?>
<xdr:wsDr xmlns:xdr="http://schemas.openxmlformats.org/drawingml/2006/spreadsheetDrawing" xmlns:a="http://schemas.openxmlformats.org/drawingml/2006/main">
  <xdr:twoCellAnchor>
    <xdr:from>
      <xdr:col>1</xdr:col>
      <xdr:colOff>9071</xdr:colOff>
      <xdr:row>38</xdr:row>
      <xdr:rowOff>54428</xdr:rowOff>
    </xdr:from>
    <xdr:to>
      <xdr:col>4</xdr:col>
      <xdr:colOff>132675</xdr:colOff>
      <xdr:row>46</xdr:row>
      <xdr:rowOff>0</xdr:rowOff>
    </xdr:to>
    <xdr:pic>
      <xdr:nvPicPr>
        <xdr:cNvPr id="2" name="Image 1">
          <a:extLst>
            <a:ext uri="{FF2B5EF4-FFF2-40B4-BE49-F238E27FC236}">
              <a16:creationId xmlns:a16="http://schemas.microsoft.com/office/drawing/2014/main" id="{1F280E83-4DB1-4676-8A39-966F00AED8B4}"/>
            </a:ext>
          </a:extLst>
        </xdr:cNvPr>
        <xdr:cNvPicPr>
          <a:picLocks noChangeAspect="1"/>
        </xdr:cNvPicPr>
      </xdr:nvPicPr>
      <xdr:blipFill>
        <a:blip xmlns:r="http://schemas.openxmlformats.org/officeDocument/2006/relationships" r:embed="rId1"/>
        <a:stretch>
          <a:fillRect/>
        </a:stretch>
      </xdr:blipFill>
      <xdr:spPr>
        <a:xfrm>
          <a:off x="825500" y="6948714"/>
          <a:ext cx="3452818" cy="1436585"/>
        </a:xfrm>
        <a:prstGeom prst="rect">
          <a:avLst/>
        </a:prstGeom>
      </xdr:spPr>
    </xdr:pic>
    <xdr:clientData/>
  </xdr:twoCellAnchor>
  <xdr:twoCellAnchor>
    <xdr:from>
      <xdr:col>1</xdr:col>
      <xdr:colOff>9071</xdr:colOff>
      <xdr:row>107</xdr:row>
      <xdr:rowOff>54428</xdr:rowOff>
    </xdr:from>
    <xdr:to>
      <xdr:col>4</xdr:col>
      <xdr:colOff>132675</xdr:colOff>
      <xdr:row>115</xdr:row>
      <xdr:rowOff>0</xdr:rowOff>
    </xdr:to>
    <xdr:pic>
      <xdr:nvPicPr>
        <xdr:cNvPr id="6" name="Image 5">
          <a:extLst>
            <a:ext uri="{FF2B5EF4-FFF2-40B4-BE49-F238E27FC236}">
              <a16:creationId xmlns:a16="http://schemas.microsoft.com/office/drawing/2014/main" id="{DFBD8803-5D92-48C6-AFE9-F02DC6746486}"/>
            </a:ext>
          </a:extLst>
        </xdr:cNvPr>
        <xdr:cNvPicPr>
          <a:picLocks noChangeAspect="1"/>
        </xdr:cNvPicPr>
      </xdr:nvPicPr>
      <xdr:blipFill>
        <a:blip xmlns:r="http://schemas.openxmlformats.org/officeDocument/2006/relationships" r:embed="rId1"/>
        <a:stretch>
          <a:fillRect/>
        </a:stretch>
      </xdr:blipFill>
      <xdr:spPr>
        <a:xfrm>
          <a:off x="825500" y="6767285"/>
          <a:ext cx="3498175" cy="1397001"/>
        </a:xfrm>
        <a:prstGeom prst="rect">
          <a:avLst/>
        </a:prstGeom>
      </xdr:spPr>
    </xdr:pic>
    <xdr:clientData/>
  </xdr:twoCellAnchor>
  <xdr:twoCellAnchor>
    <xdr:from>
      <xdr:col>7</xdr:col>
      <xdr:colOff>657265</xdr:colOff>
      <xdr:row>8</xdr:row>
      <xdr:rowOff>69110</xdr:rowOff>
    </xdr:from>
    <xdr:to>
      <xdr:col>14</xdr:col>
      <xdr:colOff>442025</xdr:colOff>
      <xdr:row>25</xdr:row>
      <xdr:rowOff>136073</xdr:rowOff>
    </xdr:to>
    <xdr:graphicFrame macro="">
      <xdr:nvGraphicFramePr>
        <xdr:cNvPr id="20" name="Graphique 19">
          <a:extLst>
            <a:ext uri="{FF2B5EF4-FFF2-40B4-BE49-F238E27FC236}">
              <a16:creationId xmlns:a16="http://schemas.microsoft.com/office/drawing/2014/main" id="{94055834-E6FC-47FF-AC7F-C0EF12EEC87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851646</xdr:colOff>
      <xdr:row>17</xdr:row>
      <xdr:rowOff>46153</xdr:rowOff>
    </xdr:from>
    <xdr:to>
      <xdr:col>5</xdr:col>
      <xdr:colOff>321235</xdr:colOff>
      <xdr:row>26</xdr:row>
      <xdr:rowOff>363543</xdr:rowOff>
    </xdr:to>
    <xdr:pic>
      <xdr:nvPicPr>
        <xdr:cNvPr id="14" name="Image 13">
          <a:extLst>
            <a:ext uri="{FF2B5EF4-FFF2-40B4-BE49-F238E27FC236}">
              <a16:creationId xmlns:a16="http://schemas.microsoft.com/office/drawing/2014/main" id="{26DDBB95-6139-4409-A217-17D384A783DD}"/>
            </a:ext>
          </a:extLst>
        </xdr:cNvPr>
        <xdr:cNvPicPr>
          <a:picLocks noChangeAspect="1"/>
        </xdr:cNvPicPr>
      </xdr:nvPicPr>
      <xdr:blipFill rotWithShape="1">
        <a:blip xmlns:r="http://schemas.openxmlformats.org/officeDocument/2006/relationships" r:embed="rId3"/>
        <a:srcRect b="7380"/>
        <a:stretch/>
      </xdr:blipFill>
      <xdr:spPr>
        <a:xfrm>
          <a:off x="5348940" y="7210447"/>
          <a:ext cx="1912471" cy="1953449"/>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7</xdr:col>
      <xdr:colOff>0</xdr:colOff>
      <xdr:row>34</xdr:row>
      <xdr:rowOff>0</xdr:rowOff>
    </xdr:from>
    <xdr:to>
      <xdr:col>7</xdr:col>
      <xdr:colOff>304800</xdr:colOff>
      <xdr:row>35</xdr:row>
      <xdr:rowOff>127000</xdr:rowOff>
    </xdr:to>
    <xdr:sp macro="" textlink="">
      <xdr:nvSpPr>
        <xdr:cNvPr id="27649" name="AutoShape 1" descr="Allyl Diglycol Carbonate 142-22-3">
          <a:extLst>
            <a:ext uri="{FF2B5EF4-FFF2-40B4-BE49-F238E27FC236}">
              <a16:creationId xmlns:a16="http://schemas.microsoft.com/office/drawing/2014/main" id="{8A55845E-4222-48B2-A286-B3ED841B9995}"/>
            </a:ext>
          </a:extLst>
        </xdr:cNvPr>
        <xdr:cNvSpPr>
          <a:spLocks noChangeAspect="1" noChangeArrowheads="1"/>
        </xdr:cNvSpPr>
      </xdr:nvSpPr>
      <xdr:spPr bwMode="auto">
        <a:xfrm>
          <a:off x="7080250" y="4737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6</xdr:col>
      <xdr:colOff>412475</xdr:colOff>
      <xdr:row>26</xdr:row>
      <xdr:rowOff>89159</xdr:rowOff>
    </xdr:from>
    <xdr:to>
      <xdr:col>8</xdr:col>
      <xdr:colOff>357086</xdr:colOff>
      <xdr:row>30</xdr:row>
      <xdr:rowOff>89065</xdr:rowOff>
    </xdr:to>
    <xdr:pic>
      <xdr:nvPicPr>
        <xdr:cNvPr id="2" name="Image 1">
          <a:extLst>
            <a:ext uri="{FF2B5EF4-FFF2-40B4-BE49-F238E27FC236}">
              <a16:creationId xmlns:a16="http://schemas.microsoft.com/office/drawing/2014/main" id="{09044BEF-6F16-46C0-BD1A-0536C03A73DB}"/>
            </a:ext>
          </a:extLst>
        </xdr:cNvPr>
        <xdr:cNvPicPr>
          <a:picLocks noChangeAspect="1"/>
        </xdr:cNvPicPr>
      </xdr:nvPicPr>
      <xdr:blipFill>
        <a:blip xmlns:r="http://schemas.openxmlformats.org/officeDocument/2006/relationships" r:embed="rId1"/>
        <a:stretch>
          <a:fillRect/>
        </a:stretch>
      </xdr:blipFill>
      <xdr:spPr>
        <a:xfrm>
          <a:off x="7605293" y="4603432"/>
          <a:ext cx="1560975" cy="1304542"/>
        </a:xfrm>
        <a:prstGeom prst="rect">
          <a:avLst/>
        </a:prstGeom>
      </xdr:spPr>
    </xdr:pic>
    <xdr:clientData/>
  </xdr:twoCellAnchor>
  <xdr:twoCellAnchor>
    <xdr:from>
      <xdr:col>10</xdr:col>
      <xdr:colOff>147810</xdr:colOff>
      <xdr:row>14</xdr:row>
      <xdr:rowOff>96048</xdr:rowOff>
    </xdr:from>
    <xdr:to>
      <xdr:col>13</xdr:col>
      <xdr:colOff>173440</xdr:colOff>
      <xdr:row>24</xdr:row>
      <xdr:rowOff>99784</xdr:rowOff>
    </xdr:to>
    <xdr:pic>
      <xdr:nvPicPr>
        <xdr:cNvPr id="9" name="Image 8">
          <a:extLst>
            <a:ext uri="{FF2B5EF4-FFF2-40B4-BE49-F238E27FC236}">
              <a16:creationId xmlns:a16="http://schemas.microsoft.com/office/drawing/2014/main" id="{48815AE5-37E2-444F-A2EC-8F48FA344551}"/>
            </a:ext>
          </a:extLst>
        </xdr:cNvPr>
        <xdr:cNvPicPr>
          <a:picLocks noChangeAspect="1"/>
        </xdr:cNvPicPr>
      </xdr:nvPicPr>
      <xdr:blipFill>
        <a:blip xmlns:r="http://schemas.openxmlformats.org/officeDocument/2006/relationships" r:embed="rId2"/>
        <a:stretch>
          <a:fillRect/>
        </a:stretch>
      </xdr:blipFill>
      <xdr:spPr>
        <a:xfrm>
          <a:off x="12230953" y="1928477"/>
          <a:ext cx="4624844" cy="2208093"/>
        </a:xfrm>
        <a:prstGeom prst="rect">
          <a:avLst/>
        </a:prstGeom>
      </xdr:spPr>
    </xdr:pic>
    <xdr:clientData/>
  </xdr:twoCellAnchor>
  <xdr:twoCellAnchor>
    <xdr:from>
      <xdr:col>4</xdr:col>
      <xdr:colOff>170295</xdr:colOff>
      <xdr:row>46</xdr:row>
      <xdr:rowOff>87417</xdr:rowOff>
    </xdr:from>
    <xdr:to>
      <xdr:col>9</xdr:col>
      <xdr:colOff>1096819</xdr:colOff>
      <xdr:row>62</xdr:row>
      <xdr:rowOff>34638</xdr:rowOff>
    </xdr:to>
    <mc:AlternateContent xmlns:mc="http://schemas.openxmlformats.org/markup-compatibility/2006">
      <mc:Choice xmlns:cx1="http://schemas.microsoft.com/office/drawing/2015/9/8/chartex" Requires="cx1">
        <xdr:graphicFrame macro="">
          <xdr:nvGraphicFramePr>
            <xdr:cNvPr id="13" name="Graphique 12">
              <a:extLst>
                <a:ext uri="{FF2B5EF4-FFF2-40B4-BE49-F238E27FC236}">
                  <a16:creationId xmlns:a16="http://schemas.microsoft.com/office/drawing/2014/main" id="{D9468690-54E9-4C74-A49F-89C21F7408CE}"/>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3"/>
            </a:graphicData>
          </a:graphic>
        </xdr:graphicFrame>
      </mc:Choice>
      <mc:Fallback>
        <xdr:sp macro="" textlink="">
          <xdr:nvSpPr>
            <xdr:cNvPr id="0" name=""/>
            <xdr:cNvSpPr>
              <a:spLocks noTextEdit="1"/>
            </xdr:cNvSpPr>
          </xdr:nvSpPr>
          <xdr:spPr>
            <a:xfrm>
              <a:off x="5897995" y="3092450"/>
              <a:ext cx="5739824" cy="0"/>
            </a:xfrm>
            <a:prstGeom prst="rect">
              <a:avLst/>
            </a:prstGeom>
            <a:solidFill>
              <a:prstClr val="white"/>
            </a:solidFill>
            <a:ln w="1">
              <a:solidFill>
                <a:prstClr val="green"/>
              </a:solidFill>
            </a:ln>
          </xdr:spPr>
          <xdr:txBody>
            <a:bodyPr vertOverflow="clip" horzOverflow="clip"/>
            <a:lstStyle/>
            <a:p>
              <a:r>
                <a:rPr lang="en-GB" sz="1100"/>
                <a:t>Ce graphique n’est pas disponible dans votre version d’Excel.
La modification de cette forme ou l’enregistrement de ce classeur dans un autre format de fichier endommagera le graphique de façon irréparable.</a:t>
              </a:r>
            </a:p>
          </xdr:txBody>
        </xdr:sp>
      </mc:Fallback>
    </mc:AlternateContent>
    <xdr:clientData/>
  </xdr:twoCellAnchor>
  <xdr:twoCellAnchor>
    <xdr:from>
      <xdr:col>1</xdr:col>
      <xdr:colOff>404915</xdr:colOff>
      <xdr:row>87</xdr:row>
      <xdr:rowOff>96488</xdr:rowOff>
    </xdr:from>
    <xdr:to>
      <xdr:col>8</xdr:col>
      <xdr:colOff>623949</xdr:colOff>
      <xdr:row>107</xdr:row>
      <xdr:rowOff>23090</xdr:rowOff>
    </xdr:to>
    <xdr:grpSp>
      <xdr:nvGrpSpPr>
        <xdr:cNvPr id="4" name="Groupe 3">
          <a:extLst>
            <a:ext uri="{FF2B5EF4-FFF2-40B4-BE49-F238E27FC236}">
              <a16:creationId xmlns:a16="http://schemas.microsoft.com/office/drawing/2014/main" id="{1E1D74E5-4F23-4E9A-9A44-A78B91B4824B}"/>
            </a:ext>
          </a:extLst>
        </xdr:cNvPr>
        <xdr:cNvGrpSpPr/>
      </xdr:nvGrpSpPr>
      <xdr:grpSpPr>
        <a:xfrm>
          <a:off x="1240998" y="3683000"/>
          <a:ext cx="9098451" cy="0"/>
          <a:chOff x="658915" y="15821397"/>
          <a:chExt cx="9120579" cy="3390239"/>
        </a:xfrm>
      </xdr:grpSpPr>
      <xdr:graphicFrame macro="">
        <xdr:nvGraphicFramePr>
          <xdr:cNvPr id="11" name="Graphique 10">
            <a:extLst>
              <a:ext uri="{FF2B5EF4-FFF2-40B4-BE49-F238E27FC236}">
                <a16:creationId xmlns:a16="http://schemas.microsoft.com/office/drawing/2014/main" id="{4940779E-4EE3-49AE-94CB-4E78C4A8FB7D}"/>
              </a:ext>
            </a:extLst>
          </xdr:cNvPr>
          <xdr:cNvGraphicFramePr/>
        </xdr:nvGraphicFramePr>
        <xdr:xfrm>
          <a:off x="658915" y="15821397"/>
          <a:ext cx="9120579" cy="3390239"/>
        </xdr:xfrm>
        <a:graphic>
          <a:graphicData uri="http://schemas.openxmlformats.org/drawingml/2006/chart">
            <c:chart xmlns:c="http://schemas.openxmlformats.org/drawingml/2006/chart" xmlns:r="http://schemas.openxmlformats.org/officeDocument/2006/relationships" r:id="rId4"/>
          </a:graphicData>
        </a:graphic>
      </xdr:graphicFrame>
      <xdr:sp macro="" textlink="">
        <xdr:nvSpPr>
          <xdr:cNvPr id="15" name="ZoneTexte 14">
            <a:extLst>
              <a:ext uri="{FF2B5EF4-FFF2-40B4-BE49-F238E27FC236}">
                <a16:creationId xmlns:a16="http://schemas.microsoft.com/office/drawing/2014/main" id="{AABE21ED-E554-4D8C-86A5-E7A64334C8A7}"/>
              </a:ext>
            </a:extLst>
          </xdr:cNvPr>
          <xdr:cNvSpPr txBox="1"/>
        </xdr:nvSpPr>
        <xdr:spPr>
          <a:xfrm>
            <a:off x="3053773" y="17630734"/>
            <a:ext cx="611909" cy="2573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b="1"/>
              <a:t>x1,7</a:t>
            </a:r>
          </a:p>
        </xdr:txBody>
      </xdr:sp>
      <xdr:cxnSp macro="">
        <xdr:nvCxnSpPr>
          <xdr:cNvPr id="10" name="Connecteur droit avec flèche 9">
            <a:extLst>
              <a:ext uri="{FF2B5EF4-FFF2-40B4-BE49-F238E27FC236}">
                <a16:creationId xmlns:a16="http://schemas.microsoft.com/office/drawing/2014/main" id="{D7D293EF-9394-4F77-ACD7-C6A28D156409}"/>
              </a:ext>
            </a:extLst>
          </xdr:cNvPr>
          <xdr:cNvCxnSpPr/>
        </xdr:nvCxnSpPr>
        <xdr:spPr>
          <a:xfrm flipV="1">
            <a:off x="3265714" y="17728046"/>
            <a:ext cx="484085" cy="401617"/>
          </a:xfrm>
          <a:prstGeom prst="straightConnector1">
            <a:avLst/>
          </a:prstGeom>
          <a:ln w="28575">
            <a:solidFill>
              <a:schemeClr val="accent1"/>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7" name="ZoneTexte 16">
            <a:extLst>
              <a:ext uri="{FF2B5EF4-FFF2-40B4-BE49-F238E27FC236}">
                <a16:creationId xmlns:a16="http://schemas.microsoft.com/office/drawing/2014/main" id="{04846905-35E1-414F-B30A-36F6D847FAC0}"/>
              </a:ext>
            </a:extLst>
          </xdr:cNvPr>
          <xdr:cNvSpPr txBox="1"/>
        </xdr:nvSpPr>
        <xdr:spPr>
          <a:xfrm>
            <a:off x="5207001" y="16925636"/>
            <a:ext cx="611909" cy="26554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b="1"/>
              <a:t>x2,2</a:t>
            </a:r>
          </a:p>
        </xdr:txBody>
      </xdr:sp>
      <xdr:cxnSp macro="">
        <xdr:nvCxnSpPr>
          <xdr:cNvPr id="18" name="Connecteur droit avec flèche 17">
            <a:extLst>
              <a:ext uri="{FF2B5EF4-FFF2-40B4-BE49-F238E27FC236}">
                <a16:creationId xmlns:a16="http://schemas.microsoft.com/office/drawing/2014/main" id="{F02DCD91-BDBA-4469-8672-13C1342B20D2}"/>
              </a:ext>
            </a:extLst>
          </xdr:cNvPr>
          <xdr:cNvCxnSpPr/>
        </xdr:nvCxnSpPr>
        <xdr:spPr>
          <a:xfrm flipV="1">
            <a:off x="5494812" y="16638651"/>
            <a:ext cx="483259" cy="1057233"/>
          </a:xfrm>
          <a:prstGeom prst="straightConnector1">
            <a:avLst/>
          </a:prstGeom>
          <a:ln w="28575">
            <a:solidFill>
              <a:schemeClr val="accent1"/>
            </a:solidFill>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5</xdr:col>
      <xdr:colOff>704274</xdr:colOff>
      <xdr:row>13</xdr:row>
      <xdr:rowOff>46181</xdr:rowOff>
    </xdr:from>
    <xdr:to>
      <xdr:col>9</xdr:col>
      <xdr:colOff>1459279</xdr:colOff>
      <xdr:row>24</xdr:row>
      <xdr:rowOff>171168</xdr:rowOff>
    </xdr:to>
    <xdr:pic>
      <xdr:nvPicPr>
        <xdr:cNvPr id="3" name="Image 2">
          <a:extLst>
            <a:ext uri="{FF2B5EF4-FFF2-40B4-BE49-F238E27FC236}">
              <a16:creationId xmlns:a16="http://schemas.microsoft.com/office/drawing/2014/main" id="{DDF8B84E-F381-4499-9DB9-E974D783FA28}"/>
            </a:ext>
          </a:extLst>
        </xdr:cNvPr>
        <xdr:cNvPicPr>
          <a:picLocks noChangeAspect="1"/>
        </xdr:cNvPicPr>
      </xdr:nvPicPr>
      <xdr:blipFill>
        <a:blip xmlns:r="http://schemas.openxmlformats.org/officeDocument/2006/relationships" r:embed="rId5"/>
        <a:stretch>
          <a:fillRect/>
        </a:stretch>
      </xdr:blipFill>
      <xdr:spPr>
        <a:xfrm>
          <a:off x="7435274" y="2505363"/>
          <a:ext cx="4541914" cy="235326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xdr:from>
      <xdr:col>7</xdr:col>
      <xdr:colOff>224039</xdr:colOff>
      <xdr:row>58</xdr:row>
      <xdr:rowOff>154214</xdr:rowOff>
    </xdr:from>
    <xdr:to>
      <xdr:col>12</xdr:col>
      <xdr:colOff>798303</xdr:colOff>
      <xdr:row>71</xdr:row>
      <xdr:rowOff>27214</xdr:rowOff>
    </xdr:to>
    <xdr:pic>
      <xdr:nvPicPr>
        <xdr:cNvPr id="2" name="Image 1">
          <a:extLst>
            <a:ext uri="{FF2B5EF4-FFF2-40B4-BE49-F238E27FC236}">
              <a16:creationId xmlns:a16="http://schemas.microsoft.com/office/drawing/2014/main" id="{8406D01B-40B2-43FC-B756-3E852F2E3478}"/>
            </a:ext>
          </a:extLst>
        </xdr:cNvPr>
        <xdr:cNvPicPr>
          <a:picLocks noChangeAspect="1"/>
        </xdr:cNvPicPr>
      </xdr:nvPicPr>
      <xdr:blipFill>
        <a:blip xmlns:r="http://schemas.openxmlformats.org/officeDocument/2006/relationships" r:embed="rId1"/>
        <a:stretch>
          <a:fillRect/>
        </a:stretch>
      </xdr:blipFill>
      <xdr:spPr>
        <a:xfrm>
          <a:off x="7426753" y="9470571"/>
          <a:ext cx="4656407" cy="2240643"/>
        </a:xfrm>
        <a:prstGeom prst="rect">
          <a:avLst/>
        </a:prstGeom>
      </xdr:spPr>
    </xdr:pic>
    <xdr:clientData/>
  </xdr:twoCellAnchor>
  <xdr:twoCellAnchor>
    <xdr:from>
      <xdr:col>9</xdr:col>
      <xdr:colOff>439964</xdr:colOff>
      <xdr:row>40</xdr:row>
      <xdr:rowOff>57150</xdr:rowOff>
    </xdr:from>
    <xdr:to>
      <xdr:col>14</xdr:col>
      <xdr:colOff>371929</xdr:colOff>
      <xdr:row>45</xdr:row>
      <xdr:rowOff>0</xdr:rowOff>
    </xdr:to>
    <xdr:graphicFrame macro="">
      <xdr:nvGraphicFramePr>
        <xdr:cNvPr id="4" name="Graphique 3">
          <a:extLst>
            <a:ext uri="{FF2B5EF4-FFF2-40B4-BE49-F238E27FC236}">
              <a16:creationId xmlns:a16="http://schemas.microsoft.com/office/drawing/2014/main" id="{2B8E5C65-03BD-4A49-A818-2F557CC06EC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811893</xdr:colOff>
      <xdr:row>15</xdr:row>
      <xdr:rowOff>29935</xdr:rowOff>
    </xdr:from>
    <xdr:to>
      <xdr:col>10</xdr:col>
      <xdr:colOff>335643</xdr:colOff>
      <xdr:row>22</xdr:row>
      <xdr:rowOff>163286</xdr:rowOff>
    </xdr:to>
    <xdr:graphicFrame macro="">
      <xdr:nvGraphicFramePr>
        <xdr:cNvPr id="5" name="Graphique 4">
          <a:extLst>
            <a:ext uri="{FF2B5EF4-FFF2-40B4-BE49-F238E27FC236}">
              <a16:creationId xmlns:a16="http://schemas.microsoft.com/office/drawing/2014/main" id="{EC4018CD-AB22-4BB4-987F-229DBA45D59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23</xdr:col>
      <xdr:colOff>0</xdr:colOff>
      <xdr:row>11</xdr:row>
      <xdr:rowOff>0</xdr:rowOff>
    </xdr:from>
    <xdr:to>
      <xdr:col>33</xdr:col>
      <xdr:colOff>225141</xdr:colOff>
      <xdr:row>11</xdr:row>
      <xdr:rowOff>0</xdr:rowOff>
    </xdr:to>
    <xdr:pic>
      <xdr:nvPicPr>
        <xdr:cNvPr id="4" name="Image 3">
          <a:extLst>
            <a:ext uri="{FF2B5EF4-FFF2-40B4-BE49-F238E27FC236}">
              <a16:creationId xmlns:a16="http://schemas.microsoft.com/office/drawing/2014/main" id="{3EDAE4EB-2060-4940-9A02-590C1A13C8F4}"/>
            </a:ext>
          </a:extLst>
        </xdr:cNvPr>
        <xdr:cNvPicPr>
          <a:picLocks noChangeAspect="1"/>
        </xdr:cNvPicPr>
      </xdr:nvPicPr>
      <xdr:blipFill>
        <a:blip xmlns:r="http://schemas.openxmlformats.org/officeDocument/2006/relationships" r:embed="rId1"/>
        <a:stretch>
          <a:fillRect/>
        </a:stretch>
      </xdr:blipFill>
      <xdr:spPr>
        <a:xfrm>
          <a:off x="28562300" y="9169400"/>
          <a:ext cx="8353142" cy="733238"/>
        </a:xfrm>
        <a:prstGeom prst="rect">
          <a:avLst/>
        </a:prstGeom>
      </xdr:spPr>
    </xdr:pic>
    <xdr:clientData/>
  </xdr:twoCellAnchor>
  <xdr:twoCellAnchor>
    <xdr:from>
      <xdr:col>4</xdr:col>
      <xdr:colOff>158748</xdr:colOff>
      <xdr:row>107</xdr:row>
      <xdr:rowOff>97970</xdr:rowOff>
    </xdr:from>
    <xdr:to>
      <xdr:col>11</xdr:col>
      <xdr:colOff>50304</xdr:colOff>
      <xdr:row>124</xdr:row>
      <xdr:rowOff>133598</xdr:rowOff>
    </xdr:to>
    <xdr:graphicFrame macro="">
      <xdr:nvGraphicFramePr>
        <xdr:cNvPr id="10" name="Graphique 9">
          <a:extLst>
            <a:ext uri="{FF2B5EF4-FFF2-40B4-BE49-F238E27FC236}">
              <a16:creationId xmlns:a16="http://schemas.microsoft.com/office/drawing/2014/main" id="{EB1AD243-6450-4510-AC75-FDB2D03600C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634999</xdr:colOff>
      <xdr:row>130</xdr:row>
      <xdr:rowOff>94671</xdr:rowOff>
    </xdr:from>
    <xdr:to>
      <xdr:col>11</xdr:col>
      <xdr:colOff>161636</xdr:colOff>
      <xdr:row>145</xdr:row>
      <xdr:rowOff>20780</xdr:rowOff>
    </xdr:to>
    <xdr:graphicFrame macro="">
      <xdr:nvGraphicFramePr>
        <xdr:cNvPr id="2" name="Graphique 1">
          <a:extLst>
            <a:ext uri="{FF2B5EF4-FFF2-40B4-BE49-F238E27FC236}">
              <a16:creationId xmlns:a16="http://schemas.microsoft.com/office/drawing/2014/main" id="{7F4FCE73-8AAF-4EF4-A96B-8CBA381FB74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588816</xdr:colOff>
      <xdr:row>17</xdr:row>
      <xdr:rowOff>135082</xdr:rowOff>
    </xdr:from>
    <xdr:to>
      <xdr:col>8</xdr:col>
      <xdr:colOff>750455</xdr:colOff>
      <xdr:row>42</xdr:row>
      <xdr:rowOff>150091</xdr:rowOff>
    </xdr:to>
    <xdr:graphicFrame macro="">
      <xdr:nvGraphicFramePr>
        <xdr:cNvPr id="14" name="Graphique 13">
          <a:extLst>
            <a:ext uri="{FF2B5EF4-FFF2-40B4-BE49-F238E27FC236}">
              <a16:creationId xmlns:a16="http://schemas.microsoft.com/office/drawing/2014/main" id="{DAF53AAB-6FA7-4102-8F92-B2F675BD6E9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1316178</xdr:colOff>
      <xdr:row>38</xdr:row>
      <xdr:rowOff>150092</xdr:rowOff>
    </xdr:from>
    <xdr:to>
      <xdr:col>2</xdr:col>
      <xdr:colOff>265541</xdr:colOff>
      <xdr:row>39</xdr:row>
      <xdr:rowOff>138548</xdr:rowOff>
    </xdr:to>
    <xdr:sp macro="" textlink="">
      <xdr:nvSpPr>
        <xdr:cNvPr id="15" name="Parenthèse fermante 14">
          <a:extLst>
            <a:ext uri="{FF2B5EF4-FFF2-40B4-BE49-F238E27FC236}">
              <a16:creationId xmlns:a16="http://schemas.microsoft.com/office/drawing/2014/main" id="{5D33FDD9-B558-4DA9-ADBE-BEB19F8904CE}"/>
            </a:ext>
          </a:extLst>
        </xdr:cNvPr>
        <xdr:cNvSpPr/>
      </xdr:nvSpPr>
      <xdr:spPr>
        <a:xfrm rot="5400000">
          <a:off x="3636814" y="5391729"/>
          <a:ext cx="161638" cy="3186545"/>
        </a:xfrm>
        <a:prstGeom prst="rightBracket">
          <a:avLst/>
        </a:prstGeom>
        <a:ln w="38100"/>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2</xdr:col>
      <xdr:colOff>819727</xdr:colOff>
      <xdr:row>38</xdr:row>
      <xdr:rowOff>150093</xdr:rowOff>
    </xdr:from>
    <xdr:to>
      <xdr:col>4</xdr:col>
      <xdr:colOff>594010</xdr:colOff>
      <xdr:row>39</xdr:row>
      <xdr:rowOff>138545</xdr:rowOff>
    </xdr:to>
    <xdr:sp macro="" textlink="">
      <xdr:nvSpPr>
        <xdr:cNvPr id="16" name="Parenthèse fermante 15">
          <a:extLst>
            <a:ext uri="{FF2B5EF4-FFF2-40B4-BE49-F238E27FC236}">
              <a16:creationId xmlns:a16="http://schemas.microsoft.com/office/drawing/2014/main" id="{78580632-0C0C-4C09-B3FE-5546AB8F9AEB}"/>
            </a:ext>
          </a:extLst>
        </xdr:cNvPr>
        <xdr:cNvSpPr/>
      </xdr:nvSpPr>
      <xdr:spPr>
        <a:xfrm rot="5400000">
          <a:off x="7460961" y="5308314"/>
          <a:ext cx="161634" cy="3353374"/>
        </a:xfrm>
        <a:prstGeom prst="rightBracket">
          <a:avLst/>
        </a:prstGeom>
        <a:ln w="38100"/>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4</xdr:col>
      <xdr:colOff>854362</xdr:colOff>
      <xdr:row>38</xdr:row>
      <xdr:rowOff>150093</xdr:rowOff>
    </xdr:from>
    <xdr:to>
      <xdr:col>6</xdr:col>
      <xdr:colOff>1200728</xdr:colOff>
      <xdr:row>39</xdr:row>
      <xdr:rowOff>138545</xdr:rowOff>
    </xdr:to>
    <xdr:sp macro="" textlink="">
      <xdr:nvSpPr>
        <xdr:cNvPr id="17" name="Parenthèse fermante 16">
          <a:extLst>
            <a:ext uri="{FF2B5EF4-FFF2-40B4-BE49-F238E27FC236}">
              <a16:creationId xmlns:a16="http://schemas.microsoft.com/office/drawing/2014/main" id="{B83C3E2A-542A-454C-822B-721301B5D09D}"/>
            </a:ext>
          </a:extLst>
        </xdr:cNvPr>
        <xdr:cNvSpPr/>
      </xdr:nvSpPr>
      <xdr:spPr>
        <a:xfrm rot="5400000">
          <a:off x="11193319" y="5189682"/>
          <a:ext cx="161634" cy="3590638"/>
        </a:xfrm>
        <a:prstGeom prst="rightBracket">
          <a:avLst/>
        </a:prstGeom>
        <a:ln w="38100"/>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1</xdr:col>
      <xdr:colOff>18676</xdr:colOff>
      <xdr:row>128</xdr:row>
      <xdr:rowOff>33618</xdr:rowOff>
    </xdr:from>
    <xdr:to>
      <xdr:col>3</xdr:col>
      <xdr:colOff>526391</xdr:colOff>
      <xdr:row>128</xdr:row>
      <xdr:rowOff>2777056</xdr:rowOff>
    </xdr:to>
    <xdr:pic>
      <xdr:nvPicPr>
        <xdr:cNvPr id="2" name="Image 1">
          <a:extLst>
            <a:ext uri="{FF2B5EF4-FFF2-40B4-BE49-F238E27FC236}">
              <a16:creationId xmlns:a16="http://schemas.microsoft.com/office/drawing/2014/main" id="{94DC8ECB-8755-4B46-B5B2-409E30D106BF}"/>
            </a:ext>
          </a:extLst>
        </xdr:cNvPr>
        <xdr:cNvPicPr>
          <a:picLocks noChangeAspect="1"/>
        </xdr:cNvPicPr>
      </xdr:nvPicPr>
      <xdr:blipFill>
        <a:blip xmlns:r="http://schemas.openxmlformats.org/officeDocument/2006/relationships" r:embed="rId2"/>
        <a:stretch>
          <a:fillRect/>
        </a:stretch>
      </xdr:blipFill>
      <xdr:spPr>
        <a:xfrm>
          <a:off x="855382" y="6600265"/>
          <a:ext cx="6745656" cy="2743438"/>
        </a:xfrm>
        <a:prstGeom prst="rect">
          <a:avLst/>
        </a:prstGeom>
      </xdr:spPr>
    </xdr:pic>
    <xdr:clientData/>
  </xdr:twoCellAnchor>
  <xdr:twoCellAnchor>
    <xdr:from>
      <xdr:col>0</xdr:col>
      <xdr:colOff>571500</xdr:colOff>
      <xdr:row>18</xdr:row>
      <xdr:rowOff>31750</xdr:rowOff>
    </xdr:from>
    <xdr:to>
      <xdr:col>8</xdr:col>
      <xdr:colOff>734346</xdr:colOff>
      <xdr:row>43</xdr:row>
      <xdr:rowOff>43432</xdr:rowOff>
    </xdr:to>
    <xdr:pic>
      <xdr:nvPicPr>
        <xdr:cNvPr id="3" name="Image 2">
          <a:extLst>
            <a:ext uri="{FF2B5EF4-FFF2-40B4-BE49-F238E27FC236}">
              <a16:creationId xmlns:a16="http://schemas.microsoft.com/office/drawing/2014/main" id="{ABA8F169-24C9-4C32-94CE-3E5F10A2B19C}"/>
            </a:ext>
          </a:extLst>
        </xdr:cNvPr>
        <xdr:cNvPicPr>
          <a:picLocks noChangeAspect="1"/>
        </xdr:cNvPicPr>
      </xdr:nvPicPr>
      <xdr:blipFill>
        <a:blip xmlns:r="http://schemas.openxmlformats.org/officeDocument/2006/relationships" r:embed="rId3"/>
        <a:stretch>
          <a:fillRect/>
        </a:stretch>
      </xdr:blipFill>
      <xdr:spPr>
        <a:xfrm>
          <a:off x="571500" y="3873500"/>
          <a:ext cx="15021846" cy="437730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3</xdr:col>
      <xdr:colOff>27215</xdr:colOff>
      <xdr:row>46</xdr:row>
      <xdr:rowOff>45357</xdr:rowOff>
    </xdr:from>
    <xdr:to>
      <xdr:col>3</xdr:col>
      <xdr:colOff>1952845</xdr:colOff>
      <xdr:row>46</xdr:row>
      <xdr:rowOff>1415143</xdr:rowOff>
    </xdr:to>
    <xdr:pic>
      <xdr:nvPicPr>
        <xdr:cNvPr id="3" name="Image 2" descr="Blood Collection Systems - NEOTEC Medical Services Ltd.">
          <a:extLst>
            <a:ext uri="{FF2B5EF4-FFF2-40B4-BE49-F238E27FC236}">
              <a16:creationId xmlns:a16="http://schemas.microsoft.com/office/drawing/2014/main" id="{1CC8B36B-E312-422A-8618-E9512265697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057572" y="5470071"/>
          <a:ext cx="1925630" cy="13697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9073</xdr:colOff>
      <xdr:row>46</xdr:row>
      <xdr:rowOff>45358</xdr:rowOff>
    </xdr:from>
    <xdr:to>
      <xdr:col>4</xdr:col>
      <xdr:colOff>1063396</xdr:colOff>
      <xdr:row>46</xdr:row>
      <xdr:rowOff>1415144</xdr:rowOff>
    </xdr:to>
    <xdr:pic>
      <xdr:nvPicPr>
        <xdr:cNvPr id="4" name="Image 3" descr="Vydrain - Aspiration et drainage chirurgical | Vygon France">
          <a:extLst>
            <a:ext uri="{FF2B5EF4-FFF2-40B4-BE49-F238E27FC236}">
              <a16:creationId xmlns:a16="http://schemas.microsoft.com/office/drawing/2014/main" id="{C0E19BB3-5C29-455B-B2BE-A1D8087B8F29}"/>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17002" y="5470072"/>
          <a:ext cx="1054323" cy="13697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27215</xdr:colOff>
      <xdr:row>46</xdr:row>
      <xdr:rowOff>45358</xdr:rowOff>
    </xdr:from>
    <xdr:to>
      <xdr:col>5</xdr:col>
      <xdr:colOff>1832429</xdr:colOff>
      <xdr:row>46</xdr:row>
      <xdr:rowOff>1421788</xdr:rowOff>
    </xdr:to>
    <xdr:pic>
      <xdr:nvPicPr>
        <xdr:cNvPr id="5" name="Image 4" descr="Seringues - acheter en ligne | Praxisdienst">
          <a:extLst>
            <a:ext uri="{FF2B5EF4-FFF2-40B4-BE49-F238E27FC236}">
              <a16:creationId xmlns:a16="http://schemas.microsoft.com/office/drawing/2014/main" id="{943AECBB-BB22-4BC3-B5B0-0C56428DE5E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123715" y="5470072"/>
          <a:ext cx="1805214" cy="13764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1859643</xdr:colOff>
      <xdr:row>46</xdr:row>
      <xdr:rowOff>18143</xdr:rowOff>
    </xdr:from>
    <xdr:to>
      <xdr:col>6</xdr:col>
      <xdr:colOff>1374775</xdr:colOff>
      <xdr:row>46</xdr:row>
      <xdr:rowOff>1415143</xdr:rowOff>
    </xdr:to>
    <xdr:pic>
      <xdr:nvPicPr>
        <xdr:cNvPr id="6" name="Image 5" descr="Prolongateur par gravité BD en PVC + robinet 3 voies (Boite de 200)">
          <a:extLst>
            <a:ext uri="{FF2B5EF4-FFF2-40B4-BE49-F238E27FC236}">
              <a16:creationId xmlns:a16="http://schemas.microsoft.com/office/drawing/2014/main" id="{16AFB184-7F08-4009-ABAB-AB980DFEED1F}"/>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1956143" y="5442857"/>
          <a:ext cx="1392918" cy="1397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27215</xdr:colOff>
      <xdr:row>46</xdr:row>
      <xdr:rowOff>27215</xdr:rowOff>
    </xdr:from>
    <xdr:to>
      <xdr:col>7</xdr:col>
      <xdr:colOff>1391817</xdr:colOff>
      <xdr:row>46</xdr:row>
      <xdr:rowOff>1397000</xdr:rowOff>
    </xdr:to>
    <xdr:pic>
      <xdr:nvPicPr>
        <xdr:cNvPr id="7" name="Image 6" descr="L'urine jetable d'urologie met en sac OEM de reflux de sac de nuit de  cathéter l'anti">
          <a:extLst>
            <a:ext uri="{FF2B5EF4-FFF2-40B4-BE49-F238E27FC236}">
              <a16:creationId xmlns:a16="http://schemas.microsoft.com/office/drawing/2014/main" id="{E727FC3D-D8F7-471D-AC32-B96CA8A7F2BB}"/>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3452929" y="5089072"/>
          <a:ext cx="1364602" cy="13697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46</xdr:row>
      <xdr:rowOff>0</xdr:rowOff>
    </xdr:from>
    <xdr:to>
      <xdr:col>8</xdr:col>
      <xdr:colOff>304800</xdr:colOff>
      <xdr:row>49</xdr:row>
      <xdr:rowOff>131618</xdr:rowOff>
    </xdr:to>
    <xdr:sp macro="" textlink="">
      <xdr:nvSpPr>
        <xdr:cNvPr id="39945" name="AutoShape 9" descr="2023 filtre HME haute qualité pour système d'anesthésie et de respiration  Produits médicaux matériau PP jetable HMEF pour papier de format pour  adulte Pour ICU - Chine Fabriqué en Chine, Chine Vente">
          <a:extLst>
            <a:ext uri="{FF2B5EF4-FFF2-40B4-BE49-F238E27FC236}">
              <a16:creationId xmlns:a16="http://schemas.microsoft.com/office/drawing/2014/main" id="{193A17E3-71DA-4010-87AB-1B5D7C8C9C0E}"/>
            </a:ext>
          </a:extLst>
        </xdr:cNvPr>
        <xdr:cNvSpPr>
          <a:spLocks noChangeAspect="1" noChangeArrowheads="1"/>
        </xdr:cNvSpPr>
      </xdr:nvSpPr>
      <xdr:spPr bwMode="auto">
        <a:xfrm>
          <a:off x="14903450" y="5016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8</xdr:col>
      <xdr:colOff>27214</xdr:colOff>
      <xdr:row>46</xdr:row>
      <xdr:rowOff>27215</xdr:rowOff>
    </xdr:from>
    <xdr:to>
      <xdr:col>8</xdr:col>
      <xdr:colOff>1609949</xdr:colOff>
      <xdr:row>47</xdr:row>
      <xdr:rowOff>63501</xdr:rowOff>
    </xdr:to>
    <xdr:pic>
      <xdr:nvPicPr>
        <xdr:cNvPr id="8" name="Image 7">
          <a:extLst>
            <a:ext uri="{FF2B5EF4-FFF2-40B4-BE49-F238E27FC236}">
              <a16:creationId xmlns:a16="http://schemas.microsoft.com/office/drawing/2014/main" id="{77E0FBF4-F49E-476D-BA02-DDA82C934252}"/>
            </a:ext>
          </a:extLst>
        </xdr:cNvPr>
        <xdr:cNvPicPr>
          <a:picLocks noChangeAspect="1"/>
        </xdr:cNvPicPr>
      </xdr:nvPicPr>
      <xdr:blipFill>
        <a:blip xmlns:r="http://schemas.openxmlformats.org/officeDocument/2006/relationships" r:embed="rId6"/>
        <a:stretch>
          <a:fillRect/>
        </a:stretch>
      </xdr:blipFill>
      <xdr:spPr>
        <a:xfrm>
          <a:off x="14949714" y="5089072"/>
          <a:ext cx="1582735" cy="1533072"/>
        </a:xfrm>
        <a:prstGeom prst="rect">
          <a:avLst/>
        </a:prstGeom>
      </xdr:spPr>
    </xdr:pic>
    <xdr:clientData/>
  </xdr:twoCellAnchor>
  <xdr:twoCellAnchor>
    <xdr:from>
      <xdr:col>2</xdr:col>
      <xdr:colOff>45357</xdr:colOff>
      <xdr:row>46</xdr:row>
      <xdr:rowOff>36286</xdr:rowOff>
    </xdr:from>
    <xdr:to>
      <xdr:col>2</xdr:col>
      <xdr:colOff>1905000</xdr:colOff>
      <xdr:row>46</xdr:row>
      <xdr:rowOff>1444115</xdr:rowOff>
    </xdr:to>
    <xdr:pic>
      <xdr:nvPicPr>
        <xdr:cNvPr id="15" name="Image 14" descr="370+ Haricot De Chirurgie Photos, taleaux et images libre de droits - iStock">
          <a:extLst>
            <a:ext uri="{FF2B5EF4-FFF2-40B4-BE49-F238E27FC236}">
              <a16:creationId xmlns:a16="http://schemas.microsoft.com/office/drawing/2014/main" id="{296AF289-8162-4AE8-9358-F01044178E89}"/>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5107214" y="5098143"/>
          <a:ext cx="1859643" cy="14078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160315</xdr:colOff>
      <xdr:row>61</xdr:row>
      <xdr:rowOff>122374</xdr:rowOff>
    </xdr:from>
    <xdr:to>
      <xdr:col>5</xdr:col>
      <xdr:colOff>1239051</xdr:colOff>
      <xdr:row>74</xdr:row>
      <xdr:rowOff>146211</xdr:rowOff>
    </xdr:to>
    <xdr:graphicFrame macro="">
      <xdr:nvGraphicFramePr>
        <xdr:cNvPr id="9" name="Graphique 8">
          <a:extLst>
            <a:ext uri="{FF2B5EF4-FFF2-40B4-BE49-F238E27FC236}">
              <a16:creationId xmlns:a16="http://schemas.microsoft.com/office/drawing/2014/main" id="{3A092880-A501-445A-A87A-167B19D19A8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6</xdr:col>
      <xdr:colOff>45357</xdr:colOff>
      <xdr:row>64</xdr:row>
      <xdr:rowOff>36287</xdr:rowOff>
    </xdr:from>
    <xdr:to>
      <xdr:col>8</xdr:col>
      <xdr:colOff>212762</xdr:colOff>
      <xdr:row>74</xdr:row>
      <xdr:rowOff>108857</xdr:rowOff>
    </xdr:to>
    <xdr:pic>
      <xdr:nvPicPr>
        <xdr:cNvPr id="17" name="Image 16">
          <a:extLst>
            <a:ext uri="{FF2B5EF4-FFF2-40B4-BE49-F238E27FC236}">
              <a16:creationId xmlns:a16="http://schemas.microsoft.com/office/drawing/2014/main" id="{B226E01B-5FD3-4335-868F-4CB93FA1C764}"/>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2019643" y="10223501"/>
          <a:ext cx="3278905" cy="18868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138545</xdr:colOff>
      <xdr:row>9</xdr:row>
      <xdr:rowOff>48491</xdr:rowOff>
    </xdr:from>
    <xdr:to>
      <xdr:col>6</xdr:col>
      <xdr:colOff>923634</xdr:colOff>
      <xdr:row>28</xdr:row>
      <xdr:rowOff>92364</xdr:rowOff>
    </xdr:to>
    <xdr:graphicFrame macro="">
      <xdr:nvGraphicFramePr>
        <xdr:cNvPr id="11" name="Graphique 10">
          <a:extLst>
            <a:ext uri="{FF2B5EF4-FFF2-40B4-BE49-F238E27FC236}">
              <a16:creationId xmlns:a16="http://schemas.microsoft.com/office/drawing/2014/main" id="{F48A836D-0546-42D7-8077-353076AC3CB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5</xdr:col>
      <xdr:colOff>477981</xdr:colOff>
      <xdr:row>176</xdr:row>
      <xdr:rowOff>87744</xdr:rowOff>
    </xdr:from>
    <xdr:to>
      <xdr:col>11</xdr:col>
      <xdr:colOff>861290</xdr:colOff>
      <xdr:row>188</xdr:row>
      <xdr:rowOff>80818</xdr:rowOff>
    </xdr:to>
    <xdr:graphicFrame macro="">
      <xdr:nvGraphicFramePr>
        <xdr:cNvPr id="2" name="Graphique 1">
          <a:extLst>
            <a:ext uri="{FF2B5EF4-FFF2-40B4-BE49-F238E27FC236}">
              <a16:creationId xmlns:a16="http://schemas.microsoft.com/office/drawing/2014/main" id="{2B923665-1C75-405F-879F-BF2F52731C8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fLocksWithSheet="0"/>
  </xdr:twoCellAnchor>
  <xdr:twoCellAnchor>
    <xdr:from>
      <xdr:col>13</xdr:col>
      <xdr:colOff>161636</xdr:colOff>
      <xdr:row>177</xdr:row>
      <xdr:rowOff>173183</xdr:rowOff>
    </xdr:from>
    <xdr:to>
      <xdr:col>24</xdr:col>
      <xdr:colOff>381000</xdr:colOff>
      <xdr:row>202</xdr:row>
      <xdr:rowOff>50801</xdr:rowOff>
    </xdr:to>
    <xdr:graphicFrame macro="">
      <xdr:nvGraphicFramePr>
        <xdr:cNvPr id="10" name="Graphique 9">
          <a:extLst>
            <a:ext uri="{FF2B5EF4-FFF2-40B4-BE49-F238E27FC236}">
              <a16:creationId xmlns:a16="http://schemas.microsoft.com/office/drawing/2014/main" id="{3BA5F8E3-69AC-40F2-9EDA-DFD80BA0839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16</xdr:col>
      <xdr:colOff>727367</xdr:colOff>
      <xdr:row>62</xdr:row>
      <xdr:rowOff>1</xdr:rowOff>
    </xdr:from>
    <xdr:to>
      <xdr:col>22</xdr:col>
      <xdr:colOff>334823</xdr:colOff>
      <xdr:row>76</xdr:row>
      <xdr:rowOff>127001</xdr:rowOff>
    </xdr:to>
    <xdr:graphicFrame macro="">
      <xdr:nvGraphicFramePr>
        <xdr:cNvPr id="18" name="Graphique 17">
          <a:extLst>
            <a:ext uri="{FF2B5EF4-FFF2-40B4-BE49-F238E27FC236}">
              <a16:creationId xmlns:a16="http://schemas.microsoft.com/office/drawing/2014/main" id="{D2DCC5C2-C41E-46FE-8B73-0EC0AFD97F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12</xdr:col>
      <xdr:colOff>647696</xdr:colOff>
      <xdr:row>61</xdr:row>
      <xdr:rowOff>150091</xdr:rowOff>
    </xdr:from>
    <xdr:to>
      <xdr:col>17</xdr:col>
      <xdr:colOff>69273</xdr:colOff>
      <xdr:row>76</xdr:row>
      <xdr:rowOff>161637</xdr:rowOff>
    </xdr:to>
    <xdr:graphicFrame macro="">
      <xdr:nvGraphicFramePr>
        <xdr:cNvPr id="12" name="Graphique 11">
          <a:extLst>
            <a:ext uri="{FF2B5EF4-FFF2-40B4-BE49-F238E27FC236}">
              <a16:creationId xmlns:a16="http://schemas.microsoft.com/office/drawing/2014/main" id="{5AAC07A1-42D8-47EA-8049-FEB2F50DBE6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1</xdr:col>
      <xdr:colOff>5812312</xdr:colOff>
      <xdr:row>19</xdr:row>
      <xdr:rowOff>14680</xdr:rowOff>
    </xdr:from>
    <xdr:to>
      <xdr:col>5</xdr:col>
      <xdr:colOff>230084</xdr:colOff>
      <xdr:row>38</xdr:row>
      <xdr:rowOff>108858</xdr:rowOff>
    </xdr:to>
    <xdr:graphicFrame macro="">
      <xdr:nvGraphicFramePr>
        <xdr:cNvPr id="2" name="Graphique 1">
          <a:extLst>
            <a:ext uri="{FF2B5EF4-FFF2-40B4-BE49-F238E27FC236}">
              <a16:creationId xmlns:a16="http://schemas.microsoft.com/office/drawing/2014/main" id="{C7B33437-14D3-43A6-98A5-6A7EF13C7FE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308428</xdr:colOff>
      <xdr:row>19</xdr:row>
      <xdr:rowOff>8905</xdr:rowOff>
    </xdr:from>
    <xdr:to>
      <xdr:col>1</xdr:col>
      <xdr:colOff>6283201</xdr:colOff>
      <xdr:row>38</xdr:row>
      <xdr:rowOff>154215</xdr:rowOff>
    </xdr:to>
    <xdr:graphicFrame macro="">
      <xdr:nvGraphicFramePr>
        <xdr:cNvPr id="4" name="Graphique 3">
          <a:extLst>
            <a:ext uri="{FF2B5EF4-FFF2-40B4-BE49-F238E27FC236}">
              <a16:creationId xmlns:a16="http://schemas.microsoft.com/office/drawing/2014/main" id="{886DF85D-97CA-4866-9F6D-959F3AB29E6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4</xdr:col>
      <xdr:colOff>473363</xdr:colOff>
      <xdr:row>47</xdr:row>
      <xdr:rowOff>57728</xdr:rowOff>
    </xdr:from>
    <xdr:to>
      <xdr:col>7</xdr:col>
      <xdr:colOff>184726</xdr:colOff>
      <xdr:row>54</xdr:row>
      <xdr:rowOff>24175</xdr:rowOff>
    </xdr:to>
    <xdr:pic>
      <xdr:nvPicPr>
        <xdr:cNvPr id="5" name="Image 4">
          <a:extLst>
            <a:ext uri="{FF2B5EF4-FFF2-40B4-BE49-F238E27FC236}">
              <a16:creationId xmlns:a16="http://schemas.microsoft.com/office/drawing/2014/main" id="{E2E7DC8C-1B9E-4E16-BABB-C121649833F7}"/>
            </a:ext>
          </a:extLst>
        </xdr:cNvPr>
        <xdr:cNvPicPr>
          <a:picLocks noChangeAspect="1"/>
        </xdr:cNvPicPr>
      </xdr:nvPicPr>
      <xdr:blipFill>
        <a:blip xmlns:r="http://schemas.openxmlformats.org/officeDocument/2006/relationships" r:embed="rId1"/>
        <a:stretch>
          <a:fillRect/>
        </a:stretch>
      </xdr:blipFill>
      <xdr:spPr>
        <a:xfrm>
          <a:off x="10229272" y="4341092"/>
          <a:ext cx="3613727" cy="1363447"/>
        </a:xfrm>
        <a:prstGeom prst="rect">
          <a:avLst/>
        </a:prstGeom>
      </xdr:spPr>
    </xdr:pic>
    <xdr:clientData/>
  </xdr:twoCellAnchor>
  <xdr:twoCellAnchor editAs="oneCell">
    <xdr:from>
      <xdr:col>23</xdr:col>
      <xdr:colOff>0</xdr:colOff>
      <xdr:row>93</xdr:row>
      <xdr:rowOff>0</xdr:rowOff>
    </xdr:from>
    <xdr:to>
      <xdr:col>33</xdr:col>
      <xdr:colOff>672880</xdr:colOff>
      <xdr:row>238</xdr:row>
      <xdr:rowOff>104046</xdr:rowOff>
    </xdr:to>
    <xdr:pic>
      <xdr:nvPicPr>
        <xdr:cNvPr id="8" name="Image 7">
          <a:extLst>
            <a:ext uri="{FF2B5EF4-FFF2-40B4-BE49-F238E27FC236}">
              <a16:creationId xmlns:a16="http://schemas.microsoft.com/office/drawing/2014/main" id="{3ACB131A-C23E-4DCA-8C9C-3DF99488D811}"/>
            </a:ext>
          </a:extLst>
        </xdr:cNvPr>
        <xdr:cNvPicPr>
          <a:picLocks noChangeAspect="1"/>
        </xdr:cNvPicPr>
      </xdr:nvPicPr>
      <xdr:blipFill>
        <a:blip xmlns:r="http://schemas.openxmlformats.org/officeDocument/2006/relationships" r:embed="rId2"/>
        <a:stretch>
          <a:fillRect/>
        </a:stretch>
      </xdr:blipFill>
      <xdr:spPr>
        <a:xfrm>
          <a:off x="25792545" y="13392727"/>
          <a:ext cx="8754697" cy="1876687"/>
        </a:xfrm>
        <a:prstGeom prst="rect">
          <a:avLst/>
        </a:prstGeom>
      </xdr:spPr>
    </xdr:pic>
    <xdr:clientData/>
  </xdr:twoCellAnchor>
  <xdr:twoCellAnchor editAs="oneCell">
    <xdr:from>
      <xdr:col>23</xdr:col>
      <xdr:colOff>0</xdr:colOff>
      <xdr:row>74</xdr:row>
      <xdr:rowOff>0</xdr:rowOff>
    </xdr:from>
    <xdr:to>
      <xdr:col>33</xdr:col>
      <xdr:colOff>225142</xdr:colOff>
      <xdr:row>179</xdr:row>
      <xdr:rowOff>123638</xdr:rowOff>
    </xdr:to>
    <xdr:pic>
      <xdr:nvPicPr>
        <xdr:cNvPr id="9" name="Image 8">
          <a:extLst>
            <a:ext uri="{FF2B5EF4-FFF2-40B4-BE49-F238E27FC236}">
              <a16:creationId xmlns:a16="http://schemas.microsoft.com/office/drawing/2014/main" id="{EAF2AE07-4B11-4531-9675-EF36AE40FD48}"/>
            </a:ext>
          </a:extLst>
        </xdr:cNvPr>
        <xdr:cNvPicPr>
          <a:picLocks noChangeAspect="1"/>
        </xdr:cNvPicPr>
      </xdr:nvPicPr>
      <xdr:blipFill>
        <a:blip xmlns:r="http://schemas.openxmlformats.org/officeDocument/2006/relationships" r:embed="rId3"/>
        <a:stretch>
          <a:fillRect/>
        </a:stretch>
      </xdr:blipFill>
      <xdr:spPr>
        <a:xfrm>
          <a:off x="25792545" y="12330545"/>
          <a:ext cx="8306959" cy="724001"/>
        </a:xfrm>
        <a:prstGeom prst="rect">
          <a:avLst/>
        </a:prstGeom>
      </xdr:spPr>
    </xdr:pic>
    <xdr:clientData/>
  </xdr:twoCellAnchor>
  <xdr:twoCellAnchor editAs="oneCell">
    <xdr:from>
      <xdr:col>23</xdr:col>
      <xdr:colOff>0</xdr:colOff>
      <xdr:row>93</xdr:row>
      <xdr:rowOff>0</xdr:rowOff>
    </xdr:from>
    <xdr:to>
      <xdr:col>33</xdr:col>
      <xdr:colOff>806248</xdr:colOff>
      <xdr:row>180</xdr:row>
      <xdr:rowOff>119369</xdr:rowOff>
    </xdr:to>
    <xdr:pic>
      <xdr:nvPicPr>
        <xdr:cNvPr id="10" name="Image 9">
          <a:extLst>
            <a:ext uri="{FF2B5EF4-FFF2-40B4-BE49-F238E27FC236}">
              <a16:creationId xmlns:a16="http://schemas.microsoft.com/office/drawing/2014/main" id="{9CD511FF-2C81-426C-9DBF-37321A9FD26D}"/>
            </a:ext>
          </a:extLst>
        </xdr:cNvPr>
        <xdr:cNvPicPr>
          <a:picLocks noChangeAspect="1"/>
        </xdr:cNvPicPr>
      </xdr:nvPicPr>
      <xdr:blipFill>
        <a:blip xmlns:r="http://schemas.openxmlformats.org/officeDocument/2006/relationships" r:embed="rId4"/>
        <a:stretch>
          <a:fillRect/>
        </a:stretch>
      </xdr:blipFill>
      <xdr:spPr>
        <a:xfrm>
          <a:off x="25792545" y="15470909"/>
          <a:ext cx="8888065" cy="876422"/>
        </a:xfrm>
        <a:prstGeom prst="rect">
          <a:avLst/>
        </a:prstGeom>
      </xdr:spPr>
    </xdr:pic>
    <xdr:clientData/>
  </xdr:twoCellAnchor>
  <xdr:twoCellAnchor>
    <xdr:from>
      <xdr:col>1</xdr:col>
      <xdr:colOff>163287</xdr:colOff>
      <xdr:row>127</xdr:row>
      <xdr:rowOff>72573</xdr:rowOff>
    </xdr:from>
    <xdr:to>
      <xdr:col>2</xdr:col>
      <xdr:colOff>1551214</xdr:colOff>
      <xdr:row>140</xdr:row>
      <xdr:rowOff>163285</xdr:rowOff>
    </xdr:to>
    <xdr:graphicFrame macro="">
      <xdr:nvGraphicFramePr>
        <xdr:cNvPr id="3" name="Graphique 2">
          <a:extLst>
            <a:ext uri="{FF2B5EF4-FFF2-40B4-BE49-F238E27FC236}">
              <a16:creationId xmlns:a16="http://schemas.microsoft.com/office/drawing/2014/main" id="{3759A23C-4A78-4BF1-B7F2-BAE93E335A2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4387278</xdr:colOff>
      <xdr:row>17</xdr:row>
      <xdr:rowOff>181263</xdr:rowOff>
    </xdr:from>
    <xdr:to>
      <xdr:col>3</xdr:col>
      <xdr:colOff>1558641</xdr:colOff>
      <xdr:row>35</xdr:row>
      <xdr:rowOff>23091</xdr:rowOff>
    </xdr:to>
    <xdr:graphicFrame macro="">
      <xdr:nvGraphicFramePr>
        <xdr:cNvPr id="12" name="Graphique 11">
          <a:extLst>
            <a:ext uri="{FF2B5EF4-FFF2-40B4-BE49-F238E27FC236}">
              <a16:creationId xmlns:a16="http://schemas.microsoft.com/office/drawing/2014/main" id="{B69231D6-D659-4EF6-BC99-F33C60B8808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46185</xdr:colOff>
      <xdr:row>17</xdr:row>
      <xdr:rowOff>173181</xdr:rowOff>
    </xdr:from>
    <xdr:to>
      <xdr:col>1</xdr:col>
      <xdr:colOff>4722094</xdr:colOff>
      <xdr:row>35</xdr:row>
      <xdr:rowOff>15009</xdr:rowOff>
    </xdr:to>
    <xdr:graphicFrame macro="">
      <xdr:nvGraphicFramePr>
        <xdr:cNvPr id="13" name="Graphique 12">
          <a:extLst>
            <a:ext uri="{FF2B5EF4-FFF2-40B4-BE49-F238E27FC236}">
              <a16:creationId xmlns:a16="http://schemas.microsoft.com/office/drawing/2014/main" id="{47AAE2D8-4343-4BCE-A30A-1174B9D6919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xdr:col>
      <xdr:colOff>0</xdr:colOff>
      <xdr:row>255</xdr:row>
      <xdr:rowOff>0</xdr:rowOff>
    </xdr:from>
    <xdr:to>
      <xdr:col>7</xdr:col>
      <xdr:colOff>773545</xdr:colOff>
      <xdr:row>268</xdr:row>
      <xdr:rowOff>46852</xdr:rowOff>
    </xdr:to>
    <xdr:pic>
      <xdr:nvPicPr>
        <xdr:cNvPr id="14" name="Image 13">
          <a:extLst>
            <a:ext uri="{FF2B5EF4-FFF2-40B4-BE49-F238E27FC236}">
              <a16:creationId xmlns:a16="http://schemas.microsoft.com/office/drawing/2014/main" id="{812ED395-8FC8-42F3-A5C1-A4F9CCF89A39}"/>
            </a:ext>
          </a:extLst>
        </xdr:cNvPr>
        <xdr:cNvPicPr>
          <a:picLocks noChangeAspect="1"/>
        </xdr:cNvPicPr>
      </xdr:nvPicPr>
      <xdr:blipFill>
        <a:blip xmlns:r="http://schemas.openxmlformats.org/officeDocument/2006/relationships" r:embed="rId8"/>
        <a:stretch>
          <a:fillRect/>
        </a:stretch>
      </xdr:blipFill>
      <xdr:spPr>
        <a:xfrm>
          <a:off x="9755909" y="18472727"/>
          <a:ext cx="4675909" cy="229821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727363</xdr:colOff>
      <xdr:row>44</xdr:row>
      <xdr:rowOff>21273</xdr:rowOff>
    </xdr:from>
    <xdr:to>
      <xdr:col>4</xdr:col>
      <xdr:colOff>255650</xdr:colOff>
      <xdr:row>65</xdr:row>
      <xdr:rowOff>11546</xdr:rowOff>
    </xdr:to>
    <xdr:graphicFrame macro="">
      <xdr:nvGraphicFramePr>
        <xdr:cNvPr id="3" name="Graphique 2">
          <a:extLst>
            <a:ext uri="{FF2B5EF4-FFF2-40B4-BE49-F238E27FC236}">
              <a16:creationId xmlns:a16="http://schemas.microsoft.com/office/drawing/2014/main" id="{A93C8181-9D82-4045-8817-7CC1C1FC9BB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1304635</xdr:colOff>
      <xdr:row>50</xdr:row>
      <xdr:rowOff>69268</xdr:rowOff>
    </xdr:from>
    <xdr:to>
      <xdr:col>1</xdr:col>
      <xdr:colOff>2766785</xdr:colOff>
      <xdr:row>58</xdr:row>
      <xdr:rowOff>90714</xdr:rowOff>
    </xdr:to>
    <xdr:sp macro="" textlink="">
      <xdr:nvSpPr>
        <xdr:cNvPr id="4" name="Ellipse 3">
          <a:extLst>
            <a:ext uri="{FF2B5EF4-FFF2-40B4-BE49-F238E27FC236}">
              <a16:creationId xmlns:a16="http://schemas.microsoft.com/office/drawing/2014/main" id="{0DE2FD0B-3D70-4C8D-A897-CD618B4C6470}"/>
            </a:ext>
          </a:extLst>
        </xdr:cNvPr>
        <xdr:cNvSpPr/>
      </xdr:nvSpPr>
      <xdr:spPr>
        <a:xfrm>
          <a:off x="2121064" y="12850911"/>
          <a:ext cx="1462150" cy="1472874"/>
        </a:xfrm>
        <a:prstGeom prst="ellipse">
          <a:avLst/>
        </a:prstGeom>
        <a:solidFill>
          <a:schemeClr val="bg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xdr:col>
      <xdr:colOff>756638</xdr:colOff>
      <xdr:row>11</xdr:row>
      <xdr:rowOff>55089</xdr:rowOff>
    </xdr:from>
    <xdr:to>
      <xdr:col>4</xdr:col>
      <xdr:colOff>35050</xdr:colOff>
      <xdr:row>25</xdr:row>
      <xdr:rowOff>-1</xdr:rowOff>
    </xdr:to>
    <xdr:grpSp>
      <xdr:nvGrpSpPr>
        <xdr:cNvPr id="11" name="Groupe 10">
          <a:extLst>
            <a:ext uri="{FF2B5EF4-FFF2-40B4-BE49-F238E27FC236}">
              <a16:creationId xmlns:a16="http://schemas.microsoft.com/office/drawing/2014/main" id="{B2F80B17-A5A3-41FA-A259-EDABE40BF6CF}"/>
            </a:ext>
          </a:extLst>
        </xdr:cNvPr>
        <xdr:cNvGrpSpPr/>
      </xdr:nvGrpSpPr>
      <xdr:grpSpPr>
        <a:xfrm>
          <a:off x="1592721" y="1555750"/>
          <a:ext cx="8295412" cy="0"/>
          <a:chOff x="1564820" y="16599725"/>
          <a:chExt cx="8306957" cy="2369456"/>
        </a:xfrm>
      </xdr:grpSpPr>
      <xdr:graphicFrame macro="">
        <xdr:nvGraphicFramePr>
          <xdr:cNvPr id="5" name="Graphique 4">
            <a:extLst>
              <a:ext uri="{FF2B5EF4-FFF2-40B4-BE49-F238E27FC236}">
                <a16:creationId xmlns:a16="http://schemas.microsoft.com/office/drawing/2014/main" id="{1A1C76FB-B95E-4907-A718-DE68F52F8079}"/>
              </a:ext>
            </a:extLst>
          </xdr:cNvPr>
          <xdr:cNvGraphicFramePr/>
        </xdr:nvGraphicFramePr>
        <xdr:xfrm>
          <a:off x="1564820" y="16599725"/>
          <a:ext cx="4168322" cy="2325749"/>
        </xdr:xfrm>
        <a:graphic>
          <a:graphicData uri="http://schemas.openxmlformats.org/drawingml/2006/chart">
            <c:chart xmlns:c="http://schemas.openxmlformats.org/drawingml/2006/chart" xmlns:r="http://schemas.openxmlformats.org/officeDocument/2006/relationships" r:id="rId2"/>
          </a:graphicData>
        </a:graphic>
      </xdr:graphicFrame>
      <xdr:graphicFrame macro="">
        <xdr:nvGraphicFramePr>
          <xdr:cNvPr id="8" name="Graphique 7">
            <a:extLst>
              <a:ext uri="{FF2B5EF4-FFF2-40B4-BE49-F238E27FC236}">
                <a16:creationId xmlns:a16="http://schemas.microsoft.com/office/drawing/2014/main" id="{7B05B56D-D018-4336-9E70-6F6E33E059A1}"/>
              </a:ext>
            </a:extLst>
          </xdr:cNvPr>
          <xdr:cNvGraphicFramePr>
            <a:graphicFrameLocks/>
          </xdr:cNvGraphicFramePr>
        </xdr:nvGraphicFramePr>
        <xdr:xfrm>
          <a:off x="5703455" y="16648545"/>
          <a:ext cx="4168322" cy="2320636"/>
        </xdr:xfrm>
        <a:graphic>
          <a:graphicData uri="http://schemas.openxmlformats.org/drawingml/2006/chart">
            <c:chart xmlns:c="http://schemas.openxmlformats.org/drawingml/2006/chart" xmlns:r="http://schemas.openxmlformats.org/officeDocument/2006/relationships" r:id="rId3"/>
          </a:graphicData>
        </a:graphic>
      </xdr:graphicFrame>
      <xdr:sp macro="" textlink="">
        <xdr:nvSpPr>
          <xdr:cNvPr id="9" name="ZoneTexte 8">
            <a:extLst>
              <a:ext uri="{FF2B5EF4-FFF2-40B4-BE49-F238E27FC236}">
                <a16:creationId xmlns:a16="http://schemas.microsoft.com/office/drawing/2014/main" id="{153C3369-6ACA-4A1D-8620-D4671FFF19BB}"/>
              </a:ext>
            </a:extLst>
          </xdr:cNvPr>
          <xdr:cNvSpPr txBox="1"/>
        </xdr:nvSpPr>
        <xdr:spPr>
          <a:xfrm>
            <a:off x="1997364" y="16671636"/>
            <a:ext cx="1939637" cy="2655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100" b="1">
                <a:solidFill>
                  <a:schemeClr val="tx2"/>
                </a:solidFill>
              </a:rPr>
              <a:t>Bandes de compression</a:t>
            </a:r>
          </a:p>
        </xdr:txBody>
      </xdr:sp>
      <xdr:sp macro="" textlink="">
        <xdr:nvSpPr>
          <xdr:cNvPr id="10" name="ZoneTexte 9">
            <a:extLst>
              <a:ext uri="{FF2B5EF4-FFF2-40B4-BE49-F238E27FC236}">
                <a16:creationId xmlns:a16="http://schemas.microsoft.com/office/drawing/2014/main" id="{DD04782E-8CC3-45BF-8827-ED8C1AB8FE8B}"/>
              </a:ext>
            </a:extLst>
          </xdr:cNvPr>
          <xdr:cNvSpPr txBox="1"/>
        </xdr:nvSpPr>
        <xdr:spPr>
          <a:xfrm>
            <a:off x="5948218" y="16650854"/>
            <a:ext cx="1939637" cy="2655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100" b="1">
                <a:solidFill>
                  <a:schemeClr val="tx2"/>
                </a:solidFill>
              </a:rPr>
              <a:t>Compresses</a:t>
            </a:r>
          </a:p>
        </xdr:txBody>
      </xdr:sp>
    </xdr:grpSp>
    <xdr:clientData/>
  </xdr:twoCellAnchor>
</xdr:wsDr>
</file>

<file path=xl/drawings/drawing9.xml><?xml version="1.0" encoding="utf-8"?>
<xdr:wsDr xmlns:xdr="http://schemas.openxmlformats.org/drawingml/2006/spreadsheetDrawing" xmlns:a="http://schemas.openxmlformats.org/drawingml/2006/main">
  <xdr:twoCellAnchor>
    <xdr:from>
      <xdr:col>1</xdr:col>
      <xdr:colOff>145143</xdr:colOff>
      <xdr:row>17</xdr:row>
      <xdr:rowOff>36285</xdr:rowOff>
    </xdr:from>
    <xdr:to>
      <xdr:col>1</xdr:col>
      <xdr:colOff>4181334</xdr:colOff>
      <xdr:row>34</xdr:row>
      <xdr:rowOff>90714</xdr:rowOff>
    </xdr:to>
    <xdr:pic>
      <xdr:nvPicPr>
        <xdr:cNvPr id="2" name="Image 1">
          <a:extLst>
            <a:ext uri="{FF2B5EF4-FFF2-40B4-BE49-F238E27FC236}">
              <a16:creationId xmlns:a16="http://schemas.microsoft.com/office/drawing/2014/main" id="{4DD4C9CB-5E3B-4CB5-98F3-240AA1261C08}"/>
            </a:ext>
          </a:extLst>
        </xdr:cNvPr>
        <xdr:cNvPicPr>
          <a:picLocks noChangeAspect="1"/>
        </xdr:cNvPicPr>
      </xdr:nvPicPr>
      <xdr:blipFill>
        <a:blip xmlns:r="http://schemas.openxmlformats.org/officeDocument/2006/relationships" r:embed="rId1"/>
        <a:stretch>
          <a:fillRect/>
        </a:stretch>
      </xdr:blipFill>
      <xdr:spPr>
        <a:xfrm>
          <a:off x="961572" y="2394856"/>
          <a:ext cx="4036191" cy="3138715"/>
        </a:xfrm>
        <a:prstGeom prst="rect">
          <a:avLst/>
        </a:prstGeom>
      </xdr:spPr>
    </xdr:pic>
    <xdr:clientData fLocksWithSheet="0"/>
  </xdr:twoCellAnchor>
  <xdr:twoCellAnchor>
    <xdr:from>
      <xdr:col>6</xdr:col>
      <xdr:colOff>234911</xdr:colOff>
      <xdr:row>38</xdr:row>
      <xdr:rowOff>128649</xdr:rowOff>
    </xdr:from>
    <xdr:to>
      <xdr:col>9</xdr:col>
      <xdr:colOff>323949</xdr:colOff>
      <xdr:row>53</xdr:row>
      <xdr:rowOff>151352</xdr:rowOff>
    </xdr:to>
    <xdr:pic>
      <xdr:nvPicPr>
        <xdr:cNvPr id="3" name="Image 2">
          <a:extLst>
            <a:ext uri="{FF2B5EF4-FFF2-40B4-BE49-F238E27FC236}">
              <a16:creationId xmlns:a16="http://schemas.microsoft.com/office/drawing/2014/main" id="{9E592358-F52A-4917-9EB4-980D644B9A8F}"/>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t="7441"/>
        <a:stretch/>
      </xdr:blipFill>
      <xdr:spPr bwMode="auto">
        <a:xfrm>
          <a:off x="10533456" y="1975922"/>
          <a:ext cx="2513584" cy="28397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theshiftpr0ject.sharepoint.com/Users/terra/Downloads/CarboNe%20Sant&#233;%20Autonomie%20VF.8.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theshiftpr0ject.sharepoint.com/Users/TSP_User/Desktop/Sant&#233;/Bilan_Carbone_V8.5-72"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ez-moi "/>
      <sheetName val="Bilan global"/>
      <sheetName val="Bilan par département"/>
      <sheetName val="Graph creator"/>
      <sheetName val="Fiche d'identité "/>
      <sheetName val="Périmètre"/>
      <sheetName val="Exhaustivité_périmètre_Juin2021"/>
      <sheetName val="TCD et graphiques_condensés"/>
      <sheetName val="Graphiques_mesures_bas"/>
      <sheetName val="Graphiques_mesures_bas_ENG"/>
      <sheetName val="1"/>
      <sheetName val="6"/>
      <sheetName val="7"/>
      <sheetName val="10"/>
      <sheetName val="10.bâtiments"/>
      <sheetName val="10. Voirie"/>
      <sheetName val="10. SI"/>
      <sheetName val="10. Mobilier+machines+véhicules"/>
      <sheetName val="9"/>
      <sheetName val="9. Linge "/>
      <sheetName val="9.alimentaire"/>
      <sheetName val="9.médicaments"/>
      <sheetName val="9.Produits incontinence"/>
      <sheetName val="9.Produits incont - domicile"/>
      <sheetName val="9.dispositifs_médicaux"/>
      <sheetName val="9.Soins hospitaliers"/>
      <sheetName val="2"/>
      <sheetName val="13"/>
      <sheetName val="16"/>
      <sheetName val="16.Usagers"/>
      <sheetName val="16.Aidants"/>
      <sheetName val="16.Aidants - domicile"/>
      <sheetName val="22"/>
      <sheetName val="11"/>
      <sheetName val="4"/>
      <sheetName val="Annexe 1 - Auxiliaire"/>
      <sheetName val="Annexe 3 - Nbre lits et places"/>
      <sheetName val="Annexe 4 - Effectifs (DREES)"/>
      <sheetName val="Annexe 2 -Nombres de structures"/>
      <sheetName val="Annexe 3 - bén. APA à domicile"/>
      <sheetName val="Annexe 5 - PANO DREES 2022"/>
      <sheetName val="Annexe 6 - Places installées"/>
      <sheetName val="Annexe 7 - Places occupées"/>
      <sheetName val="Annexe 8 - Personnel en ETP"/>
      <sheetName val="Annexe 9 - BDD"/>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scriptif"/>
      <sheetName val="Energie 1"/>
      <sheetName val="Energie 2"/>
      <sheetName val="Hors énergie 1"/>
      <sheetName val="Hors énergie 2"/>
      <sheetName val="Intrants 1"/>
      <sheetName val="Intrants 2"/>
      <sheetName val="Futurs emballages"/>
      <sheetName val="Déchets directs"/>
      <sheetName val="Fret"/>
      <sheetName val="Déplacements"/>
      <sheetName val="Immobilisations"/>
      <sheetName val="Utilisation"/>
      <sheetName val="Fin de vie"/>
      <sheetName val="Utilitaires"/>
      <sheetName val="Recap CO2e"/>
      <sheetName val="Ratios"/>
      <sheetName val="Bilan GES"/>
      <sheetName val="ISO 14069"/>
      <sheetName val="GHG Protocol"/>
      <sheetName val="CDP 2018"/>
      <sheetName val="Graphiques"/>
      <sheetName val="FE Energie"/>
      <sheetName val="FE Hors Energie"/>
      <sheetName val="FE Intrants"/>
      <sheetName val="FE Déchets"/>
      <sheetName val="FE Fret"/>
      <sheetName val="FE Déplacements"/>
      <sheetName val="FE Immobilisations"/>
      <sheetName val="export postes"/>
      <sheetName val="export sous-post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586">
          <cell r="M586" t="str">
            <v>Oui</v>
          </cell>
        </row>
        <row r="587">
          <cell r="M587" t="str">
            <v>Non</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ow r="2">
          <cell r="J2" t="str">
            <v>Recommandations d'utilisation : 
Plusieurs lignes blanches sont laissées vierges à la fin de chaque liste : vous pouvez y ajouter les facteurs d'émission que vous souhaitez inclure aux listes déroulantes.
Si ces lignes ne suffisent pas, copiez puis insérez des lignes existantes puis assurez vous que les formules des colonnes D à G sont bien continues. Les suites de numéros des colonnes B et D ne doivent pas être interrompues. En cas de doute, faites glisser la formule de la première ligne de la liste.
Attention : les unités et type doivent correspondre à celles inscrites dans les onglets de calcul (sinon, une erreur vous avertira très vite). Pensez à indiquer vos sources en bas de page !</v>
          </cell>
        </row>
      </sheetData>
      <sheetData sheetId="29"/>
      <sheetData sheetId="30"/>
    </sheetDataSet>
  </externalBook>
</externalLink>
</file>

<file path=xl/theme/theme1.xml><?xml version="1.0" encoding="utf-8"?>
<a:theme xmlns:a="http://schemas.openxmlformats.org/drawingml/2006/main" name="Thème_shift">
  <a:themeElements>
    <a:clrScheme name="Shift Project">
      <a:dk1>
        <a:srgbClr val="000000"/>
      </a:dk1>
      <a:lt1>
        <a:srgbClr val="FFFFFF"/>
      </a:lt1>
      <a:dk2>
        <a:srgbClr val="00005A"/>
      </a:dk2>
      <a:lt2>
        <a:srgbClr val="FFFFFF"/>
      </a:lt2>
      <a:accent1>
        <a:srgbClr val="00005A"/>
      </a:accent1>
      <a:accent2>
        <a:srgbClr val="FF8200"/>
      </a:accent2>
      <a:accent3>
        <a:srgbClr val="FAB464"/>
      </a:accent3>
      <a:accent4>
        <a:srgbClr val="FFDC50"/>
      </a:accent4>
      <a:accent5>
        <a:srgbClr val="82C8FA"/>
      </a:accent5>
      <a:accent6>
        <a:srgbClr val="0028DC"/>
      </a:accent6>
      <a:hlink>
        <a:srgbClr val="FF8200"/>
      </a:hlink>
      <a:folHlink>
        <a:srgbClr val="FF8200"/>
      </a:folHlink>
    </a:clrScheme>
    <a:fontScheme name="Personnalisé 2">
      <a:majorFont>
        <a:latin typeface="Arial"/>
        <a:ea typeface=""/>
        <a:cs typeface=""/>
      </a:majorFont>
      <a:minorFont>
        <a:latin typeface="Arial"/>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Thème_shift" id="{062843DC-00E0-48FC-AC35-EE0385F49CE8}" vid="{892FAFC6-C6D3-45FD-A603-FB52C4710BBF}"/>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hyperlink" Target="https://www.sylamed.com/wp-content/uploads/2014/02/Catalogue-produits-Laboratoire-SYLAMED.pdf" TargetMode="External"/><Relationship Id="rId13" Type="http://schemas.openxmlformats.org/officeDocument/2006/relationships/printerSettings" Target="../printerSettings/printerSettings10.bin"/><Relationship Id="rId3" Type="http://schemas.openxmlformats.org/officeDocument/2006/relationships/hyperlink" Target="https://mesinfos.fr/auvergne-rhone-alpes/veauche-urgo-investit-15-m-euro-supplementaires-94271.html" TargetMode="External"/><Relationship Id="rId7" Type="http://schemas.openxmlformats.org/officeDocument/2006/relationships/hyperlink" Target="https://www.sylamed.com/wp-content/uploads/2014/02/Catalogue-produits-Laboratoire-SYLAMED.pdf" TargetMode="External"/><Relationship Id="rId12" Type="http://schemas.openxmlformats.org/officeDocument/2006/relationships/hyperlink" Target="https://link.springer.com/article/10.1007/s00134-022-06940-6" TargetMode="External"/><Relationship Id="rId2" Type="http://schemas.openxmlformats.org/officeDocument/2006/relationships/hyperlink" Target="https://www.leprogres.fr/loire-42-edition-forez/2019/04/12/veauche-urgo-advanced-textile-va-agrandir-son-site-de-production" TargetMode="External"/><Relationship Id="rId1" Type="http://schemas.openxmlformats.org/officeDocument/2006/relationships/hyperlink" Target="https://lamaison-medicale.com/boutique/pansements/bandes-compression/urgo-k2-urgo-medical/?utm_source=chatgpt.com" TargetMode="External"/><Relationship Id="rId6" Type="http://schemas.openxmlformats.org/officeDocument/2006/relationships/hyperlink" Target="https://www.has-sante.fr/upload/docs/application/pdf/2010-12/rapport_compression_medical_1276_vf.pdf" TargetMode="External"/><Relationship Id="rId11" Type="http://schemas.openxmlformats.org/officeDocument/2006/relationships/hyperlink" Target="https://www.e-pansement.fr/dispositifs/medicomp-s-40-steriles-non-tisse" TargetMode="External"/><Relationship Id="rId5" Type="http://schemas.openxmlformats.org/officeDocument/2006/relationships/hyperlink" Target="https://www.vidal.fr/parapharmacie/urgok2-bandage-multitype-systeme-de-compression-veineuse-bi-bande-98841.html" TargetMode="External"/><Relationship Id="rId10" Type="http://schemas.openxmlformats.org/officeDocument/2006/relationships/hyperlink" Target="https://www.e-pansement.fr/dispositifs/zetuvit" TargetMode="External"/><Relationship Id="rId4" Type="http://schemas.openxmlformats.org/officeDocument/2006/relationships/hyperlink" Target="https://www.leprogres.fr/loire-42-edition-forez/2019/04/12/veauche-urgo-advanced-textile-va-agrandir-son-site-de-production" TargetMode="External"/><Relationship Id="rId9" Type="http://schemas.openxmlformats.org/officeDocument/2006/relationships/hyperlink" Target="https://www.sylamed.com/wp-content/uploads/2014/02/Catalogue-produits-Laboratoire-SYLAMED.pdf" TargetMode="External"/><Relationship Id="rId14"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8" Type="http://schemas.openxmlformats.org/officeDocument/2006/relationships/hyperlink" Target="https://deepblue.lib.umich.edu/bitstream/handle/2027.42/153788/Final%20Thesis%20Draft_Wilkins.pdf?sequence=1&amp;isAllowed=y" TargetMode="External"/><Relationship Id="rId3" Type="http://schemas.openxmlformats.org/officeDocument/2006/relationships/hyperlink" Target="https://www.novonordisk.com/content/dam/nncorp/global/en/our-products/pdf/instructions-for-use/novopen-4/Novopen4-FR.pdf" TargetMode="External"/><Relationship Id="rId7" Type="http://schemas.openxmlformats.org/officeDocument/2006/relationships/hyperlink" Target="https://www.vidal.fr/parapharmacie/accu-chek-guide-lecteur-glycemie-mg-dl-194700.html" TargetMode="External"/><Relationship Id="rId2" Type="http://schemas.openxmlformats.org/officeDocument/2006/relationships/hyperlink" Target="https://www.vidal.fr/parapharmacie/bd-micro-fine-ultra-aig-sterile-usage-unique-pour-stylo-injecteur-117815.html" TargetMode="External"/><Relationship Id="rId1" Type="http://schemas.openxmlformats.org/officeDocument/2006/relationships/hyperlink" Target="https://www.vidal.fr/parapharmacie/novopen-6-stylo-injecteur-insuline-reutilisable-235619.html" TargetMode="External"/><Relationship Id="rId6" Type="http://schemas.openxmlformats.org/officeDocument/2006/relationships/hyperlink" Target="https://www.vidal.fr/parapharmacie/accu-chek-performa-bdlette-82753.html" TargetMode="External"/><Relationship Id="rId11" Type="http://schemas.openxmlformats.org/officeDocument/2006/relationships/drawing" Target="../drawings/drawing9.xml"/><Relationship Id="rId5" Type="http://schemas.openxmlformats.org/officeDocument/2006/relationships/hyperlink" Target="https://www.vidal.fr/parapharmacie/accu-chek-softclix-lancette-56909.html" TargetMode="External"/><Relationship Id="rId10" Type="http://schemas.openxmlformats.org/officeDocument/2006/relationships/printerSettings" Target="../printerSettings/printerSettings11.bin"/><Relationship Id="rId4" Type="http://schemas.openxmlformats.org/officeDocument/2006/relationships/hyperlink" Target="https://www.novonordisk.com/content/dam/nncorp/global/en/sustainable-business/pdfs/esg-portal/lca/product-carbon-footprint-novopen4.pdf" TargetMode="External"/><Relationship Id="rId9" Type="http://schemas.openxmlformats.org/officeDocument/2006/relationships/hyperlink" Target="https://ondrugdelivery.com/wp-content/uploads/2024/05/Sustainability-ONdD-AprMay-2024-Issue-159-MedRes-1.pdf" TargetMode="External"/></Relationships>
</file>

<file path=xl/worksheets/_rels/sheet12.xml.rels><?xml version="1.0" encoding="UTF-8" standalone="yes"?>
<Relationships xmlns="http://schemas.openxmlformats.org/package/2006/relationships"><Relationship Id="rId3" Type="http://schemas.openxmlformats.org/officeDocument/2006/relationships/hyperlink" Target="http://resolver.tudelft.nl/uuid:b638ee2c-059c-4a9e-bc9d-e26d4c44cdc1" TargetMode="External"/><Relationship Id="rId2" Type="http://schemas.openxmlformats.org/officeDocument/2006/relationships/hyperlink" Target="https://www.bjanaesthesia.org/article/S0007-0912(23)00119-8/fulltext" TargetMode="External"/><Relationship Id="rId1" Type="http://schemas.openxmlformats.org/officeDocument/2006/relationships/hyperlink" Target="https://www.sciencepublishinggroup.com/article/10.11648/j.ajep.20180704.11" TargetMode="External"/><Relationship Id="rId5" Type="http://schemas.openxmlformats.org/officeDocument/2006/relationships/drawing" Target="../drawings/drawing10.xml"/><Relationship Id="rId4"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3" Type="http://schemas.openxmlformats.org/officeDocument/2006/relationships/hyperlink" Target="https://www.bnains.org/archives/communiques/Essilor/20240308_Document_d_enregistrement_universel_2023_EssilorLuxottica.pdf" TargetMode="External"/><Relationship Id="rId18" Type="http://schemas.openxmlformats.org/officeDocument/2006/relationships/hyperlink" Target="https://www.hoyavision.com/fr/produits-vision/fabrication-fran%C3%A7aise/" TargetMode="External"/><Relationship Id="rId26" Type="http://schemas.openxmlformats.org/officeDocument/2006/relationships/hyperlink" Target="https://www.bienpublic.com/grand-dijon/2011/01/15/un-geant-au-coeur-de-la-ville" TargetMode="External"/><Relationship Id="rId39" Type="http://schemas.openxmlformats.org/officeDocument/2006/relationships/comments" Target="../comments2.xml"/><Relationship Id="rId21" Type="http://schemas.openxmlformats.org/officeDocument/2006/relationships/hyperlink" Target="https://www.usinenouvelle.com/article/essilor-investit-4-2-millions-d-euros-a-dijon.N194714" TargetMode="External"/><Relationship Id="rId34" Type="http://schemas.openxmlformats.org/officeDocument/2006/relationships/hyperlink" Target="https://www.acuite.fr/actualite/profession/243669/en-4-ans-novacel-reduit-de-50-sa-consommation-denergie-et-sa-production" TargetMode="External"/><Relationship Id="rId7" Type="http://schemas.openxmlformats.org/officeDocument/2006/relationships/hyperlink" Target="https://www.frequenceoptic.fr/actualites/un-jour-chez-bbgr-le-verrier-qui-veut-voir-la-vie-en-vert.html" TargetMode="External"/><Relationship Id="rId12" Type="http://schemas.openxmlformats.org/officeDocument/2006/relationships/hyperlink" Target="https://www.usinenouvelle.com/article/bbgr-augmente-de-30-ses-capacites-en-seine-et-marne-face-a-la-croissance-des-verres-optiques-nikon-en-france.N2210579" TargetMode="External"/><Relationship Id="rId17" Type="http://schemas.openxmlformats.org/officeDocument/2006/relationships/hyperlink" Target="http://fr.hc-optical.net/wholesale-price-eyeglass-lens-prices-semi-finished-1-56-single-vision-hmc-manufacturing-ophthalmic-lenses-product/" TargetMode="External"/><Relationship Id="rId25" Type="http://schemas.openxmlformats.org/officeDocument/2006/relationships/hyperlink" Target="https://www.acuite.fr/actualite/profession/261126/comment-sont-produits-les-semi-finis-immersion-chez-bbgr" TargetMode="External"/><Relationship Id="rId33" Type="http://schemas.openxmlformats.org/officeDocument/2006/relationships/hyperlink" Target="https://cjfa.ie/projects/bausch-lomb-ida-technology-park-waterford-ireland/" TargetMode="External"/><Relationship Id="rId38" Type="http://schemas.openxmlformats.org/officeDocument/2006/relationships/vmlDrawing" Target="../drawings/vmlDrawing2.vml"/><Relationship Id="rId2" Type="http://schemas.openxmlformats.org/officeDocument/2006/relationships/hyperlink" Target="http://fr.hc-optical.net/wholesale-price-eyeglass-lens-prices-semi-finished-1-56-single-vision-hmc-manufacturing-ophthalmic-lenses-product/" TargetMode="External"/><Relationship Id="rId16" Type="http://schemas.openxmlformats.org/officeDocument/2006/relationships/hyperlink" Target="https://www.acuite.fr/actualite/profession/243669/en-4-ans-novacel-reduit-de-50-sa-consommation-denergie-et-sa-production" TargetMode="External"/><Relationship Id="rId20" Type="http://schemas.openxmlformats.org/officeDocument/2006/relationships/hyperlink" Target="https://www.acuite.fr/actualite/produit/159057/dans-les-coulisses-du-centre-de-developpement-et-de-production-de-bbgr" TargetMode="External"/><Relationship Id="rId29" Type="http://schemas.openxmlformats.org/officeDocument/2006/relationships/hyperlink" Target="https://coopervision.co.uk/sites/coopervision.co.uk/files/clae_2021_smith_investigation_disposal_and_recycling_options_for_dd_and_monthyl_frp_soft_cl_modality_in_press_march2021.pdf" TargetMode="External"/><Relationship Id="rId1" Type="http://schemas.openxmlformats.org/officeDocument/2006/relationships/hyperlink" Target="http://fr.hc-optical.net/wholesale-price-eyeglass-lens-prices-semi-finished-1-56-single-vision-hmc-manufacturing-ophthalmic-lenses-product/" TargetMode="External"/><Relationship Id="rId6" Type="http://schemas.openxmlformats.org/officeDocument/2006/relationships/hyperlink" Target="https://www.frequenceoptic.fr/actualites/un-jour-chez-bbgr-le-verrier-qui-veut-voir-la-vie-en-vert.html" TargetMode="External"/><Relationship Id="rId11" Type="http://schemas.openxmlformats.org/officeDocument/2006/relationships/hyperlink" Target="https://gifo.org/entreprises/entreprises-membres/novacel/" TargetMode="External"/><Relationship Id="rId24" Type="http://schemas.openxmlformats.org/officeDocument/2006/relationships/hyperlink" Target="https://www.usinenouvelle.com/article/essilor-a-investi-5-millions-d-euros.N14300" TargetMode="External"/><Relationship Id="rId32" Type="http://schemas.openxmlformats.org/officeDocument/2006/relationships/hyperlink" Target="https://www.gasnetworks.ie/docs/connect/Case-Study-Bausch-and-Lombe.pdf?utm_source=chatgpt.com" TargetMode="External"/><Relationship Id="rId37" Type="http://schemas.openxmlformats.org/officeDocument/2006/relationships/drawing" Target="../drawings/drawing11.xml"/><Relationship Id="rId5" Type="http://schemas.openxmlformats.org/officeDocument/2006/relationships/hyperlink" Target="http://fr.hc-optical.net/wholesale-price-eyeglass-lens-prices-semi-finished-1-56-single-vision-hmc-manufacturing-ophthalmic-lenses-product/" TargetMode="External"/><Relationship Id="rId15" Type="http://schemas.openxmlformats.org/officeDocument/2006/relationships/hyperlink" Target="https://www.acuite.fr/actualite/profession/243669/en-4-ans-novacel-reduit-de-50-sa-consommation-denergie-et-sa-production" TargetMode="External"/><Relationship Id="rId23" Type="http://schemas.openxmlformats.org/officeDocument/2006/relationships/hyperlink" Target="https://cva-geii.parisnanterre.fr/accueil/semaine-de-lindustrie-2018-dut-geii" TargetMode="External"/><Relationship Id="rId28" Type="http://schemas.openxmlformats.org/officeDocument/2006/relationships/hyperlink" Target="https://link.springer.com/article/10.1007/s10924-023-03059-7" TargetMode="External"/><Relationship Id="rId36" Type="http://schemas.openxmlformats.org/officeDocument/2006/relationships/printerSettings" Target="../printerSettings/printerSettings13.bin"/><Relationship Id="rId10" Type="http://schemas.openxmlformats.org/officeDocument/2006/relationships/hyperlink" Target="https://baiboeyeglass.en.made-in-china.com/product/CtyUbzFunEcW/China-New-Arrival-High-Quality-Full-Rim-Acetate-Rectangle-Optical-Frame-in-Optional-Colors.html?pv_id=1ib9m6lmrb30&amp;faw_id=1ib9miocj1af" TargetMode="External"/><Relationship Id="rId19" Type="http://schemas.openxmlformats.org/officeDocument/2006/relationships/hyperlink" Target="https://www.acuite.fr/actualite/profession/236066/focus-sur-la-fabrication-des-verres-zeiss" TargetMode="External"/><Relationship Id="rId31" Type="http://schemas.openxmlformats.org/officeDocument/2006/relationships/hyperlink" Target="https://www.gasnetworks.ie/docs/connect/Case-Study-Bausch-and-Lombe.pdf?utm_source=chatgpt.com" TargetMode="External"/><Relationship Id="rId4" Type="http://schemas.openxmlformats.org/officeDocument/2006/relationships/hyperlink" Target="http://fr.hc-optical.net/wholesale-price-eyeglass-lens-prices-semi-finished-1-56-single-vision-hmc-manufacturing-ophthalmic-lenses-product/" TargetMode="External"/><Relationship Id="rId9" Type="http://schemas.openxmlformats.org/officeDocument/2006/relationships/hyperlink" Target="https://youto08.en.made-in-china.com/product/mZeQgpBAIGcJ/China-Eye-Plastic-Party-Frames-See-Tortoise-Sunglasses-Square-Eyewear-China-Famous-Brands-Horn-Glasses-Fashion-Metal-Acetate-Kids-Optical-Distribution-Frame.html?pv_id=1ib9m6lmrb30&amp;faw_id=1ib9m6v0rf94" TargetMode="External"/><Relationship Id="rId14" Type="http://schemas.openxmlformats.org/officeDocument/2006/relationships/hyperlink" Target="https://www.acuite.fr/actualite/profession/243669/en-4-ans-novacel-reduit-de-50-sa-consommation-denergie-et-sa-production" TargetMode="External"/><Relationship Id="rId22" Type="http://schemas.openxmlformats.org/officeDocument/2006/relationships/hyperlink" Target="https://www.vosgesmatin.fr/actualite/2018/12/28/la-meuse-berceau-du-groupe-essilor" TargetMode="External"/><Relationship Id="rId27" Type="http://schemas.openxmlformats.org/officeDocument/2006/relationships/hyperlink" Target="https://assets.ctfassets.net/utaji99zkvj6/54Bbp0yCIH2i8Pb7GtBzXF/e769d8fcc03271fe8bbbf62326806470/A_T_-_LCA_Report.pdf" TargetMode="External"/><Relationship Id="rId30" Type="http://schemas.openxmlformats.org/officeDocument/2006/relationships/hyperlink" Target="https://clspectrum.com/issues/2019/august/the-environmental-impact-of-contact-lens-waste/" TargetMode="External"/><Relationship Id="rId35" Type="http://schemas.openxmlformats.org/officeDocument/2006/relationships/hyperlink" Target="https://bodlenses.com/storage/app/media/2023%20BOD%20Lenses%20Sustainability%20Report.pdf" TargetMode="External"/><Relationship Id="rId8" Type="http://schemas.openxmlformats.org/officeDocument/2006/relationships/hyperlink" Target="https://www.snitem.fr/publications/livrets-innovation/le-livret-contactologie/" TargetMode="External"/><Relationship Id="rId3" Type="http://schemas.openxmlformats.org/officeDocument/2006/relationships/hyperlink" Target="https://matot-braine.fr/au-sommaire/entreprises/novacel-une-vision-d-avenir-pour-le-leader-europeen-des-verres-optiques" TargetMode="External"/></Relationships>
</file>

<file path=xl/worksheets/_rels/sheet14.xml.rels><?xml version="1.0" encoding="UTF-8" standalone="yes"?>
<Relationships xmlns="http://schemas.openxmlformats.org/package/2006/relationships"><Relationship Id="rId8" Type="http://schemas.openxmlformats.org/officeDocument/2006/relationships/hyperlink" Target="https://www.enseignementsup-recherche.gouv.fr/sites/default/files/2022-01/rapport-igesr-2021-206-16063.pdf" TargetMode="External"/><Relationship Id="rId13" Type="http://schemas.openxmlformats.org/officeDocument/2006/relationships/drawing" Target="../drawings/drawing12.xml"/><Relationship Id="rId3" Type="http://schemas.openxmlformats.org/officeDocument/2006/relationships/hyperlink" Target="https://hal.univ-lorraine.fr/hal-02095251" TargetMode="External"/><Relationship Id="rId7" Type="http://schemas.openxmlformats.org/officeDocument/2006/relationships/hyperlink" Target="https://www.sonova.com/sites/default/files/2024-05/Sonova_ESG_Report-23-24_0.pdf" TargetMode="External"/><Relationship Id="rId12" Type="http://schemas.openxmlformats.org/officeDocument/2006/relationships/printerSettings" Target="../printerSettings/printerSettings14.bin"/><Relationship Id="rId2" Type="http://schemas.openxmlformats.org/officeDocument/2006/relationships/hyperlink" Target="https://hal.univ-lorraine.fr/hal-02095251" TargetMode="External"/><Relationship Id="rId1" Type="http://schemas.openxmlformats.org/officeDocument/2006/relationships/hyperlink" Target="https://audiologie-demain.com/sell-in-baisse-record-de-7-en-2023" TargetMode="External"/><Relationship Id="rId6" Type="http://schemas.openxmlformats.org/officeDocument/2006/relationships/hyperlink" Target="https://www.besens.fr/single-post/starkey-les-aides-auditives-made-in-france" TargetMode="External"/><Relationship Id="rId11" Type="http://schemas.openxmlformats.org/officeDocument/2006/relationships/hyperlink" Target="https://www.signia-library.com/wp-content/uploads/sites/137/2021/12/2021-12-14_Comparison-of-Battery-Solutions-for-Hearing-Aid-Devices.pdf" TargetMode="External"/><Relationship Id="rId5" Type="http://schemas.openxmlformats.org/officeDocument/2006/relationships/hyperlink" Target="https://www.signia-library.com/wp-content/uploads/sites/137/2021/12/2021-12-14_Comparison-of-Battery-Solutions-for-Hearing-Aid-Devices.pdf" TargetMode="External"/><Relationship Id="rId10" Type="http://schemas.openxmlformats.org/officeDocument/2006/relationships/hyperlink" Target="https://www.manomano.fr/p/lot-de-2-amplificateurs-auditifs-rechargeables-pour-personnes-agees-amplificateur-de-son-personnel-appareils-daide-auditive-pour-adultes-avec-base-de-chargement-65945086" TargetMode="External"/><Relationship Id="rId4" Type="http://schemas.openxmlformats.org/officeDocument/2006/relationships/hyperlink" Target="https://www.signia-library.com/wp-content/uploads/sites/137/2021/12/2021-12-14_Comparison-of-Battery-Solutions-for-Hearing-Aid-Devices.pdf" TargetMode="External"/><Relationship Id="rId9" Type="http://schemas.openxmlformats.org/officeDocument/2006/relationships/hyperlink" Target="https://www.laval-europe.com/fr/piles/maxell/piles-auditives/piles-auditives-312-maxell-blister-de-6-59712.html" TargetMode="External"/></Relationships>
</file>

<file path=xl/worksheets/_rels/sheet15.xml.rels><?xml version="1.0" encoding="UTF-8" standalone="yes"?>
<Relationships xmlns="http://schemas.openxmlformats.org/package/2006/relationships"><Relationship Id="rId13" Type="http://schemas.openxmlformats.org/officeDocument/2006/relationships/hyperlink" Target="https://www.sigvaris.com/fr-fr/catalogue/marques/sigvaris/active/coton-bio-55-chaussettes-de-contention-femme-chaussettes" TargetMode="External"/><Relationship Id="rId18" Type="http://schemas.openxmlformats.org/officeDocument/2006/relationships/hyperlink" Target="https://www.catalogues-pharmagency.fr/wp-content/uploads/Donjoy.pdf" TargetMode="External"/><Relationship Id="rId26" Type="http://schemas.openxmlformats.org/officeDocument/2006/relationships/hyperlink" Target="https://www.lemoniteurdespharmacies.fr/actu/actualites/actus-socio-professionnelles/l-orthopedie-une-valeur-ajoutee-a-l-officine.html" TargetMode="External"/><Relationship Id="rId3" Type="http://schemas.openxmlformats.org/officeDocument/2006/relationships/hyperlink" Target="https://www.sigvaris.com/fr-fr/catalogue/marques/mobilis/cheville/mobilis-malleoactive-pad-chevillere" TargetMode="External"/><Relationship Id="rId21" Type="http://schemas.openxmlformats.org/officeDocument/2006/relationships/hyperlink" Target="https://gimedlab.com/accueil/141-ceinture-lombaire.html" TargetMode="External"/><Relationship Id="rId34" Type="http://schemas.openxmlformats.org/officeDocument/2006/relationships/drawing" Target="../drawings/drawing13.xml"/><Relationship Id="rId7" Type="http://schemas.openxmlformats.org/officeDocument/2006/relationships/hyperlink" Target="https://www.sigvaris.com/fr-fr/catalogue/marques/mobilis/cheville/mobilis-malleointense-attelle-de-cheville" TargetMode="External"/><Relationship Id="rId12" Type="http://schemas.openxmlformats.org/officeDocument/2006/relationships/hyperlink" Target="https://www.sigvaris.com/fr-fr/catalogue/marques/sigvaris/styles/transparent-chaussettes-de-contention-chaussettes" TargetMode="External"/><Relationship Id="rId17" Type="http://schemas.openxmlformats.org/officeDocument/2006/relationships/hyperlink" Target="https://www.sigvaris.com/fr-fr/catalogue/marques/mobilis/cheville/mobilis-malleosupport-chevillere" TargetMode="External"/><Relationship Id="rId25" Type="http://schemas.openxmlformats.org/officeDocument/2006/relationships/hyperlink" Target="https://www.colispharma.be/fr/colliers-cervicaux/2628-thuasne-collier-cervical-ortel-c1-anatomic-bleu-hauteur-6-cm-taille-2.html" TargetMode="External"/><Relationship Id="rId33" Type="http://schemas.openxmlformats.org/officeDocument/2006/relationships/printerSettings" Target="../printerSettings/printerSettings15.bin"/><Relationship Id="rId2" Type="http://schemas.openxmlformats.org/officeDocument/2006/relationships/hyperlink" Target="https://www.sigvaris.com/fr-fr/catalogue/marques/mobilis/genou/mobilis-genuintense-0--attelle-de-genou" TargetMode="External"/><Relationship Id="rId16" Type="http://schemas.openxmlformats.org/officeDocument/2006/relationships/hyperlink" Target="https://www.sigvaris.com/fr-fr/catalogue/marques/mobilis/poignet-et-pouce/mobilis-rhizosupport-attelle-de-pouce" TargetMode="External"/><Relationship Id="rId20" Type="http://schemas.openxmlformats.org/officeDocument/2006/relationships/hyperlink" Target="https://www.decathlon.fr/p/ceinture-lombaire-de-maintien-adulte-ceinture-lombaire-r500-noire/_/R-p-345787?mc=8796399" TargetMode="External"/><Relationship Id="rId29" Type="http://schemas.openxmlformats.org/officeDocument/2006/relationships/hyperlink" Target="https://www.universsante-catalogue.com/ceinture-lombaire-hauteur-21-cm-dorsamix--velpeau-letr-32550.html" TargetMode="External"/><Relationship Id="rId1" Type="http://schemas.openxmlformats.org/officeDocument/2006/relationships/hyperlink" Target="https://www.sigvaris.com/fr-fr/catalogue/marques/mobilis/genou/mobilis-genuactive-pad-genouillere" TargetMode="External"/><Relationship Id="rId6" Type="http://schemas.openxmlformats.org/officeDocument/2006/relationships/hyperlink" Target="https://www.sigvaris.com/fr-fr/catalogue/marques/sigvaris/styles/opaque-collant-de-contention-collant" TargetMode="External"/><Relationship Id="rId11" Type="http://schemas.openxmlformats.org/officeDocument/2006/relationships/hyperlink" Target="https://www.sigvaris.com/fr-fr/catalogue/marques/sigvaris/styles/opaque-chaussettes-de-contention-chaussettes" TargetMode="External"/><Relationship Id="rId24" Type="http://schemas.openxmlformats.org/officeDocument/2006/relationships/hyperlink" Target="https://www.pharmacie-du-centre-albert.fr/produit/thuasne-ortel-c3-collier-cervical-rigide-mentonniere-reglable-en-hauteur-maintien-ferme-du-rachis-cervical-pour-lesions-moderees-entorse-moyenne-stable-nevralgie-cercico-brachiale-1-unite-588400" TargetMode="External"/><Relationship Id="rId32" Type="http://schemas.openxmlformats.org/officeDocument/2006/relationships/hyperlink" Target="https://www.sigvaris.com/fr-fr/catalogue/marques/mobilis/cou/mobilis-colluactive-collier-cervical" TargetMode="External"/><Relationship Id="rId5" Type="http://schemas.openxmlformats.org/officeDocument/2006/relationships/hyperlink" Target="https://www.sigvaris.com/fr-fr/catalogue/marques/sigvaris/styles/opaque-collant-de-contention-collant" TargetMode="External"/><Relationship Id="rId15" Type="http://schemas.openxmlformats.org/officeDocument/2006/relationships/hyperlink" Target="https://www.sigvaris.com/fr-fr/catalogue/marques/mobilis/poignet-et-pouce/mobilis-manusupport-attelle-de-poignet" TargetMode="External"/><Relationship Id="rId23" Type="http://schemas.openxmlformats.org/officeDocument/2006/relationships/hyperlink" Target="https://www.espace-contention.com/collier-cervical-c1-colluactive-mobilis-by-sigvaris-xml-25423_25454_27763-243812.html" TargetMode="External"/><Relationship Id="rId28" Type="http://schemas.openxmlformats.org/officeDocument/2006/relationships/hyperlink" Target="https://assets-eu-01.kc-usercontent.com/8ff24b0e-57a3-0157-62d1-fa4ac9734eb5/dd6e8c80-ae40-4535-886f-674ef8c54dea/Whitepaper_Footprint%20Forensics%20When%20Is%20Additive%20Manufacturing%20Sustainable_EN.pdf" TargetMode="External"/><Relationship Id="rId10" Type="http://schemas.openxmlformats.org/officeDocument/2006/relationships/hyperlink" Target="https://www.sigvaris.com/fr-fr/catalogue/marques/sigvaris/styles/opaque-bas-de-contention-bas" TargetMode="External"/><Relationship Id="rId19" Type="http://schemas.openxmlformats.org/officeDocument/2006/relationships/hyperlink" Target="https://www.thuasne.shop/products/ceinture-soutien-lombaire-sport" TargetMode="External"/><Relationship Id="rId31" Type="http://schemas.openxmlformats.org/officeDocument/2006/relationships/hyperlink" Target="https://www.sigvaris.com/fr-fr/catalogue/marques/mobilis/dos-et-abdominaux/mobilis-lumbosupport-ceinture-lombaire" TargetMode="External"/><Relationship Id="rId4" Type="http://schemas.openxmlformats.org/officeDocument/2006/relationships/hyperlink" Target="https://www.sigvaris.com/fr-fr/catalogue/modeles/semelles/venoped-classic-semelle" TargetMode="External"/><Relationship Id="rId9" Type="http://schemas.openxmlformats.org/officeDocument/2006/relationships/hyperlink" Target="https://www.sigvaris.com/fr-fr/catalogue/modeles/bas-de-contention/semi-transparent-bas-de-contention-bas" TargetMode="External"/><Relationship Id="rId14" Type="http://schemas.openxmlformats.org/officeDocument/2006/relationships/hyperlink" Target="https://www.sigvaris.com/fr-fr/catalogue/marques/mobilis/poignet-et-pouce/mobilis-manuactive-attelle-de-poignet" TargetMode="External"/><Relationship Id="rId22" Type="http://schemas.openxmlformats.org/officeDocument/2006/relationships/hyperlink" Target="https://www.sport-orthese.com/cou-cervicales/1188-collier-cervical-c2-semi-rigide-gibaud.html" TargetMode="External"/><Relationship Id="rId27" Type="http://schemas.openxmlformats.org/officeDocument/2006/relationships/hyperlink" Target="http://www.lepharmaciendefrance.fr/article-print/lorthopedie-se-porte-bien" TargetMode="External"/><Relationship Id="rId30" Type="http://schemas.openxmlformats.org/officeDocument/2006/relationships/hyperlink" Target="https://couleursenior.com/supports-pour-le-dos/1983-support-dorsal-doublure-titane-3456850706963.html" TargetMode="External"/><Relationship Id="rId8" Type="http://schemas.openxmlformats.org/officeDocument/2006/relationships/hyperlink" Target="https://www.sigvaris.com/fr-fr/catalogue/marques/sigvaris/styles/transparent-bas-de-contention-bas" TargetMode="External"/></Relationships>
</file>

<file path=xl/worksheets/_rels/sheet16.xml.rels><?xml version="1.0" encoding="UTF-8" standalone="yes"?>
<Relationships xmlns="http://schemas.openxmlformats.org/package/2006/relationships"><Relationship Id="rId13" Type="http://schemas.openxmlformats.org/officeDocument/2006/relationships/hyperlink" Target="https://handicat.com/at-num-29734.html" TargetMode="External"/><Relationship Id="rId18" Type="http://schemas.openxmlformats.org/officeDocument/2006/relationships/hyperlink" Target="https://www.voelker.de/fileadmin/dokumente/en/Downloads/Brochures/FR_Brochure_Lits_medicalises.pdf" TargetMode="External"/><Relationship Id="rId26" Type="http://schemas.openxmlformats.org/officeDocument/2006/relationships/hyperlink" Target="https://handicat.com/docs/20060doc.pdf" TargetMode="External"/><Relationship Id="rId3" Type="http://schemas.openxmlformats.org/officeDocument/2006/relationships/hyperlink" Target="https://drees.solidarites-sante.gouv.fr/sites/default/files/panorama/telechargement.htm" TargetMode="External"/><Relationship Id="rId21" Type="http://schemas.openxmlformats.org/officeDocument/2006/relationships/hyperlink" Target="https://handicat.com/docs/28771docb.pdf" TargetMode="External"/><Relationship Id="rId34" Type="http://schemas.openxmlformats.org/officeDocument/2006/relationships/printerSettings" Target="../printerSettings/printerSettings16.bin"/><Relationship Id="rId7" Type="http://schemas.openxmlformats.org/officeDocument/2006/relationships/hyperlink" Target="https://handicat.com/at-num-20282.html" TargetMode="External"/><Relationship Id="rId12" Type="http://schemas.openxmlformats.org/officeDocument/2006/relationships/hyperlink" Target="https://handicat.com/at-num-26208.html" TargetMode="External"/><Relationship Id="rId17" Type="http://schemas.openxmlformats.org/officeDocument/2006/relationships/hyperlink" Target="https://www.medicalexpo.fr/prod/karman-healthcare/product-122512-863434.html" TargetMode="External"/><Relationship Id="rId25" Type="http://schemas.openxmlformats.org/officeDocument/2006/relationships/hyperlink" Target="https://www.invacare.fr/fr/fauteuil-electrique-scooter-alber/scooter-electrique-handicape/scooter-senior-invacare-leo" TargetMode="External"/><Relationship Id="rId33" Type="http://schemas.openxmlformats.org/officeDocument/2006/relationships/hyperlink" Target="http://dspace.lagh-univ.dz/server/api/core/bitstreams/237f99f4-2de5-402b-be51-3deb697e03e6/content" TargetMode="External"/><Relationship Id="rId2" Type="http://schemas.openxmlformats.org/officeDocument/2006/relationships/hyperlink" Target="https://drees.solidarites-sante.gouv.fr/sites/default/files/panorama/telechargement.htm" TargetMode="External"/><Relationship Id="rId16" Type="http://schemas.openxmlformats.org/officeDocument/2006/relationships/hyperlink" Target="https://www.medicalexpo.fr/prod/chinesport/product-68032-1138682.html" TargetMode="External"/><Relationship Id="rId20" Type="http://schemas.openxmlformats.org/officeDocument/2006/relationships/hyperlink" Target="https://www.hellopro.fr/lit-medicalise-releveur-formidable-echo-2007180-8078051-produit.html" TargetMode="External"/><Relationship Id="rId29" Type="http://schemas.openxmlformats.org/officeDocument/2006/relationships/hyperlink" Target="https://www.atpmservices.com/mobilite/cannes-anglaises-avec-appui-brachial-reglable-429.html?srsltid=AfmBOorJRWCI_2saR7edOQxc5k0qPgQPCoHLtIYByZiiaPV6BDZ-LGbk" TargetMode="External"/><Relationship Id="rId1" Type="http://schemas.openxmlformats.org/officeDocument/2006/relationships/hyperlink" Target="https://drees.solidarites-sante.gouv.fr/sites/default/files/2023-12/ER1289.pdf" TargetMode="External"/><Relationship Id="rId6" Type="http://schemas.openxmlformats.org/officeDocument/2006/relationships/hyperlink" Target="https://anfe.fr/wp-content/uploads/2024/03/Prefiguration-Filiere-REP-Aides-Techniques-Synthese-2024.pdf" TargetMode="External"/><Relationship Id="rId11" Type="http://schemas.openxmlformats.org/officeDocument/2006/relationships/hyperlink" Target="https://handicat.com/at-num-30648.html" TargetMode="External"/><Relationship Id="rId24" Type="http://schemas.openxmlformats.org/officeDocument/2006/relationships/hyperlink" Target="https://www.invacare.fr/fr/fauteuil-electrique-scooter-alber/scooter-electrique-handicape/scooter-senior-invacare-leo" TargetMode="External"/><Relationship Id="rId32" Type="http://schemas.openxmlformats.org/officeDocument/2006/relationships/hyperlink" Target="http://www.codage.ext.cnamts.fr/cgi/tips/cgi-fiche?p_code_tips=1202473&amp;p_date_jo_arrete=%25&amp;p_menu=FICHE&amp;p_site=AMELI" TargetMode="External"/><Relationship Id="rId5" Type="http://schemas.openxmlformats.org/officeDocument/2006/relationships/hyperlink" Target="https://anfe.fr/wp-content/uploads/2024/03/Prefiguration-Filiere-REP-Aides-Techniques-Synthese-2024.pdf" TargetMode="External"/><Relationship Id="rId15" Type="http://schemas.openxmlformats.org/officeDocument/2006/relationships/hyperlink" Target="https://www.medicalexpo.fr/prod/drive-devilbiss-usa/product-89641-1129528.html" TargetMode="External"/><Relationship Id="rId23" Type="http://schemas.openxmlformats.org/officeDocument/2006/relationships/hyperlink" Target="https://www.tousergo.com/fauteuil-roulant/12785-fauteuil-coquille-releveur-starlev.html" TargetMode="External"/><Relationship Id="rId28" Type="http://schemas.openxmlformats.org/officeDocument/2006/relationships/hyperlink" Target="https://handicat.com/docs/19566doc.pdf" TargetMode="External"/><Relationship Id="rId10" Type="http://schemas.openxmlformats.org/officeDocument/2006/relationships/hyperlink" Target="https://handicat.com/at-num-22975.html" TargetMode="External"/><Relationship Id="rId19" Type="http://schemas.openxmlformats.org/officeDocument/2006/relationships/hyperlink" Target="https://be.thuasne.com/sites/thuasne_be/files/imports/notice_HAYDN.pdf" TargetMode="External"/><Relationship Id="rId31" Type="http://schemas.openxmlformats.org/officeDocument/2006/relationships/hyperlink" Target="https://www.universsante-catalogue.com/canne-metal-poignee-derby-cashmere-pastel-herdegen-28044.html" TargetMode="External"/><Relationship Id="rId4" Type="http://schemas.openxmlformats.org/officeDocument/2006/relationships/hyperlink" Target="https://drees.solidarites-sante.gouv.fr/sites/default/files/panorama/telechargement.htm" TargetMode="External"/><Relationship Id="rId9" Type="http://schemas.openxmlformats.org/officeDocument/2006/relationships/hyperlink" Target="https://handicat.com/at-num-30090.html" TargetMode="External"/><Relationship Id="rId14" Type="http://schemas.openxmlformats.org/officeDocument/2006/relationships/hyperlink" Target="https://handicat.com/at-num-14297.html" TargetMode="External"/><Relationship Id="rId22" Type="http://schemas.openxmlformats.org/officeDocument/2006/relationships/hyperlink" Target="https://www.jeanneetjean.fr/fauteuils-coquilles-et-accessoires/liberty-ii-manuel.html" TargetMode="External"/><Relationship Id="rId27" Type="http://schemas.openxmlformats.org/officeDocument/2006/relationships/hyperlink" Target="https://handicat.com/docs/19466doc.pdf" TargetMode="External"/><Relationship Id="rId30" Type="http://schemas.openxmlformats.org/officeDocument/2006/relationships/hyperlink" Target="https://pharmacie-alliance.toopharma.com/produit/canne-anglaise-style-bi-matiere-bleu-hms-vilgo-29877?srsltid=AfmBOoo6vMpax27YlZ7zDnMfDXzewUtveYDwBtClo57Dxpfy5roO5g1f" TargetMode="External"/><Relationship Id="rId35" Type="http://schemas.openxmlformats.org/officeDocument/2006/relationships/drawing" Target="../drawings/drawing14.xml"/><Relationship Id="rId8" Type="http://schemas.openxmlformats.org/officeDocument/2006/relationships/hyperlink" Target="https://handicat.com/at-num-29472.html" TargetMode="External"/></Relationships>
</file>

<file path=xl/worksheets/_rels/sheet17.xml.rels><?xml version="1.0" encoding="UTF-8" standalone="yes"?>
<Relationships xmlns="http://schemas.openxmlformats.org/package/2006/relationships"><Relationship Id="rId13" Type="http://schemas.openxmlformats.org/officeDocument/2006/relationships/hyperlink" Target="https://cdn0.scrvt.com/39b415fb07de4d9656c7b516d8e2d907/1800000007020056/38fc15b1a059/ct_somatom_go_top_epd_final_1800000007020056.pdf" TargetMode="External"/><Relationship Id="rId18" Type="http://schemas.openxmlformats.org/officeDocument/2006/relationships/hyperlink" Target="https://marketing.webassets.siemens-healthineers.com/c643bcfe921c1f5b/de1d22957be1/SOMATOM-Drive-Environmental-Product-Declaration.PDF" TargetMode="External"/><Relationship Id="rId26" Type="http://schemas.openxmlformats.org/officeDocument/2006/relationships/hyperlink" Target="https://storage.mtender.gov.md/get/28ce0eca-6f6a-4634-a81e-6abad1c7dcad-1585724394764" TargetMode="External"/><Relationship Id="rId39" Type="http://schemas.openxmlformats.org/officeDocument/2006/relationships/hyperlink" Target="https://cdn0.scrvt.com/39b415fb07de4d9656c7b516d8e2d907/1800000007020056/38fc15b1a059/ct_somatom_go_top_epd_final_1800000007020056.pdf" TargetMode="External"/><Relationship Id="rId21" Type="http://schemas.openxmlformats.org/officeDocument/2006/relationships/hyperlink" Target="https://marketing.webassets.siemens-healthineers.com/1800000000934423/cafafdd844ed/AX_Siemens_Artis_Q_EPD_125600505_2_1800000000934423.pdf" TargetMode="External"/><Relationship Id="rId34" Type="http://schemas.openxmlformats.org/officeDocument/2006/relationships/hyperlink" Target="https://fnmr.fr/wp-content/uploads/2023/06/FNMR-Imagerie-medicale-Un-atout-pour-la-sante-un-atout-pour-economie-2023.pdf" TargetMode="External"/><Relationship Id="rId42" Type="http://schemas.openxmlformats.org/officeDocument/2006/relationships/hyperlink" Target="https://marketing.webassets.siemens-healthineers.com/0eb8bdd88a7d1cf8/20257d43cb15/SOMATOM-Pro.Pulse-Environment-Product-Declaration.PDF" TargetMode="External"/><Relationship Id="rId47" Type="http://schemas.openxmlformats.org/officeDocument/2006/relationships/hyperlink" Target="https://marketing.webassets.siemens-healthineers.com/1800000000934423/cafafdd844ed/AX_Siemens_Artis_Q_EPD_125600505_2_1800000000934423.pdf" TargetMode="External"/><Relationship Id="rId50" Type="http://schemas.openxmlformats.org/officeDocument/2006/relationships/hyperlink" Target="https://cdn0.scrvt.com/39b415fb07de4d9656c7b516d8e2d907/1800000001114614/8cb1fac3d98d/siemens-healthineers-Magnetom_Prisma_EnvironmentalProductDeclaration.pdf" TargetMode="External"/><Relationship Id="rId55" Type="http://schemas.openxmlformats.org/officeDocument/2006/relationships/hyperlink" Target="https://fnmr.fr/wp-content/uploads/2022/01/FNMR-Livre-Blanc-de-limagerie-medicale-en-France-1.pdf" TargetMode="External"/><Relationship Id="rId7" Type="http://schemas.openxmlformats.org/officeDocument/2006/relationships/hyperlink" Target="https://www.thelancet.com/action/showPdf?pii=S2666-6065%2822%2900074-8" TargetMode="External"/><Relationship Id="rId2" Type="http://schemas.openxmlformats.org/officeDocument/2006/relationships/hyperlink" Target="https://drees.solidarites-sante.gouv.fr/sites/default/files/2022-07/Fiche%2020%20-%20L%E2%80%99%C3%A9quipement%20en%20imagerie%20des%20%C3%A9tablissements%20de%20sant%C3%A9%20publics%20et%20priv%C3%A9s%20%C3%A0%20but%20non%20lucratif.pdf" TargetMode="External"/><Relationship Id="rId16" Type="http://schemas.openxmlformats.org/officeDocument/2006/relationships/hyperlink" Target="https://marketing.webassets.siemens-healthineers.com/0eb8bdd88a7d1cf8/20257d43cb15/SOMATOM-Pro.Pulse-Environment-Product-Declaration.PDF" TargetMode="External"/><Relationship Id="rId29" Type="http://schemas.openxmlformats.org/officeDocument/2006/relationships/hyperlink" Target="https://www.tarifdouanier.eu/2024/9022" TargetMode="External"/><Relationship Id="rId11" Type="http://schemas.openxmlformats.org/officeDocument/2006/relationships/hyperlink" Target="https://www.tarifdouanier.eu/2024/9022" TargetMode="External"/><Relationship Id="rId24" Type="http://schemas.openxmlformats.org/officeDocument/2006/relationships/hyperlink" Target="https://cdn0.scrvt.com/39b415fb07de4d9656c7b516d8e2d907/1800000001114614/8cb1fac3d98d/siemens-healthineers-Magnetom_Prisma_EnvironmentalProductDeclaration.pdf" TargetMode="External"/><Relationship Id="rId32" Type="http://schemas.openxmlformats.org/officeDocument/2006/relationships/hyperlink" Target="http://www.ch-martigues.fr/fileadmin/user_upload/CHM_MAINTENANCE_ECHO_-_19.pdf" TargetMode="External"/><Relationship Id="rId37" Type="http://schemas.openxmlformats.org/officeDocument/2006/relationships/hyperlink" Target="https://sante.gouv.fr/IMG/pdf/ondps_nov_2021_rapport_la_demographie_des_chirurgiens-dentistes_etat_des_lieux_et_perspectives_web.pdf" TargetMode="External"/><Relationship Id="rId40" Type="http://schemas.openxmlformats.org/officeDocument/2006/relationships/hyperlink" Target="https://www.diagnostikaproionta.gr/wp-content/uploads/2021/09/9080_US_ACUSON_NX2_EPD_brochure__1800000007387316.pdf" TargetMode="External"/><Relationship Id="rId45" Type="http://schemas.openxmlformats.org/officeDocument/2006/relationships/hyperlink" Target="https://marketing.webassets.siemens-healthineers.com/1800000000269017/e939e1ed1ac6/MRI-Biograph-mMR-EPD_1800000000269017.pdf" TargetMode="External"/><Relationship Id="rId53" Type="http://schemas.openxmlformats.org/officeDocument/2006/relationships/hyperlink" Target="https://marketing.webassets.siemens-healthineers.com/1800000006278815/1bc4d349c15d/MI_SPECT_Intevo-epd_apr-19_1800000006278815.pdf" TargetMode="External"/><Relationship Id="rId58" Type="http://schemas.openxmlformats.org/officeDocument/2006/relationships/printerSettings" Target="../printerSettings/printerSettings17.bin"/><Relationship Id="rId5" Type="http://schemas.openxmlformats.org/officeDocument/2006/relationships/hyperlink" Target="https://www.dentaltix.com/fr/morita/veraview-ic5-hd-equipement-de-radiographie-panoramique" TargetMode="External"/><Relationship Id="rId61" Type="http://schemas.openxmlformats.org/officeDocument/2006/relationships/comments" Target="../comments3.xml"/><Relationship Id="rId19" Type="http://schemas.openxmlformats.org/officeDocument/2006/relationships/hyperlink" Target="https://marketing.webassets.siemens-healthineers.com/1800000000269017/e939e1ed1ac6/MRI-Biograph-mMR-EPD_1800000000269017.pdf" TargetMode="External"/><Relationship Id="rId14" Type="http://schemas.openxmlformats.org/officeDocument/2006/relationships/hyperlink" Target="https://www.diagnostikaproionta.gr/wp-content/uploads/2021/09/9080_US_ACUSON_NX2_EPD_brochure__1800000007387316.pdf" TargetMode="External"/><Relationship Id="rId22" Type="http://schemas.openxmlformats.org/officeDocument/2006/relationships/hyperlink" Target="https://cdn0.scrvt.com/39b415fb07de4d9656c7b516d8e2d907/1800000007344914/20ff121028df/MR_EPD_Broschuere_MAGNETOM_VidaFit_Final_1800000007344914.pdf" TargetMode="External"/><Relationship Id="rId27" Type="http://schemas.openxmlformats.org/officeDocument/2006/relationships/hyperlink" Target="https://marketing.webassets.siemens-healthineers.com/1800000006278815/1bc4d349c15d/MI_SPECT_Intevo-epd_apr-19_1800000006278815.pdf" TargetMode="External"/><Relationship Id="rId30" Type="http://schemas.openxmlformats.org/officeDocument/2006/relationships/hyperlink" Target="https://www.tarifdouanier.eu/2024/9022" TargetMode="External"/><Relationship Id="rId35" Type="http://schemas.openxmlformats.org/officeDocument/2006/relationships/hyperlink" Target="https://www.irsn.fr/sites/default/files/documents/expertise/rapports_expertise/IRSN-PSE-SANTE-SER-2018-00002-Parc-Scanners.pdf" TargetMode="External"/><Relationship Id="rId43" Type="http://schemas.openxmlformats.org/officeDocument/2006/relationships/hyperlink" Target="https://marketing.webassets.siemens-healthineers.com/af4273f6bf7a4704/7999446ca7a7/SOMATOM-Force-Environmental-Product-Declaration.PDF" TargetMode="External"/><Relationship Id="rId48" Type="http://schemas.openxmlformats.org/officeDocument/2006/relationships/hyperlink" Target="https://cdn0.scrvt.com/39b415fb07de4d9656c7b516d8e2d907/1800000007344914/20ff121028df/MR_EPD_Broschuere_MAGNETOM_VidaFit_Final_1800000007344914.pdf" TargetMode="External"/><Relationship Id="rId56" Type="http://schemas.openxmlformats.org/officeDocument/2006/relationships/hyperlink" Target="https://www.philips.com/c-dam/corporate/about-philips/sustainability/downloads/ecovision-methodologies/epl-methodology.pdf" TargetMode="External"/><Relationship Id="rId8" Type="http://schemas.openxmlformats.org/officeDocument/2006/relationships/hyperlink" Target="https://ajronline.org/doi/10.2214/AJR.24.30988" TargetMode="External"/><Relationship Id="rId51" Type="http://schemas.openxmlformats.org/officeDocument/2006/relationships/hyperlink" Target="https://www.hospitalstore.com/index.php?dispatch=attachments.getfile&amp;attachment_id=6801&amp;srsltid=AfmBOorEdmWv-OM_yude0NurtbSH4pSWf85Wm-Lf_WfrYhbAjaIPFnWL" TargetMode="External"/><Relationship Id="rId3" Type="http://schemas.openxmlformats.org/officeDocument/2006/relationships/hyperlink" Target="https://www.ch-havre.fr/notre-offre-de-soins/innovation-et-tecnologie-de-pointe/" TargetMode="External"/><Relationship Id="rId12" Type="http://schemas.openxmlformats.org/officeDocument/2006/relationships/hyperlink" Target="https://cdn0.scrvt.com/39b415fb07de4d9656c7b516d8e2d907/6f1b3a60a0129031/05cde7035f3f/CT-SOMATOM-X_ceed-EPD.PDF" TargetMode="External"/><Relationship Id="rId17" Type="http://schemas.openxmlformats.org/officeDocument/2006/relationships/hyperlink" Target="https://marketing.webassets.siemens-healthineers.com/af4273f6bf7a4704/7999446ca7a7/SOMATOM-Force-Environmental-Product-Declaration.PDF" TargetMode="External"/><Relationship Id="rId25" Type="http://schemas.openxmlformats.org/officeDocument/2006/relationships/hyperlink" Target="https://www.hospitalstore.com/index.php?dispatch=attachments.getfile&amp;attachment_id=6801&amp;srsltid=AfmBOorEdmWv-OM_yude0NurtbSH4pSWf85Wm-Lf_WfrYhbAjaIPFnWL" TargetMode="External"/><Relationship Id="rId33" Type="http://schemas.openxmlformats.org/officeDocument/2006/relationships/hyperlink" Target="https://www.chu-dijon.fr/sites/default/files/pdf/Chiffres-cl%C3%A9s%202023.pdf" TargetMode="External"/><Relationship Id="rId38" Type="http://schemas.openxmlformats.org/officeDocument/2006/relationships/hyperlink" Target="https://cdn0.scrvt.com/39b415fb07de4d9656c7b516d8e2d907/6f1b3a60a0129031/05cde7035f3f/CT-SOMATOM-X_ceed-EPD.PDF" TargetMode="External"/><Relationship Id="rId46" Type="http://schemas.openxmlformats.org/officeDocument/2006/relationships/hyperlink" Target="https://marketing.webassets.siemens-healthineers.com/1800000000079271/8dbd28b3210d/MRI-MAGNETOM-ESSENZA-Environmental_product_declaration_1800000000079271.pdf" TargetMode="External"/><Relationship Id="rId59" Type="http://schemas.openxmlformats.org/officeDocument/2006/relationships/drawing" Target="../drawings/drawing15.xml"/><Relationship Id="rId20" Type="http://schemas.openxmlformats.org/officeDocument/2006/relationships/hyperlink" Target="https://marketing.webassets.siemens-healthineers.com/1800000000079271/8dbd28b3210d/MRI-MAGNETOM-ESSENZA-Environmental_product_declaration_1800000000079271.pdf" TargetMode="External"/><Relationship Id="rId41" Type="http://schemas.openxmlformats.org/officeDocument/2006/relationships/hyperlink" Target="https://www.diagnostikaproionta.gr/wp-content/uploads/2021/09/ACUSON-NX3-EPD-Environmental-Brochure.pdf" TargetMode="External"/><Relationship Id="rId54" Type="http://schemas.openxmlformats.org/officeDocument/2006/relationships/hyperlink" Target="https://tovamed.com/TOVAMED-Catalogue-2018.pdf" TargetMode="External"/><Relationship Id="rId1" Type="http://schemas.openxmlformats.org/officeDocument/2006/relationships/hyperlink" Target="https://www.data.gouv.fr/fr/datasets/equipements-et-materiels-lourds-mis-en-oeuvre-au-sein-des-structures-finess-t-eml-finess/" TargetMode="External"/><Relationship Id="rId6" Type="http://schemas.openxmlformats.org/officeDocument/2006/relationships/hyperlink" Target="https://www.thelancet.com/action/showPdf?pii=S2666-6065%2822%2900074-8" TargetMode="External"/><Relationship Id="rId15" Type="http://schemas.openxmlformats.org/officeDocument/2006/relationships/hyperlink" Target="https://www.diagnostikaproionta.gr/wp-content/uploads/2021/09/ACUSON-NX3-EPD-Environmental-Brochure.pdf" TargetMode="External"/><Relationship Id="rId23" Type="http://schemas.openxmlformats.org/officeDocument/2006/relationships/hyperlink" Target="https://marketing.webassets.siemens-healthineers.com/1800000007261406/3a17086faaaf/6863_us_acuson_juniper_epd_final_hood05162002999345-06201053_v2_newbrand_1800000007261406.pdf" TargetMode="External"/><Relationship Id="rId28" Type="http://schemas.openxmlformats.org/officeDocument/2006/relationships/hyperlink" Target="https://www.tarifdouanier.eu/2024/9022" TargetMode="External"/><Relationship Id="rId36" Type="http://schemas.openxmlformats.org/officeDocument/2006/relationships/hyperlink" Target="https://dumas.ccsd.cnrs.fr/dumas-04716188v1/document" TargetMode="External"/><Relationship Id="rId49" Type="http://schemas.openxmlformats.org/officeDocument/2006/relationships/hyperlink" Target="https://marketing.webassets.siemens-healthineers.com/1800000007261406/3a17086faaaf/6863_us_acuson_juniper_epd_final_hood05162002999345-06201053_v2_newbrand_1800000007261406.pdf" TargetMode="External"/><Relationship Id="rId57" Type="http://schemas.openxmlformats.org/officeDocument/2006/relationships/hyperlink" Target="https://www.philips.com/c-dam/corporate/about-philips/sustainability/downloads/ecovision-methodologies/epl-methodology.pdf" TargetMode="External"/><Relationship Id="rId10" Type="http://schemas.openxmlformats.org/officeDocument/2006/relationships/hyperlink" Target="https://betterbuildingssolutioncenter.energy.gov/sites/default/files/Medical%20Imaging%20Equipment%20Energy%20Efficiency.pdf" TargetMode="External"/><Relationship Id="rId31" Type="http://schemas.openxmlformats.org/officeDocument/2006/relationships/hyperlink" Target="https://www.utc.fr/tsibh/public/3abih/11/pi/groupe5/index.html" TargetMode="External"/><Relationship Id="rId44" Type="http://schemas.openxmlformats.org/officeDocument/2006/relationships/hyperlink" Target="https://marketing.webassets.siemens-healthineers.com/c643bcfe921c1f5b/de1d22957be1/SOMATOM-Drive-Environmental-Product-Declaration.PDF" TargetMode="External"/><Relationship Id="rId52" Type="http://schemas.openxmlformats.org/officeDocument/2006/relationships/hyperlink" Target="https://storage.mtender.gov.md/get/28ce0eca-6f6a-4634-a81e-6abad1c7dcad-1585724394764" TargetMode="External"/><Relationship Id="rId60" Type="http://schemas.openxmlformats.org/officeDocument/2006/relationships/vmlDrawing" Target="../drawings/vmlDrawing3.vml"/><Relationship Id="rId4" Type="http://schemas.openxmlformats.org/officeDocument/2006/relationships/hyperlink" Target="https://www.atih.sante.fr/sites/default/files/public/content/4482/202210_aah2021_mco.pdf" TargetMode="External"/><Relationship Id="rId9" Type="http://schemas.openxmlformats.org/officeDocument/2006/relationships/hyperlink" Target="https://ajronline.org/doi/10.2214/AJR.24.30988" TargetMode="External"/></Relationships>
</file>

<file path=xl/worksheets/_rels/sheet18.xml.rels><?xml version="1.0" encoding="UTF-8" standalone="yes"?>
<Relationships xmlns="http://schemas.openxmlformats.org/package/2006/relationships"><Relationship Id="rId8" Type="http://schemas.openxmlformats.org/officeDocument/2006/relationships/hyperlink" Target="https://www.has-sante.fr/upload/docs/evamed/CNEDIMTS-7066_DREAMSTATION_BIPAP_AUTOSV_27%20juin%202023_7066_avis.pdf" TargetMode="External"/><Relationship Id="rId13" Type="http://schemas.openxmlformats.org/officeDocument/2006/relationships/hyperlink" Target="https://ca.healthcare.airliquide.com/sites/alh_ca/files/2022-08/carie-hi-flow-stroller-brochure.pdf" TargetMode="External"/><Relationship Id="rId18" Type="http://schemas.openxmlformats.org/officeDocument/2006/relationships/hyperlink" Target="https://www.has-sante.fr/upload/docs/evamed/CNEDIMTS-7066_DREAMSTATION_BIPAP_AUTOSV_27%20juin%202023_7066_avis.pdf" TargetMode="External"/><Relationship Id="rId26" Type="http://schemas.openxmlformats.org/officeDocument/2006/relationships/drawing" Target="../drawings/drawing16.xml"/><Relationship Id="rId3" Type="http://schemas.openxmlformats.org/officeDocument/2006/relationships/hyperlink" Target="https://www.cpap-store.fr/produit/airsense-11-avec-humidificateur-ppc-resmed/" TargetMode="External"/><Relationship Id="rId21" Type="http://schemas.openxmlformats.org/officeDocument/2006/relationships/hyperlink" Target="https://fr.medicaldevice.airliquide.com/sites/alms_fr/files/2022-07/brochure-eovetm-70.pdf" TargetMode="External"/><Relationship Id="rId7" Type="http://schemas.openxmlformats.org/officeDocument/2006/relationships/hyperlink" Target="https://document.resmed.com/documents/products/machine/lumis-hft/user-guide/lumis-hft_user-guide_eur1_mul.pdf" TargetMode="External"/><Relationship Id="rId12" Type="http://schemas.openxmlformats.org/officeDocument/2006/relationships/hyperlink" Target="https://ca.healthcare.airliquide.com/sites/alh_ca/files/2022-08/caire-liberator-brochure.pdf" TargetMode="External"/><Relationship Id="rId17" Type="http://schemas.openxmlformats.org/officeDocument/2006/relationships/hyperlink" Target="https://ca.healthcare.airliquide.com/sites/alh_ca/files/2022-08/caire-liberator-brochure.pdf" TargetMode="External"/><Relationship Id="rId25" Type="http://schemas.openxmlformats.org/officeDocument/2006/relationships/printerSettings" Target="../printerSettings/printerSettings18.bin"/><Relationship Id="rId2" Type="http://schemas.openxmlformats.org/officeDocument/2006/relationships/hyperlink" Target="https://www.has-sante.fr/upload/docs/application/pdf/2013-01/rapport_oxygenotherapie.pdf" TargetMode="External"/><Relationship Id="rId16" Type="http://schemas.openxmlformats.org/officeDocument/2006/relationships/hyperlink" Target="https://ca.healthcare.airliquide.com/sites/alh_ca/files/2022-08/caire-sprint-stroller-brochure.pdf" TargetMode="External"/><Relationship Id="rId20" Type="http://schemas.openxmlformats.org/officeDocument/2006/relationships/hyperlink" Target="https://www.oxycare.eu/fr/soins-respiratoires/secretolyse/kalos-assistant-de-toux/?srsltid=AfmBOorJP6gZp4sRDQvfTIHq0Gv-abkO-kFcl0D7xbtlP0aXEXiXGwMB" TargetMode="External"/><Relationship Id="rId1" Type="http://schemas.openxmlformats.org/officeDocument/2006/relationships/hyperlink" Target="https://document.resmed.com/documents/products/machine/lumis-series/user-guide/lumis-st_user-guide_fre_fre.pdf" TargetMode="External"/><Relationship Id="rId6" Type="http://schemas.openxmlformats.org/officeDocument/2006/relationships/hyperlink" Target="https://document.resmed.com/documents/products/machine/stellar-series/user-guide/stellar-100-150_user-guide_fre_fre.pdf" TargetMode="External"/><Relationship Id="rId11" Type="http://schemas.openxmlformats.org/officeDocument/2006/relationships/hyperlink" Target="https://www.oxycare.eu/fr/oxygene/concentrateurs-oxygene-mobile/inogen-rove6-8-cellules-batterie-1/?gad_source=1&amp;gclid=Cj0KCQiA6Ou5BhCrARIsAPoTxrB_ymDTMo1m1yExyAbrGbpwd6G5w6bPEz2Mnc4I_2iaoW3lmfq7SzgaAo32EALw_wcB" TargetMode="External"/><Relationship Id="rId24" Type="http://schemas.openxmlformats.org/officeDocument/2006/relationships/hyperlink" Target="https://www.prestataire-de-sante.fr/le-traitement-par-pression-positive-continue-ppc" TargetMode="External"/><Relationship Id="rId5" Type="http://schemas.openxmlformats.org/officeDocument/2006/relationships/hyperlink" Target="https://document.resmed.com/documents/products/machine/lumis-series/user-guide/lumis-st_user-guide_fre_fre.pdf" TargetMode="External"/><Relationship Id="rId15" Type="http://schemas.openxmlformats.org/officeDocument/2006/relationships/hyperlink" Target="https://ca.healthcare.airliquide.com/sites/alh_ca/files/2022-08/caire-sprint-stroller-brochure.pdf" TargetMode="External"/><Relationship Id="rId23" Type="http://schemas.openxmlformats.org/officeDocument/2006/relationships/hyperlink" Target="https://www.resmed.fr/produits/traitement-apnee-sommeil/appareils/airsense-10-elite/" TargetMode="External"/><Relationship Id="rId28" Type="http://schemas.openxmlformats.org/officeDocument/2006/relationships/comments" Target="../comments4.xml"/><Relationship Id="rId10" Type="http://schemas.openxmlformats.org/officeDocument/2006/relationships/hyperlink" Target="https://www.has-sante.fr/upload/docs/application/pdf/2013-01/rapport_oxygenotherapie.pdf" TargetMode="External"/><Relationship Id="rId19" Type="http://schemas.openxmlformats.org/officeDocument/2006/relationships/hyperlink" Target="https://www.mediflux.fr/produit/aide-a-la-toux-in-exsufflateur-avec-mode-percussion-comfortcough-ii/" TargetMode="External"/><Relationship Id="rId4" Type="http://schemas.openxmlformats.org/officeDocument/2006/relationships/hyperlink" Target="https://www.resmed.fr/produits/traitement-apnee-sommeil/appareils/airsense-10-elite/" TargetMode="External"/><Relationship Id="rId9" Type="http://schemas.openxmlformats.org/officeDocument/2006/relationships/hyperlink" Target="https://www.humanairmedical.com/produits/concentrateurs-d-o2-portables-68.html" TargetMode="External"/><Relationship Id="rId14" Type="http://schemas.openxmlformats.org/officeDocument/2006/relationships/hyperlink" Target="https://www.has-sante.fr/upload/docs/application/pdf/2013-01/rapport_oxygenotherapie.pdf" TargetMode="External"/><Relationship Id="rId22" Type="http://schemas.openxmlformats.org/officeDocument/2006/relationships/hyperlink" Target="https://document.resmed.com/documents/products/machine/airsense-series/user-guide/airsense10-autoset-elite_user-guide_eur4_mul.pdf" TargetMode="External"/><Relationship Id="rId27" Type="http://schemas.openxmlformats.org/officeDocument/2006/relationships/vmlDrawing" Target="../drawings/vmlDrawing4.vml"/></Relationships>
</file>

<file path=xl/worksheets/_rels/sheet19.xml.rels><?xml version="1.0" encoding="UTF-8" standalone="yes"?>
<Relationships xmlns="http://schemas.openxmlformats.org/package/2006/relationships"><Relationship Id="rId8" Type="http://schemas.openxmlformats.org/officeDocument/2006/relationships/hyperlink" Target="https://www.defibrillateur-erp.com/blog/les-dae-ont-ils-une-duree-de-vie--n34?utm_source=chatgpt.com" TargetMode="External"/><Relationship Id="rId13" Type="http://schemas.openxmlformats.org/officeDocument/2006/relationships/hyperlink" Target="https://www.ulb-cooperation.org/wp-content/uploads/2023/03/pousse-seringue-electrique-procedure-de-maintenance-preventive.pdf" TargetMode="External"/><Relationship Id="rId18" Type="http://schemas.openxmlformats.org/officeDocument/2006/relationships/comments" Target="../comments5.xml"/><Relationship Id="rId3" Type="http://schemas.openxmlformats.org/officeDocument/2006/relationships/hyperlink" Target="https://www.draeger.com/Content/Documents/Products/savina-300-niv-pi-9110735-fr-fr.pdf" TargetMode="External"/><Relationship Id="rId7" Type="http://schemas.openxmlformats.org/officeDocument/2006/relationships/hyperlink" Target="https://www.senat.fr/questions/base/2024/qSEQ240612127.html" TargetMode="External"/><Relationship Id="rId12" Type="http://schemas.openxmlformats.org/officeDocument/2006/relationships/hyperlink" Target="https://www.fresenius-kabi.com/content/dam/fresenius-kabi/ch/documents/Gebrauchsanweisungen/Applix%20Smart%20Gebrauchsanweisung/Applix_Smart_Notice_utilisation.pdf" TargetMode="External"/><Relationship Id="rId17" Type="http://schemas.openxmlformats.org/officeDocument/2006/relationships/vmlDrawing" Target="../drawings/vmlDrawing5.vml"/><Relationship Id="rId2" Type="http://schemas.openxmlformats.org/officeDocument/2006/relationships/hyperlink" Target="https://www.nephrohug.ch/2017/04/10/hemodialyse-ecologie-quel-impact-sur-notre-environnement/" TargetMode="External"/><Relationship Id="rId16" Type="http://schemas.openxmlformats.org/officeDocument/2006/relationships/drawing" Target="../drawings/drawing17.xml"/><Relationship Id="rId1" Type="http://schemas.openxmlformats.org/officeDocument/2006/relationships/hyperlink" Target="https://afib.asso.fr/details/articles/retour-sur-enquete-afib-menee-par-a-faire-ecossytem" TargetMode="External"/><Relationship Id="rId6" Type="http://schemas.openxmlformats.org/officeDocument/2006/relationships/hyperlink" Target="https://www.arlod.fr/medias/files/la-maintenance-des-de-fibrillateurs-pour-circodef.pdf" TargetMode="External"/><Relationship Id="rId11" Type="http://schemas.openxmlformats.org/officeDocument/2006/relationships/hyperlink" Target="https://drees.solidarites-sante.gouv.fr/sites/default/files/2024-09/ES24MAJ260924.pdf" TargetMode="External"/><Relationship Id="rId5" Type="http://schemas.openxmlformats.org/officeDocument/2006/relationships/hyperlink" Target="https://profilab24.com/fr/laboratoire/materiel-de-nettoyage/laveur-desinfecteur-miele-pg-8536?utm_source=chatgpt.com" TargetMode="External"/><Relationship Id="rId15" Type="http://schemas.openxmlformats.org/officeDocument/2006/relationships/printerSettings" Target="../printerSettings/printerSettings19.bin"/><Relationship Id="rId10" Type="http://schemas.openxmlformats.org/officeDocument/2006/relationships/hyperlink" Target="https://drees.solidarites-sante.gouv.fr/sites/default/files/2024-10/ER1315EMB.pdf" TargetMode="External"/><Relationship Id="rId4" Type="http://schemas.openxmlformats.org/officeDocument/2006/relationships/hyperlink" Target="https://energieplus-lesite.be/evaluer/sterilisation4/Evaluer-l-efficacite-energetique/evaluer-les-energies-et-les-consommations-mises-en-jeu/?utm_source=chatgpt.com" TargetMode="External"/><Relationship Id="rId9" Type="http://schemas.openxmlformats.org/officeDocument/2006/relationships/hyperlink" Target="https://www.defibrillateurshop.fr/defisign-life-defibrillateur-semi-automatique.html" TargetMode="External"/><Relationship Id="rId14" Type="http://schemas.openxmlformats.org/officeDocument/2006/relationships/hyperlink" Target="https://www.ulb-cooperation.org/wp-content/uploads/2023/03/aspirateur-a-mucosites-procedure-de-maintenance-preventive.pdf" TargetMode="Externa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20.xml.rels><?xml version="1.0" encoding="UTF-8" standalone="yes"?>
<Relationships xmlns="http://schemas.openxmlformats.org/package/2006/relationships"><Relationship Id="rId3" Type="http://schemas.openxmlformats.org/officeDocument/2006/relationships/hyperlink" Target="../../../../../../../AppData/AppData/AppData/AppData/AppData/Downloads/QUENARDEL.pdf" TargetMode="External"/><Relationship Id="rId2" Type="http://schemas.openxmlformats.org/officeDocument/2006/relationships/hyperlink" Target="https://www.sciencedirect.com/science/article/pii/S1877056822001165?ref=pdf_download&amp;fr=RR-2&amp;rr=8e1f16301c13049e" TargetMode="External"/><Relationship Id="rId1" Type="http://schemas.openxmlformats.org/officeDocument/2006/relationships/hyperlink" Target="https://dumas.ccsd.cnrs.fr/dumas-03475076v1/document" TargetMode="External"/><Relationship Id="rId6" Type="http://schemas.openxmlformats.org/officeDocument/2006/relationships/drawing" Target="../drawings/drawing18.xml"/><Relationship Id="rId5" Type="http://schemas.openxmlformats.org/officeDocument/2006/relationships/printerSettings" Target="../printerSettings/printerSettings20.bin"/><Relationship Id="rId4" Type="http://schemas.openxmlformats.org/officeDocument/2006/relationships/hyperlink" Target="https://dumas.ccsd.cnrs.fr/dumas-03475076v1/document" TargetMode="External"/></Relationships>
</file>

<file path=xl/worksheets/_rels/sheet21.xml.rels><?xml version="1.0" encoding="UTF-8" standalone="yes"?>
<Relationships xmlns="http://schemas.openxmlformats.org/package/2006/relationships"><Relationship Id="rId3" Type="http://schemas.openxmlformats.org/officeDocument/2006/relationships/hyperlink" Target="https://www.businesscoot.com/fr/etude/le-marche-du-diagnostic-in-vitro-france" TargetMode="External"/><Relationship Id="rId7" Type="http://schemas.openxmlformats.org/officeDocument/2006/relationships/drawing" Target="../drawings/drawing19.xml"/><Relationship Id="rId2" Type="http://schemas.openxmlformats.org/officeDocument/2006/relationships/hyperlink" Target="https://www.xerfi.com/presentationetude/Le-marche-du-diagnostic-in-vitro_CHE13" TargetMode="External"/><Relationship Id="rId1" Type="http://schemas.openxmlformats.org/officeDocument/2006/relationships/hyperlink" Target="https://www.chu-rouen.fr/services/anatomie-et-cytologie-pathologiques/" TargetMode="External"/><Relationship Id="rId6" Type="http://schemas.openxmlformats.org/officeDocument/2006/relationships/printerSettings" Target="../printerSettings/printerSettings21.bin"/><Relationship Id="rId5" Type="http://schemas.openxmlformats.org/officeDocument/2006/relationships/hyperlink" Target="https://www.igf.finances.gouv.fr/files/live/sites/igf/files/contributed/Rapports%20de%20mission/2024/2023-M-106-03%20Rapport%20RDD-Dispositifs%20m%C3%A9dicaux.pdf" TargetMode="External"/><Relationship Id="rId4" Type="http://schemas.openxmlformats.org/officeDocument/2006/relationships/hyperlink" Target="https://www.biologiste365.fr/actualites/profession/lindustrie-du-diagnostic-in-vitro-en-france/" TargetMode="Externa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8" Type="http://schemas.openxmlformats.org/officeDocument/2006/relationships/hyperlink" Target="https://www.nutricia.fr/wp-content/uploads/2022/06/nutricia-fr_book-rse_rapport-d-impact-sn-france-2021.pdf" TargetMode="External"/><Relationship Id="rId3" Type="http://schemas.openxmlformats.org/officeDocument/2006/relationships/hyperlink" Target="https://www.vidal.fr/parapharmacie/fresubin-2kcal-drink-nutriment-cappuccino-94657.html" TargetMode="External"/><Relationship Id="rId7" Type="http://schemas.openxmlformats.org/officeDocument/2006/relationships/hyperlink" Target="https://agribalyse.ademe.fr/app/aliments/19054" TargetMode="External"/><Relationship Id="rId2" Type="http://schemas.openxmlformats.org/officeDocument/2006/relationships/hyperlink" Target="https://www.vidal.fr/parapharmacie/clinutren-boisson-sans-sucre-nutriment-cappuccino-245778.html" TargetMode="External"/><Relationship Id="rId1" Type="http://schemas.openxmlformats.org/officeDocument/2006/relationships/hyperlink" Target="https://www.vidal.fr/parapharmacie/delical-boisson-hp-hc-lactee-nutriment-nature-76114.html" TargetMode="External"/><Relationship Id="rId6" Type="http://schemas.openxmlformats.org/officeDocument/2006/relationships/hyperlink" Target="https://www.vidal.fr/parapharmacie/clinutren-renutryl-booster-nutriment-vanille-95505.html" TargetMode="External"/><Relationship Id="rId5" Type="http://schemas.openxmlformats.org/officeDocument/2006/relationships/hyperlink" Target="https://www.vidal.fr/parapharmacie/fortimel-protein-nutriment-banane-131184.html" TargetMode="External"/><Relationship Id="rId10" Type="http://schemas.openxmlformats.org/officeDocument/2006/relationships/drawing" Target="../drawings/drawing22.xml"/><Relationship Id="rId4" Type="http://schemas.openxmlformats.org/officeDocument/2006/relationships/hyperlink" Target="https://www.vidal.fr/parapharmacie/clinutren-fruit-nutriment-pomme-83045.html" TargetMode="External"/><Relationship Id="rId9"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drawing" Target="../drawings/drawing23.xml"/><Relationship Id="rId2" Type="http://schemas.openxmlformats.org/officeDocument/2006/relationships/printerSettings" Target="../printerSettings/printerSettings24.bin"/><Relationship Id="rId1" Type="http://schemas.openxmlformats.org/officeDocument/2006/relationships/hyperlink" Target="https://librairie.ademe.fr/ged/7873/commerce-ligne-impacts-environnementaux-logistique-transports-deplacements-rapport.pdf" TargetMode="External"/><Relationship Id="rId5" Type="http://schemas.openxmlformats.org/officeDocument/2006/relationships/comments" Target="../comments6.xml"/><Relationship Id="rId4" Type="http://schemas.openxmlformats.org/officeDocument/2006/relationships/vmlDrawing" Target="../drawings/vmlDrawing6.vml"/></Relationships>
</file>

<file path=xl/worksheets/_rels/sheet25.xml.rels><?xml version="1.0" encoding="UTF-8" standalone="yes"?>
<Relationships xmlns="http://schemas.openxmlformats.org/package/2006/relationships"><Relationship Id="rId8" Type="http://schemas.openxmlformats.org/officeDocument/2006/relationships/hyperlink" Target="https://www.ionisos.com/wp-content/uploads/2023/11/Sustainability-report-2022-1.pdf" TargetMode="External"/><Relationship Id="rId13" Type="http://schemas.openxmlformats.org/officeDocument/2006/relationships/drawing" Target="../drawings/drawing24.xml"/><Relationship Id="rId3" Type="http://schemas.openxmlformats.org/officeDocument/2006/relationships/hyperlink" Target="https://www.ionisos.com/es/internacional/" TargetMode="External"/><Relationship Id="rId7" Type="http://schemas.openxmlformats.org/officeDocument/2006/relationships/hyperlink" Target="https://www.nordion.com/cobalt-60/a-sustainable-sterilization-method/" TargetMode="External"/><Relationship Id="rId12" Type="http://schemas.openxmlformats.org/officeDocument/2006/relationships/printerSettings" Target="../printerSettings/printerSettings25.bin"/><Relationship Id="rId2" Type="http://schemas.openxmlformats.org/officeDocument/2006/relationships/hyperlink" Target="https://www.ionisos.com/wp-content/uploads/2023/11/Sustainability-report-2022-1.pdf" TargetMode="External"/><Relationship Id="rId1" Type="http://schemas.openxmlformats.org/officeDocument/2006/relationships/hyperlink" Target="https://www.sevremont.fr/wp-content/uploads/2020/06/Irradiateur-de-Pouzauges-Rapport-annuel-2019.pdf" TargetMode="External"/><Relationship Id="rId6" Type="http://schemas.openxmlformats.org/officeDocument/2006/relationships/hyperlink" Target="https://www.mecalux.fr/cas-clients/steris-entrepot-sterilisation" TargetMode="External"/><Relationship Id="rId11" Type="http://schemas.openxmlformats.org/officeDocument/2006/relationships/hyperlink" Target="https://www.iba-worldwide.com/sites/default/files/2023-03/iba-brochure-corporate-2021-fr.pdf" TargetMode="External"/><Relationship Id="rId5" Type="http://schemas.openxmlformats.org/officeDocument/2006/relationships/hyperlink" Target="https://www.ouest-france.fr/environnement/nucleaire/le-seul-site-nucleaire-de-la-sarthe-appele-a-se-montrer-plus-vigilant-sur-ses-procedures-de-surete-10415408-7032-11ef-9636-7dbb9f35abc5" TargetMode="External"/><Relationship Id="rId10" Type="http://schemas.openxmlformats.org/officeDocument/2006/relationships/hyperlink" Target="https://www.ionisos.com/wp-content/uploads/2023/11/Sustainability-report-2022-1.pdf" TargetMode="External"/><Relationship Id="rId4" Type="http://schemas.openxmlformats.org/officeDocument/2006/relationships/hyperlink" Target="https://opendata.agenceore.fr/explore/dataset/conso-elec-gaz-annuelle-par-naf-agregee-commune/table/?sort=conso&amp;dataChart=eyJxdWVyaWVzIjpbeyJjaGFydHMiOlt7InR5cGUiOiJjb2x1bW4iLCJmdW5jIjoiU1VNIiwieUF4aXMiOiJjb25zbyIsInNjaWVudGlmaWNEaXNwbGF5Ijp0cnVlLCJjb2xvciI6InJhbmdlLWN1c3RvbSJ9XSwieEF4aXMiOiJhbm5lZSIsIm1heHBvaW50cyI6IiIsInRpbWVzY2FsZSI6InllYXIiLCJzb3J0IjoiIiwic2VyaWVzQnJlYWtkb3duIjoiZmlsaWVyZSIsImNvbmZpZyI6eyJkYXRhc2V0IjoiY29uc28tZWxlYy1nYXotYW5udWVsbGUtcGFyLW5hZi1hZ3JlZ2VlLWNvbW11bmUiLCJvcHRpb25zIjp7InJlZmluZS5hbm5lZSI6IjIwMjEiLCJyZWZpbmUubGliZWxsZV9jYXRlZ29yaWVfY29uc29tbWF0aW9uIjoiRW50cmVwcmlzZXMiLCJyZWZpbmUubGliZWxsZV9ncmFuZF9zZWN0ZXVyIjoiSW5kdXN0cmllIiwicmVmaW5lLmxpYmVsbGVfc2VjdGV1cl9uYWYyIjoiQXV0cmVzIGluZHVzdHJpZXMgbWFudWZhY3R1cmlcdTAwRThyZXMifX19XSwiZGlzcGxheUxlZ2VuZCI6dHJ1ZSwiYWxpZ25Nb250aCI6dHJ1ZX0%3D&amp;refine.code_departement=10&amp;refine.libelle_commune=Chaumesnil&amp;refine.libelle_grand_secteur=Industrie&amp;refine.libelle_secteur_naf2=Industrie+pharmaceutique" TargetMode="External"/><Relationship Id="rId9" Type="http://schemas.openxmlformats.org/officeDocument/2006/relationships/hyperlink" Target="https://www.ionisos.com/wp-content/uploads/2023/11/Sustainability-report-2022-1.pdf" TargetMode="External"/></Relationships>
</file>

<file path=xl/worksheets/_rels/sheet26.xml.rels><?xml version="1.0" encoding="UTF-8" standalone="yes"?>
<Relationships xmlns="http://schemas.openxmlformats.org/package/2006/relationships"><Relationship Id="rId8" Type="http://schemas.openxmlformats.org/officeDocument/2006/relationships/hyperlink" Target="https://www.alibaba.com/product-detail/MT45-MFR43-PP-material-Polypropylene-PP_1600481410589.html?spm=a2700.galleryofferlist.topad_classic.d_title.5e3b13a0g6qzsd" TargetMode="External"/><Relationship Id="rId13" Type="http://schemas.openxmlformats.org/officeDocument/2006/relationships/printerSettings" Target="../printerSettings/printerSettings26.bin"/><Relationship Id="rId3" Type="http://schemas.openxmlformats.org/officeDocument/2006/relationships/hyperlink" Target="https://wp-victrexplc-2020.s3.eu-west-2.amazonaws.com/media/2023/01/Victrex-plc-Annual-Report-2022.pdf" TargetMode="External"/><Relationship Id="rId7" Type="http://schemas.openxmlformats.org/officeDocument/2006/relationships/hyperlink" Target="https://www.alibaba.com/product-detail/HDPE-8008H-6097-Polyethylene-High-Density_1600512342465.html?spm=a2700.galleryofferlist.normal_offer.d_title.4f3813a0Oq8r8b" TargetMode="External"/><Relationship Id="rId12" Type="http://schemas.openxmlformats.org/officeDocument/2006/relationships/hyperlink" Target="https://www.calameo.com/read/0020272615ed1ec1a8d7c" TargetMode="External"/><Relationship Id="rId2" Type="http://schemas.openxmlformats.org/officeDocument/2006/relationships/hyperlink" Target="https://www.alibaba.com/product-detail/Allyl-Diglycol-Carbonate-142-22-3_60435909331.html?spm=a2700.7724857.0.0.54b14fd8YuI6fH" TargetMode="External"/><Relationship Id="rId16" Type="http://schemas.openxmlformats.org/officeDocument/2006/relationships/comments" Target="../comments7.xml"/><Relationship Id="rId1" Type="http://schemas.openxmlformats.org/officeDocument/2006/relationships/hyperlink" Target="https://www.alibaba.com/product-detail/Diallyl-2-2-oxydiethyl-dicarbonate-Allyl_60839917897.html" TargetMode="External"/><Relationship Id="rId6" Type="http://schemas.openxmlformats.org/officeDocument/2006/relationships/hyperlink" Target="https://www.alibaba.com/product-detail/high-Quality-Virgin-LDPE-Granules-film_1601275399902.html?spm=a2700.galleryofferlist.p_offer.d_title.4f3813a0Oq8r8b&amp;s=p" TargetMode="External"/><Relationship Id="rId11" Type="http://schemas.openxmlformats.org/officeDocument/2006/relationships/hyperlink" Target="https://www.alibaba.com/product-detail/PC-base-blue-PC-polycarbonate-Granules_1601287865245.html?spm=a2700.galleryofferlist.normal_offer.d_title.576213a0O4DRQV" TargetMode="External"/><Relationship Id="rId5" Type="http://schemas.openxmlformats.org/officeDocument/2006/relationships/hyperlink" Target="https://www.alibaba.com/product-detail/Ethylene-Glycol-Ethylene-Glycol-Price-CAS_1601258987681.html?spm=a2700.galleryofferlist.p_offer.d_title.522513a0cbNMEI&amp;s=p" TargetMode="External"/><Relationship Id="rId15" Type="http://schemas.openxmlformats.org/officeDocument/2006/relationships/vmlDrawing" Target="../drawings/vmlDrawing7.vml"/><Relationship Id="rId10" Type="http://schemas.openxmlformats.org/officeDocument/2006/relationships/hyperlink" Target="https://www.sciencedirect.com/science/article/pii/S0959652624030257" TargetMode="External"/><Relationship Id="rId4" Type="http://schemas.openxmlformats.org/officeDocument/2006/relationships/hyperlink" Target="https://dumas.ccsd.cnrs.fr/dumas-03475076v1/document" TargetMode="External"/><Relationship Id="rId9" Type="http://schemas.openxmlformats.org/officeDocument/2006/relationships/hyperlink" Target="https://www.alibaba.com/product-detail/PMMA-CM-205-CM-211-CM_1600757546987.html?spm=a2700.galleryofferlist.normal_offer.d_price.36be13a0xDiy3W" TargetMode="External"/><Relationship Id="rId14" Type="http://schemas.openxmlformats.org/officeDocument/2006/relationships/drawing" Target="../drawings/drawing25.xml"/></Relationships>
</file>

<file path=xl/worksheets/_rels/sheet27.xml.rels><?xml version="1.0" encoding="UTF-8" standalone="yes"?>
<Relationships xmlns="http://schemas.openxmlformats.org/package/2006/relationships"><Relationship Id="rId3" Type="http://schemas.openxmlformats.org/officeDocument/2006/relationships/hyperlink" Target="https://www.aspec.fr/Data/ElFinder/s6/Base-documentaire/C-Performance-Energetique/4-VF-Samir-Yalaoui-ALCIMED.pdf" TargetMode="External"/><Relationship Id="rId2" Type="http://schemas.openxmlformats.org/officeDocument/2006/relationships/hyperlink" Target="https://www.aspec.fr/Data/ElFinder/s6/Base-documentaire/C-Performance-Energetique/4-VF-Samir-Yalaoui-ALCIMED.pdf" TargetMode="External"/><Relationship Id="rId1" Type="http://schemas.openxmlformats.org/officeDocument/2006/relationships/hyperlink" Target="https://view.officeapps.live.com/op/view.aspx?src=https%3A%2F%2Fcrcom.ac-versailles.fr%2FIMG%2Fdocx%2Fbts_gpme_e52_nc_2020.docx&amp;wdOrigin=BROWSELINK" TargetMode="External"/><Relationship Id="rId5" Type="http://schemas.openxmlformats.org/officeDocument/2006/relationships/drawing" Target="../drawings/drawing26.xml"/><Relationship Id="rId4"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s://anap.fr/s/article/rse-publication-556" TargetMode="External"/><Relationship Id="rId7" Type="http://schemas.openxmlformats.org/officeDocument/2006/relationships/hyperlink" Target="https://www.sciencedirect.com/science/article/pii/S0921344922002683" TargetMode="External"/><Relationship Id="rId2" Type="http://schemas.openxmlformats.org/officeDocument/2006/relationships/hyperlink" Target="https://swsenate.nhs.uk/wp-content/uploads/2020/01/Datagreen-is-the-new-blue2-1.pdf" TargetMode="External"/><Relationship Id="rId1" Type="http://schemas.openxmlformats.org/officeDocument/2006/relationships/hyperlink" Target="https://anap.fr/s/article/rse-publication-556" TargetMode="External"/><Relationship Id="rId6" Type="http://schemas.openxmlformats.org/officeDocument/2006/relationships/hyperlink" Target="https://europe.noharm.org/media/4544/download?inline=1" TargetMode="External"/><Relationship Id="rId5" Type="http://schemas.openxmlformats.org/officeDocument/2006/relationships/hyperlink" Target="https://swsenate.nhs.uk/wp-content/uploads/2020/01/Datagreen-is-the-new-blue2-1.pdf" TargetMode="External"/><Relationship Id="rId4" Type="http://schemas.openxmlformats.org/officeDocument/2006/relationships/hyperlink" Target="https://drees.solidarites-sante.gouv.fr/sites/default/files/2023-12/ER1289.pdf" TargetMode="External"/><Relationship Id="rId9"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8" Type="http://schemas.openxmlformats.org/officeDocument/2006/relationships/hyperlink" Target="https://www.medicaffaires.com/champs-et-draps-steriles/911-drap-sterile-150x-200-cm.html" TargetMode="External"/><Relationship Id="rId13" Type="http://schemas.openxmlformats.org/officeDocument/2006/relationships/hyperlink" Target="https://www.cadiffusion.com/produits/blouses" TargetMode="External"/><Relationship Id="rId3" Type="http://schemas.openxmlformats.org/officeDocument/2006/relationships/hyperlink" Target="https://drees.shinyapps.io/demographie-ps/,%20lib&#233;raux%20+%20mixtes%20compt&#233;s%20&#224;%2050%25%20+%20salari&#233;s%20(centres%20de%20sant&#233;)" TargetMode="External"/><Relationship Id="rId7" Type="http://schemas.openxmlformats.org/officeDocument/2006/relationships/hyperlink" Target="https://odr.chalmers.se/server/api/core/bitstreams/3d5f537c-66eb-4bae-9738-a9c7a06ff288/content" TargetMode="External"/><Relationship Id="rId12" Type="http://schemas.openxmlformats.org/officeDocument/2006/relationships/hyperlink" Target="https://journals.sagepub.com/doi/10.1177/01410768231166135" TargetMode="External"/><Relationship Id="rId2" Type="http://schemas.openxmlformats.org/officeDocument/2006/relationships/hyperlink" Target="https://drees.shinyapps.io/demographie-ps/,%20lib&#233;raux%20+%20mixtes%20compt&#233;s%20&#224;%2050%25%20+%20salari&#233;s%20(centres%20de%20sant&#233;)" TargetMode="External"/><Relationship Id="rId16" Type="http://schemas.openxmlformats.org/officeDocument/2006/relationships/drawing" Target="../drawings/drawing4.xml"/><Relationship Id="rId1" Type="http://schemas.openxmlformats.org/officeDocument/2006/relationships/hyperlink" Target="https://dumas.ccsd.cnrs.fr/dumas-03909871" TargetMode="External"/><Relationship Id="rId6" Type="http://schemas.openxmlformats.org/officeDocument/2006/relationships/hyperlink" Target="https://uploads-ssl.webflow.com/6151b650ce4cd9198b1fd7e8/627f75037e1c2e5957121d9a_Analyse_de_cycle_de_vie_Gants_Nitrile_ECOVAMED_Mai-2022.pdf" TargetMode="External"/><Relationship Id="rId11" Type="http://schemas.openxmlformats.org/officeDocument/2006/relationships/hyperlink" Target="https://journals.sagepub.com/doi/10.1177/01410768231166135" TargetMode="External"/><Relationship Id="rId5" Type="http://schemas.openxmlformats.org/officeDocument/2006/relationships/hyperlink" Target="https://www.ccpartners.fr/masques-de-protection/227-masque-chirurgical-en14683-type-1-bleu.html" TargetMode="External"/><Relationship Id="rId15" Type="http://schemas.openxmlformats.org/officeDocument/2006/relationships/printerSettings" Target="../printerSettings/printerSettings6.bin"/><Relationship Id="rId10" Type="http://schemas.openxmlformats.org/officeDocument/2006/relationships/hyperlink" Target="https://www.ld-medical.fr/champ-operatoire/1489-champ-operatoire-troue-90.html" TargetMode="External"/><Relationship Id="rId4" Type="http://schemas.openxmlformats.org/officeDocument/2006/relationships/hyperlink" Target="https://www.ccpartners.fr/masques-de-protection/227-masque-chirurgical-en14683-type-1-bleu.html" TargetMode="External"/><Relationship Id="rId9" Type="http://schemas.openxmlformats.org/officeDocument/2006/relationships/hyperlink" Target="https://www.consomed.fr/soin-et-pansement-champs/279-champs-de-soins-steriles-standards" TargetMode="External"/><Relationship Id="rId14" Type="http://schemas.openxmlformats.org/officeDocument/2006/relationships/hyperlink" Target="https://fr.vygon.com/fr/produits/chirurgie/casaque/casaque-chirurgicale-standard/casaque-standard" TargetMode="External"/></Relationships>
</file>

<file path=xl/worksheets/_rels/sheet7.xml.rels><?xml version="1.0" encoding="UTF-8" standalone="yes"?>
<Relationships xmlns="http://schemas.openxmlformats.org/package/2006/relationships"><Relationship Id="rId3" Type="http://schemas.openxmlformats.org/officeDocument/2006/relationships/hyperlink" Target="https://journals.sagepub.com/doi/10.1177/01410768231166135" TargetMode="External"/><Relationship Id="rId2" Type="http://schemas.openxmlformats.org/officeDocument/2006/relationships/hyperlink" Target="https://pvcmed.org/healthcare/facts-figures/" TargetMode="External"/><Relationship Id="rId1" Type="http://schemas.openxmlformats.org/officeDocument/2006/relationships/hyperlink" Target="https://ars.els-cdn.com/content/image/1-s2.0-S0921344922002683-mmc1.pdf" TargetMode="External"/><Relationship Id="rId6" Type="http://schemas.openxmlformats.org/officeDocument/2006/relationships/drawing" Target="../drawings/drawing5.xml"/><Relationship Id="rId5" Type="http://schemas.openxmlformats.org/officeDocument/2006/relationships/printerSettings" Target="../printerSettings/printerSettings7.bin"/><Relationship Id="rId4" Type="http://schemas.openxmlformats.org/officeDocument/2006/relationships/hyperlink" Target="https://link.springer.com/article/10.1007/s00134-022-06940-6" TargetMode="External"/></Relationships>
</file>

<file path=xl/worksheets/_rels/sheet8.xml.rels><?xml version="1.0" encoding="UTF-8" standalone="yes"?>
<Relationships xmlns="http://schemas.openxmlformats.org/package/2006/relationships"><Relationship Id="rId8" Type="http://schemas.openxmlformats.org/officeDocument/2006/relationships/hyperlink" Target="https://docs.exhausmed.com/docs/coloplast/catalogue/cat_speedicath_coloplast_2014.pdf" TargetMode="External"/><Relationship Id="rId3" Type="http://schemas.openxmlformats.org/officeDocument/2006/relationships/hyperlink" Target="https://www.incontinence-homme.fr/fuites-urinaires/etui-penien-conveen-optima-vs-stop-uri/" TargetMode="External"/><Relationship Id="rId7" Type="http://schemas.openxmlformats.org/officeDocument/2006/relationships/hyperlink" Target="https://docs.exhausmed.com/docs/coloplast/catalogue/cat_speedicath_coloplast_2014.pdf" TargetMode="External"/><Relationship Id="rId2" Type="http://schemas.openxmlformats.org/officeDocument/2006/relationships/hyperlink" Target="https://www.ubuy.fr/en/product/7H0JAI-conveen-5170-contoured-leg-bag-1-each?srsltid=AfmBOoriKnLZiP78BPLP6MrbCwGoMNgMY7BLcSTtoi-QVZAganT0bH5K&amp;ref=hm-google-redirect" TargetMode="External"/><Relationship Id="rId1" Type="http://schemas.openxmlformats.org/officeDocument/2006/relationships/hyperlink" Target="https://act-green.bbraun.cloud/customer/calc" TargetMode="External"/><Relationship Id="rId6" Type="http://schemas.openxmlformats.org/officeDocument/2006/relationships/hyperlink" Target="https://www.fournisseur-medical.com/downloadable/download/attachment/id/3025914/" TargetMode="External"/><Relationship Id="rId5" Type="http://schemas.openxmlformats.org/officeDocument/2006/relationships/hyperlink" Target="https://www.fournisseur-medical.com/downloadable/download/attachment/id/3025914/" TargetMode="External"/><Relationship Id="rId10" Type="http://schemas.openxmlformats.org/officeDocument/2006/relationships/drawing" Target="../drawings/drawing6.xml"/><Relationship Id="rId4" Type="http://schemas.openxmlformats.org/officeDocument/2006/relationships/hyperlink" Target="https://pro.coloplast.fr/Global/France_HCP/CD/Page%20locale%20Conveen/Protocole%20de%20soins%20Conveen.pdf" TargetMode="External"/><Relationship Id="rId9"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hyperlink" Target="https://susproc.jrc.ec.europa.eu/product-bureau/sites/default/files/2022-06/LCA%20screening%20study%20on%20AHP_update%20April%202022.pdf" TargetMode="External"/><Relationship Id="rId13" Type="http://schemas.openxmlformats.org/officeDocument/2006/relationships/hyperlink" Target="https://opendata.agenceore.fr/explore/dataset/conso-elec-gaz-annuelle-par-naf-agregee-commune/table/?refine.libelle_categorie_consommation=Entreprises&amp;refine.libelle_grand_secteur=Industrie&amp;sort=conso&amp;dataChart=eyJxdWVyaWVzIjpbeyJjaGFydHMiOlt7InR5cGUiOiJjb2x1bW4iLCJmdW5jIjoiU1VNIiwieUF4aXMiOiJjb25zbyIsInNjaWVudGlmaWNEaXNwbGF5Ijp0cnVlLCJjb2xvciI6InJhbmdlLWN1c3RvbSJ9XSwieEF4aXMiOiJhbm5lZSIsIm1heHBvaW50cyI6IiIsInRpbWVzY2FsZSI6InllYXIiLCJzb3J0IjoiIiwic2VyaWVzQnJlYWtkb3duIjoiZmlsaWVyZSIsImNvbmZpZyI6eyJkYXRhc2V0IjoiY29uc28tZWxlYy1nYXotYW5udWVsbGUtcGFyLW5hZi1hZ3JlZ2VlLWNvbW11bmUiLCJvcHRpb25zIjp7InJlZmluZS5hbm5lZSI6IjIwMjEiLCJyZWZpbmUubGliZWxsZV9jYXRlZ29yaWVfY29uc29tbWF0aW9uIjoiRW50cmVwcmlzZXMiLCJyZWZpbmUubGliZWxsZV9ncmFuZF9zZWN0ZXVyIjoiSW5kdXN0cmllIiwicmVmaW5lLmxpYmVsbGVfc2VjdGV1cl9uYWYyIjoiQXV0cmVzIGluZHVzdHJpZXMgbWFudWZhY3R1cmlcdTAwRThyZXMifX19XSwiZGlzcGxheUxlZ2VuZCI6dHJ1ZSwiYWxpZ25Nb250aCI6dHJ1ZX0%3D&amp;refine.libelle_secteur_naf2=Industrie+du+papier+et+du+carton&amp;refine.code_departement=68&amp;refine.libelle_commune=Li%C3%A8pvre" TargetMode="External"/><Relationship Id="rId18" Type="http://schemas.openxmlformats.org/officeDocument/2006/relationships/hyperlink" Target="https://opendata.agenceore.fr/explore/dataset/conso-elec-gaz-annuelle-par-naf-agregee-commune/table/?refine.libelle_categorie_consommation=Entreprises&amp;refine.libelle_grand_secteur=Industrie&amp;sort=conso&amp;dataChart=eyJxdWVyaWVzIjpbeyJjaGFydHMiOlt7InR5cGUiOiJjb2x1bW4iLCJmdW5jIjoiU1VNIiwieUF4aXMiOiJjb25zbyIsInNjaWVudGlmaWNEaXNwbGF5Ijp0cnVlLCJjb2xvciI6InJhbmdlLWN1c3RvbSJ9XSwieEF4aXMiOiJhbm5lZSIsIm1heHBvaW50cyI6IiIsInRpbWVzY2FsZSI6InllYXIiLCJzb3J0IjoiIiwic2VyaWVzQnJlYWtkb3duIjoiZmlsaWVyZSIsImNvbmZpZyI6eyJkYXRhc2V0IjoiY29uc28tZWxlYy1nYXotYW5udWVsbGUtcGFyLW5hZi1hZ3JlZ2VlLWNvbW11bmUiLCJvcHRpb25zIjp7InJlZmluZS5hbm5lZSI6IjIwMjEiLCJyZWZpbmUubGliZWxsZV9jYXRlZ29yaWVfY29uc29tbWF0aW9uIjoiRW50cmVwcmlzZXMiLCJyZWZpbmUubGliZWxsZV9ncmFuZF9zZWN0ZXVyIjoiSW5kdXN0cmllIiwicmVmaW5lLmxpYmVsbGVfc2VjdGV1cl9uYWYyIjoiQXV0cmVzIGluZHVzdHJpZXMgbWFudWZhY3R1cmlcdTAwRThyZXMifX19XSwiZGlzcGxheUxlZ2VuZCI6dHJ1ZSwiYWxpZ25Nb250aCI6dHJ1ZX0%3D&amp;refine.code_departement=62&amp;refine.libelle_commune=Rouvroy&amp;refine.libelle_secteur_naf2=Industrie+du+papier+et+du+carton" TargetMode="External"/><Relationship Id="rId26" Type="http://schemas.openxmlformats.org/officeDocument/2006/relationships/hyperlink" Target="https://librairie.ademe.fr/ged/8030/Prefiguration-Filiere-REP-TSUU-synthese-v2.pdf" TargetMode="External"/><Relationship Id="rId3" Type="http://schemas.openxmlformats.org/officeDocument/2006/relationships/hyperlink" Target="https://www.anses.fr/fr/system/files/CONSO2018SA0023Ra.pdf" TargetMode="External"/><Relationship Id="rId21" Type="http://schemas.openxmlformats.org/officeDocument/2006/relationships/hyperlink" Target="https://www.lesechos.fr/2016/12/hygiene-ontex-ouvre-une-usine-ultramoderne-a-dourges-235665" TargetMode="External"/><Relationship Id="rId7" Type="http://schemas.openxmlformats.org/officeDocument/2006/relationships/hyperlink" Target="https://api.environdec.com/api/v1/EPDLibrary/Files/50eba46d-c551-4bc5-c058-08dcf74c4a94/Data" TargetMode="External"/><Relationship Id="rId12" Type="http://schemas.openxmlformats.org/officeDocument/2006/relationships/hyperlink" Target="https://api.environdec.com/api/v1/EPDLibrary/Files/1d9dfc7e-8f0c-435e-1d20-08dcd6e296f9/Data" TargetMode="External"/><Relationship Id="rId17" Type="http://schemas.openxmlformats.org/officeDocument/2006/relationships/hyperlink" Target="https://amd-incontinence.com/amd/sites-de-productions/" TargetMode="External"/><Relationship Id="rId25" Type="http://schemas.openxmlformats.org/officeDocument/2006/relationships/hyperlink" Target="https://www.beleidsplanning.nl/documents/en/CE_Delft_2M03_LCA_of_waste_treatment_of_diaper_material_Def.pdf" TargetMode="External"/><Relationship Id="rId2" Type="http://schemas.openxmlformats.org/officeDocument/2006/relationships/hyperlink" Target="https://www.insee.fr/fr/statistiques/1893198" TargetMode="External"/><Relationship Id="rId16" Type="http://schemas.openxmlformats.org/officeDocument/2006/relationships/hyperlink" Target="https://opendata.agenceore.fr/explore/dataset/conso-elec-gaz-annuelle-par-naf-agregee-commune/table/?refine.libelle_categorie_consommation=Entreprises&amp;refine.libelle_grand_secteur=Industrie&amp;sort=conso&amp;dataChart=eyJxdWVyaWVzIjpbeyJjaGFydHMiOlt7InR5cGUiOiJjb2x1bW4iLCJmdW5jIjoiU1VNIiwieUF4aXMiOiJjb25zbyIsInNjaWVudGlmaWNEaXNwbGF5Ijp0cnVlLCJjb2xvciI6InJhbmdlLWN1c3RvbSJ9XSwieEF4aXMiOiJhbm5lZSIsIm1heHBvaW50cyI6IiIsInRpbWVzY2FsZSI6InllYXIiLCJzb3J0IjoiIiwic2VyaWVzQnJlYWtkb3duIjoiZmlsaWVyZSIsImNvbmZpZyI6eyJkYXRhc2V0IjoiY29uc28tZWxlYy1nYXotYW5udWVsbGUtcGFyLW5hZi1hZ3JlZ2VlLWNvbW11bmUiLCJvcHRpb25zIjp7InJlZmluZS5hbm5lZSI6IjIwMjEiLCJyZWZpbmUubGliZWxsZV9jYXRlZ29yaWVfY29uc29tbWF0aW9uIjoiRW50cmVwcmlzZXMiLCJyZWZpbmUubGliZWxsZV9ncmFuZF9zZWN0ZXVyIjoiSW5kdXN0cmllIiwicmVmaW5lLmxpYmVsbGVfc2VjdGV1cl9uYWYyIjoiQXV0cmVzIGluZHVzdHJpZXMgbWFudWZhY3R1cmlcdTAwRThyZXMifX19XSwiZGlzcGxheUxlZ2VuZCI6dHJ1ZSwiYWxpZ25Nb250aCI6dHJ1ZX0%3D&amp;refine.code_departement=62&amp;refine.libelle_commune=Rouvroy&amp;refine.libelle_secteur_naf2=Industrie+du+papier+et+du+carton" TargetMode="External"/><Relationship Id="rId20" Type="http://schemas.openxmlformats.org/officeDocument/2006/relationships/hyperlink" Target="https://amd-incontinence.com/amd/sites-de-productions/" TargetMode="External"/><Relationship Id="rId1" Type="http://schemas.openxmlformats.org/officeDocument/2006/relationships/hyperlink" Target="https://www.anses.fr/fr/system/files/CONSO2018SA0023Ra.pdf" TargetMode="External"/><Relationship Id="rId6" Type="http://schemas.openxmlformats.org/officeDocument/2006/relationships/hyperlink" Target="https://api.environdec.com/api/v1/EPDLibrary/Files/079e672e-48f6-4cf9-ae1d-08dcd72a0726/Data" TargetMode="External"/><Relationship Id="rId11" Type="http://schemas.openxmlformats.org/officeDocument/2006/relationships/hyperlink" Target="https://api.environdec.com/api/v1/EPDLibrary/Files/4e8a601c-d777-4076-93d4-08dc3c72202b/Data" TargetMode="External"/><Relationship Id="rId24" Type="http://schemas.openxmlformats.org/officeDocument/2006/relationships/hyperlink" Target="https://sci-hub.se/https:/journals.sagepub.com/doi/10.1177/0734242X20954271?url_ver=Z39.88-2003&amp;rfr_id=ori:rid:crossref.org&amp;rfr_dat=cr_pub%20%200pubmed" TargetMode="External"/><Relationship Id="rId5" Type="http://schemas.openxmlformats.org/officeDocument/2006/relationships/hyperlink" Target="https://api.environdec.com/api/v1/EPDLibrary/Files/6cbd0723-1396-470a-e7e4-08dce2df59bc/Data" TargetMode="External"/><Relationship Id="rId15" Type="http://schemas.openxmlformats.org/officeDocument/2006/relationships/hyperlink" Target="https://www.hartmann.fr/portail/entreprise/actualites/engagement-rse-hartmann-2022.htm" TargetMode="External"/><Relationship Id="rId23" Type="http://schemas.openxmlformats.org/officeDocument/2006/relationships/hyperlink" Target="https://www.turennecapital.com/special-made-in-france-la-pme-naturopera-lance-officiellement-son-projet-dusine-eco-responsable-dediee-a-la-production-de-couches-ecologiques/" TargetMode="External"/><Relationship Id="rId28" Type="http://schemas.openxmlformats.org/officeDocument/2006/relationships/drawing" Target="../drawings/drawing7.xml"/><Relationship Id="rId10" Type="http://schemas.openxmlformats.org/officeDocument/2006/relationships/hyperlink" Target="https://api.environdec.com/api/v1/EPDLibrary/Files/c51bbf9e-0c2d-49b8-9705-08dcd7053c2c/Data" TargetMode="External"/><Relationship Id="rId19" Type="http://schemas.openxmlformats.org/officeDocument/2006/relationships/hyperlink" Target="https://www.lesechos.fr/2016/12/hygiene-ontex-ouvre-une-usine-ultramoderne-a-dourges-235665" TargetMode="External"/><Relationship Id="rId4" Type="http://schemas.openxmlformats.org/officeDocument/2006/relationships/hyperlink" Target="https://www.edana.org/docs/default-source/sustainability/edana-sustainability-report---2015.pdf" TargetMode="External"/><Relationship Id="rId9" Type="http://schemas.openxmlformats.org/officeDocument/2006/relationships/hyperlink" Target="https://www.edana.org/docs/default-source/sustainability/edana-sustainability-report---2015.pdf" TargetMode="External"/><Relationship Id="rId14" Type="http://schemas.openxmlformats.org/officeDocument/2006/relationships/hyperlink" Target="https://www.lesechos.fr/2016/12/hygiene-ontex-ouvre-une-usine-ultramoderne-a-dourges-235665" TargetMode="External"/><Relationship Id="rId22" Type="http://schemas.openxmlformats.org/officeDocument/2006/relationships/hyperlink" Target="https://amd-incontinence.com/amd/sites-de-productions/" TargetMode="External"/><Relationship Id="rId27"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EEB167-10F5-4A08-84C3-87109C6B34A1}">
  <sheetPr>
    <tabColor rgb="FFFF0000"/>
  </sheetPr>
  <dimension ref="A1:F71"/>
  <sheetViews>
    <sheetView tabSelected="1" zoomScale="60" zoomScaleNormal="60" workbookViewId="0">
      <selection sqref="A1:XFD2"/>
    </sheetView>
  </sheetViews>
  <sheetFormatPr baseColWidth="10" defaultColWidth="11" defaultRowHeight="14"/>
  <cols>
    <col min="2" max="2" width="27.33203125" customWidth="1"/>
    <col min="3" max="3" width="22.5" customWidth="1"/>
    <col min="4" max="4" width="103" style="1" customWidth="1"/>
  </cols>
  <sheetData>
    <row r="1" spans="1:5" s="1505" customFormat="1" ht="14" customHeight="1">
      <c r="A1" s="1505" t="s">
        <v>0</v>
      </c>
    </row>
    <row r="2" spans="1:5" s="1505" customFormat="1" ht="14" customHeight="1"/>
    <row r="3" spans="1:5" s="1" customFormat="1"/>
    <row r="4" spans="1:5" ht="21.5" customHeight="1">
      <c r="B4" s="1247" t="s">
        <v>1</v>
      </c>
    </row>
    <row r="5" spans="1:5" ht="17.5" customHeight="1">
      <c r="B5" s="1248" t="s">
        <v>4906</v>
      </c>
    </row>
    <row r="6" spans="1:5" s="1" customFormat="1"/>
    <row r="7" spans="1:5" s="1" customFormat="1" ht="23.5">
      <c r="B7" s="2" t="s">
        <v>2</v>
      </c>
    </row>
    <row r="8" spans="1:5" s="1" customFormat="1" ht="14.5" thickBot="1"/>
    <row r="9" spans="1:5" s="1" customFormat="1" ht="93.5" thickBot="1">
      <c r="A9" s="1241"/>
      <c r="B9" s="1512" t="s">
        <v>3</v>
      </c>
      <c r="C9" s="1513"/>
      <c r="D9" s="1491" t="s">
        <v>4905</v>
      </c>
    </row>
    <row r="10" spans="1:5" s="1" customFormat="1" ht="19" customHeight="1" thickBot="1">
      <c r="A10" s="1241"/>
      <c r="B10" s="1243"/>
      <c r="C10" s="1243"/>
      <c r="D10" s="1246"/>
    </row>
    <row r="11" spans="1:5" ht="46.5">
      <c r="A11" s="1242"/>
      <c r="B11" s="1506" t="s">
        <v>4</v>
      </c>
      <c r="C11" s="1507"/>
      <c r="D11" s="1234" t="s">
        <v>4907</v>
      </c>
    </row>
    <row r="12" spans="1:5" ht="31">
      <c r="A12" s="1242"/>
      <c r="B12" s="1508"/>
      <c r="C12" s="1509"/>
      <c r="D12" s="1236" t="s">
        <v>5</v>
      </c>
    </row>
    <row r="13" spans="1:5" ht="35" customHeight="1" thickBot="1">
      <c r="A13" s="1242"/>
      <c r="B13" s="1510"/>
      <c r="C13" s="1511"/>
      <c r="D13" s="1235" t="s">
        <v>6</v>
      </c>
    </row>
    <row r="14" spans="1:5" ht="19" customHeight="1" thickBot="1">
      <c r="A14" s="1241"/>
      <c r="B14" s="1245"/>
      <c r="C14" s="1243"/>
      <c r="D14" s="1489"/>
      <c r="E14" s="1490"/>
    </row>
    <row r="15" spans="1:5" ht="102" customHeight="1" thickBot="1">
      <c r="A15" s="1241"/>
      <c r="B15" s="1514" t="s">
        <v>7</v>
      </c>
      <c r="C15" s="1515"/>
      <c r="D15" s="1491" t="s">
        <v>4908</v>
      </c>
    </row>
    <row r="16" spans="1:5" ht="19" customHeight="1" thickBot="1">
      <c r="A16" s="1241"/>
      <c r="B16" s="1237"/>
      <c r="C16" s="1237"/>
      <c r="D16" s="1239"/>
    </row>
    <row r="17" spans="1:6" ht="47" thickBot="1">
      <c r="A17" s="1242"/>
      <c r="B17" s="1514" t="s">
        <v>8</v>
      </c>
      <c r="C17" s="1515"/>
      <c r="D17" s="1233" t="s">
        <v>9</v>
      </c>
    </row>
    <row r="18" spans="1:6" ht="18.5">
      <c r="A18" s="1241"/>
      <c r="B18" s="1241"/>
      <c r="C18" s="1243"/>
      <c r="D18" s="1244"/>
    </row>
    <row r="19" spans="1:6" ht="23.5">
      <c r="A19" s="1241"/>
      <c r="B19" s="2" t="s">
        <v>10</v>
      </c>
      <c r="C19" s="1243"/>
      <c r="D19" s="1244"/>
    </row>
    <row r="20" spans="1:6" ht="19" thickBot="1">
      <c r="A20" s="1241"/>
      <c r="B20" s="1241"/>
      <c r="C20" s="1243"/>
      <c r="D20" s="1244"/>
    </row>
    <row r="21" spans="1:6" ht="19" customHeight="1" thickBot="1">
      <c r="A21" s="1241"/>
      <c r="B21" s="1502" t="s">
        <v>11</v>
      </c>
      <c r="C21" s="1249" t="s">
        <v>11</v>
      </c>
      <c r="D21" s="1238" t="s">
        <v>12</v>
      </c>
    </row>
    <row r="22" spans="1:6" ht="8" customHeight="1" thickBot="1">
      <c r="A22" s="1241"/>
      <c r="B22" s="1503"/>
      <c r="C22" s="1237"/>
      <c r="D22" s="1240"/>
    </row>
    <row r="23" spans="1:6" ht="36.5" customHeight="1" thickBot="1">
      <c r="A23" s="1241"/>
      <c r="B23" s="1503"/>
      <c r="C23" s="1250" t="s">
        <v>13</v>
      </c>
      <c r="D23" s="1238" t="s">
        <v>14</v>
      </c>
    </row>
    <row r="24" spans="1:6" ht="8" customHeight="1" thickBot="1">
      <c r="A24" s="1241"/>
      <c r="B24" s="1503"/>
      <c r="C24" s="1237"/>
      <c r="D24" s="1240"/>
    </row>
    <row r="25" spans="1:6" ht="37.5" customHeight="1" thickBot="1">
      <c r="A25" s="1241"/>
      <c r="B25" s="1504"/>
      <c r="C25" s="1250" t="s">
        <v>15</v>
      </c>
      <c r="D25" s="1238" t="s">
        <v>16</v>
      </c>
    </row>
    <row r="26" spans="1:6" ht="19" customHeight="1" thickBot="1">
      <c r="A26" s="1241"/>
      <c r="B26" s="1241"/>
      <c r="C26" s="1241"/>
      <c r="D26" s="1241"/>
      <c r="E26" s="1241"/>
      <c r="F26" s="1241"/>
    </row>
    <row r="27" spans="1:6" ht="37.5" thickBot="1">
      <c r="A27" s="1241"/>
      <c r="B27" s="1502" t="s">
        <v>17</v>
      </c>
      <c r="C27" s="1255" t="s">
        <v>18</v>
      </c>
      <c r="D27" s="1238" t="s">
        <v>19</v>
      </c>
    </row>
    <row r="28" spans="1:6" ht="8" customHeight="1" thickBot="1">
      <c r="A28" s="1241"/>
      <c r="B28" s="1503"/>
      <c r="C28" s="1237"/>
      <c r="D28" s="1240"/>
    </row>
    <row r="29" spans="1:6" ht="31.5" thickBot="1">
      <c r="A29" s="1241"/>
      <c r="B29" s="1503"/>
      <c r="C29" s="1254" t="s">
        <v>20</v>
      </c>
      <c r="D29" s="1238" t="s">
        <v>21</v>
      </c>
    </row>
    <row r="30" spans="1:6" ht="8" customHeight="1" thickBot="1">
      <c r="A30" s="1241"/>
      <c r="B30" s="1503"/>
      <c r="C30" s="1237"/>
      <c r="D30" s="1240"/>
    </row>
    <row r="31" spans="1:6" ht="37.5" thickBot="1">
      <c r="A31" s="1242"/>
      <c r="B31" s="1503"/>
      <c r="C31" s="1257" t="s">
        <v>22</v>
      </c>
      <c r="D31" s="1258" t="s">
        <v>23</v>
      </c>
    </row>
    <row r="32" spans="1:6" ht="8" customHeight="1" thickBot="1">
      <c r="A32" s="1241"/>
      <c r="B32" s="1503"/>
      <c r="C32" s="1237"/>
      <c r="D32" s="1240"/>
    </row>
    <row r="33" spans="1:5" ht="31.5" thickBot="1">
      <c r="A33" s="1241"/>
      <c r="B33" s="1503"/>
      <c r="C33" s="1253" t="s">
        <v>24</v>
      </c>
      <c r="D33" s="1238" t="s">
        <v>25</v>
      </c>
    </row>
    <row r="34" spans="1:5" ht="8" customHeight="1" thickBot="1">
      <c r="A34" s="1241"/>
      <c r="B34" s="1503"/>
      <c r="C34" s="1237"/>
      <c r="D34" s="1240"/>
    </row>
    <row r="35" spans="1:5" ht="31.5" thickBot="1">
      <c r="A35" s="1241"/>
      <c r="B35" s="1503"/>
      <c r="C35" s="1252" t="s">
        <v>26</v>
      </c>
      <c r="D35" s="1238" t="s">
        <v>27</v>
      </c>
    </row>
    <row r="36" spans="1:5" ht="8" customHeight="1" thickBot="1">
      <c r="B36" s="1503"/>
      <c r="D36" s="1256"/>
    </row>
    <row r="37" spans="1:5" ht="31.5" thickBot="1">
      <c r="A37" s="1241"/>
      <c r="B37" s="1503"/>
      <c r="C37" s="1252" t="s">
        <v>28</v>
      </c>
      <c r="D37" s="1238" t="s">
        <v>29</v>
      </c>
    </row>
    <row r="38" spans="1:5" ht="8" customHeight="1" thickBot="1">
      <c r="A38" s="1241"/>
      <c r="B38" s="1503"/>
      <c r="C38" s="1237"/>
      <c r="D38" s="1240"/>
    </row>
    <row r="39" spans="1:5" ht="31.5" thickBot="1">
      <c r="A39" s="1241"/>
      <c r="B39" s="1503"/>
      <c r="C39" s="1252" t="s">
        <v>30</v>
      </c>
      <c r="D39" s="1238" t="s">
        <v>31</v>
      </c>
    </row>
    <row r="40" spans="1:5" ht="8" customHeight="1" thickBot="1">
      <c r="B40" s="1503"/>
      <c r="D40" s="1256"/>
    </row>
    <row r="41" spans="1:5" ht="19" thickBot="1">
      <c r="A41" s="1241"/>
      <c r="B41" s="1504"/>
      <c r="C41" s="1252" t="s">
        <v>32</v>
      </c>
      <c r="D41" s="1238" t="s">
        <v>33</v>
      </c>
    </row>
    <row r="42" spans="1:5" ht="19" customHeight="1" thickBot="1">
      <c r="A42" s="1241"/>
      <c r="B42" s="1241"/>
      <c r="C42" s="1241"/>
      <c r="D42" s="1241"/>
      <c r="E42" s="1241"/>
    </row>
    <row r="43" spans="1:5" ht="31.5" thickBot="1">
      <c r="A43" s="1241"/>
      <c r="B43" s="1502" t="s">
        <v>34</v>
      </c>
      <c r="C43" s="1259" t="s">
        <v>35</v>
      </c>
      <c r="D43" s="1238" t="s">
        <v>36</v>
      </c>
    </row>
    <row r="44" spans="1:5" ht="7.5" customHeight="1" thickBot="1">
      <c r="B44" s="1503"/>
      <c r="D44" s="1256"/>
    </row>
    <row r="45" spans="1:5" ht="19" thickBot="1">
      <c r="A45" s="1241"/>
      <c r="B45" s="1503"/>
      <c r="C45" s="1259" t="s">
        <v>37</v>
      </c>
      <c r="D45" s="1238" t="s">
        <v>38</v>
      </c>
    </row>
    <row r="46" spans="1:5" ht="7.5" customHeight="1" thickBot="1">
      <c r="A46" s="1241"/>
      <c r="B46" s="1503"/>
      <c r="C46" s="1237"/>
      <c r="D46" s="1240"/>
    </row>
    <row r="47" spans="1:5" ht="19" thickBot="1">
      <c r="A47" s="1241"/>
      <c r="B47" s="1503"/>
      <c r="C47" s="1259" t="s">
        <v>39</v>
      </c>
      <c r="D47" s="1238" t="s">
        <v>40</v>
      </c>
    </row>
    <row r="48" spans="1:5" ht="7.5" customHeight="1" thickBot="1">
      <c r="B48" s="1503"/>
      <c r="D48" s="1256"/>
    </row>
    <row r="49" spans="1:5" ht="19" thickBot="1">
      <c r="A49" s="1241"/>
      <c r="B49" s="1504"/>
      <c r="C49" s="1259" t="s">
        <v>41</v>
      </c>
      <c r="D49" s="1238" t="s">
        <v>42</v>
      </c>
    </row>
    <row r="50" spans="1:5" ht="19" customHeight="1" thickBot="1">
      <c r="A50" s="1241"/>
      <c r="B50" s="1241"/>
      <c r="C50" s="1241"/>
      <c r="D50" s="1241"/>
      <c r="E50" s="1241"/>
    </row>
    <row r="51" spans="1:5" ht="37.5" thickBot="1">
      <c r="A51" s="1241"/>
      <c r="B51" s="1502" t="s">
        <v>43</v>
      </c>
      <c r="C51" s="1260" t="s">
        <v>44</v>
      </c>
      <c r="D51" s="1238" t="s">
        <v>45</v>
      </c>
    </row>
    <row r="52" spans="1:5" ht="7.5" customHeight="1" thickBot="1">
      <c r="B52" s="1503"/>
      <c r="D52" s="1256"/>
    </row>
    <row r="53" spans="1:5" ht="37.5" thickBot="1">
      <c r="A53" s="1241"/>
      <c r="B53" s="1503"/>
      <c r="C53" s="1260" t="s">
        <v>46</v>
      </c>
      <c r="D53" s="1238" t="s">
        <v>47</v>
      </c>
    </row>
    <row r="54" spans="1:5" ht="7.5" customHeight="1" thickBot="1">
      <c r="A54" s="1241"/>
      <c r="B54" s="1503"/>
      <c r="C54" s="1237"/>
      <c r="D54" s="1240"/>
    </row>
    <row r="55" spans="1:5" ht="37.5" thickBot="1">
      <c r="A55" s="1241"/>
      <c r="B55" s="1504"/>
      <c r="C55" s="1260" t="s">
        <v>43</v>
      </c>
      <c r="D55" s="1238" t="s">
        <v>48</v>
      </c>
    </row>
    <row r="56" spans="1:5" ht="19" customHeight="1" thickBot="1">
      <c r="A56" s="1241"/>
      <c r="B56" s="1241"/>
      <c r="C56" s="1241"/>
      <c r="D56" s="1241"/>
      <c r="E56" s="1241"/>
    </row>
    <row r="57" spans="1:5" ht="37.5" thickBot="1">
      <c r="A57" s="1241"/>
      <c r="B57" s="1502" t="s">
        <v>49</v>
      </c>
      <c r="C57" s="1261" t="s">
        <v>50</v>
      </c>
      <c r="D57" s="1238" t="s">
        <v>51</v>
      </c>
    </row>
    <row r="58" spans="1:5" ht="7.5" customHeight="1" thickBot="1">
      <c r="A58" s="1241"/>
      <c r="B58" s="1503"/>
      <c r="C58" s="1237"/>
      <c r="D58" s="1240"/>
    </row>
    <row r="59" spans="1:5" ht="31.5" thickBot="1">
      <c r="A59" s="1241"/>
      <c r="B59" s="1503"/>
      <c r="C59" s="1261" t="s">
        <v>52</v>
      </c>
      <c r="D59" s="1238" t="s">
        <v>53</v>
      </c>
    </row>
    <row r="60" spans="1:5" ht="7.5" customHeight="1" thickBot="1">
      <c r="B60" s="1503"/>
      <c r="D60" s="1256"/>
    </row>
    <row r="61" spans="1:5" ht="31.5" thickBot="1">
      <c r="A61" s="1241"/>
      <c r="B61" s="1503"/>
      <c r="C61" s="1261" t="s">
        <v>54</v>
      </c>
      <c r="D61" s="1238" t="s">
        <v>55</v>
      </c>
    </row>
    <row r="62" spans="1:5" ht="7.5" customHeight="1" thickBot="1">
      <c r="A62" s="1241"/>
      <c r="B62" s="1503"/>
      <c r="C62" s="1237"/>
      <c r="D62" s="1240"/>
    </row>
    <row r="63" spans="1:5" ht="37.5" thickBot="1">
      <c r="A63" s="1241"/>
      <c r="B63" s="1504"/>
      <c r="C63" s="1261" t="s">
        <v>56</v>
      </c>
      <c r="D63" s="1238" t="s">
        <v>57</v>
      </c>
    </row>
    <row r="64" spans="1:5" ht="19" customHeight="1" thickBot="1">
      <c r="A64" s="1241"/>
      <c r="B64" s="1241"/>
      <c r="C64" s="1241"/>
      <c r="D64" s="1241"/>
      <c r="E64" s="1241"/>
    </row>
    <row r="65" spans="1:4" ht="31.5" thickBot="1">
      <c r="A65" s="1241"/>
      <c r="B65" s="1502" t="s">
        <v>58</v>
      </c>
      <c r="C65" s="1264" t="s">
        <v>59</v>
      </c>
      <c r="D65" s="1238" t="s">
        <v>60</v>
      </c>
    </row>
    <row r="66" spans="1:4" ht="7.5" customHeight="1" thickBot="1">
      <c r="B66" s="1503"/>
      <c r="D66" s="1256"/>
    </row>
    <row r="67" spans="1:4" ht="19" thickBot="1">
      <c r="A67" s="1241"/>
      <c r="B67" s="1503"/>
      <c r="C67" s="1264" t="s">
        <v>61</v>
      </c>
      <c r="D67" s="1238" t="s">
        <v>62</v>
      </c>
    </row>
    <row r="68" spans="1:4" ht="7.5" customHeight="1" thickBot="1">
      <c r="A68" s="1241"/>
      <c r="B68" s="1503"/>
      <c r="C68" s="1237"/>
      <c r="D68" s="1240"/>
    </row>
    <row r="69" spans="1:4" ht="31.5" thickBot="1">
      <c r="A69" s="1241"/>
      <c r="B69" s="1503"/>
      <c r="C69" s="1264" t="s">
        <v>63</v>
      </c>
      <c r="D69" s="1238" t="s">
        <v>64</v>
      </c>
    </row>
    <row r="70" spans="1:4" ht="7.5" customHeight="1" thickBot="1">
      <c r="B70" s="1503"/>
      <c r="D70" s="1256"/>
    </row>
    <row r="71" spans="1:4" ht="37.5" thickBot="1">
      <c r="A71" s="1241"/>
      <c r="B71" s="1504"/>
      <c r="C71" s="1264" t="s">
        <v>65</v>
      </c>
      <c r="D71" s="1238" t="s">
        <v>66</v>
      </c>
    </row>
  </sheetData>
  <mergeCells count="11">
    <mergeCell ref="B43:B49"/>
    <mergeCell ref="B51:B55"/>
    <mergeCell ref="B57:B63"/>
    <mergeCell ref="B65:B71"/>
    <mergeCell ref="A1:XFD2"/>
    <mergeCell ref="B11:C13"/>
    <mergeCell ref="B9:C9"/>
    <mergeCell ref="B15:C15"/>
    <mergeCell ref="B17:C17"/>
    <mergeCell ref="B21:B25"/>
    <mergeCell ref="B27:B41"/>
  </mergeCells>
  <conditionalFormatting sqref="A1:XFD2">
    <cfRule type="containsBlanks" dxfId="41" priority="1">
      <formula>LEN(TRIM(A1))=0</formula>
    </cfRule>
  </conditionalFormatting>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0DDFAA-C0A6-46DD-877E-1D22389F6003}">
  <sheetPr>
    <tabColor theme="9"/>
  </sheetPr>
  <dimension ref="A1:Q1257"/>
  <sheetViews>
    <sheetView zoomScale="60" zoomScaleNormal="60" workbookViewId="0">
      <selection sqref="A1:XFD2"/>
    </sheetView>
  </sheetViews>
  <sheetFormatPr baseColWidth="10" defaultColWidth="11" defaultRowHeight="14" outlineLevelRow="2"/>
  <cols>
    <col min="2" max="2" width="90.33203125" customWidth="1"/>
    <col min="3" max="3" width="15.6640625" bestFit="1" customWidth="1"/>
    <col min="4" max="4" width="12.33203125" customWidth="1"/>
    <col min="5" max="5" width="13.6640625" customWidth="1"/>
    <col min="6" max="6" width="12.33203125" customWidth="1"/>
    <col min="7" max="7" width="12.5" customWidth="1"/>
    <col min="8" max="8" width="14.1640625" customWidth="1"/>
    <col min="9" max="9" width="14" customWidth="1"/>
    <col min="10" max="10" width="13.1640625" customWidth="1"/>
    <col min="11" max="11" width="12.83203125" bestFit="1" customWidth="1"/>
  </cols>
  <sheetData>
    <row r="1" spans="1:8" s="1505" customFormat="1">
      <c r="A1" s="1505" t="s">
        <v>1126</v>
      </c>
    </row>
    <row r="2" spans="1:8" s="1505" customFormat="1"/>
    <row r="5" spans="1:8">
      <c r="B5" s="1251" t="s">
        <v>29</v>
      </c>
    </row>
    <row r="6" spans="1:8">
      <c r="B6" s="1251"/>
    </row>
    <row r="7" spans="1:8" ht="23.5">
      <c r="B7" s="2" t="s">
        <v>180</v>
      </c>
    </row>
    <row r="9" spans="1:8" ht="28" hidden="1" outlineLevel="1">
      <c r="B9" s="543" t="s">
        <v>82</v>
      </c>
      <c r="C9" s="671" t="s">
        <v>83</v>
      </c>
      <c r="D9" s="671" t="s">
        <v>84</v>
      </c>
      <c r="E9" s="671" t="s">
        <v>1127</v>
      </c>
      <c r="F9" s="671" t="s">
        <v>86</v>
      </c>
      <c r="G9" s="671" t="s">
        <v>88</v>
      </c>
      <c r="H9" s="672" t="s">
        <v>89</v>
      </c>
    </row>
    <row r="10" spans="1:8" hidden="1" outlineLevel="1">
      <c r="B10" s="545" t="s">
        <v>1128</v>
      </c>
      <c r="C10" s="1016">
        <f>SUM(D10:H10)</f>
        <v>15.251172885898686</v>
      </c>
      <c r="D10" s="674">
        <f>C1028</f>
        <v>9.9603330567764274</v>
      </c>
      <c r="E10" s="674">
        <f>C1082</f>
        <v>2.727575951128733</v>
      </c>
      <c r="F10" s="674">
        <f>C1098</f>
        <v>1.1943690838084617</v>
      </c>
      <c r="G10" s="674">
        <f>C1120+D1120</f>
        <v>0.64133074522749423</v>
      </c>
      <c r="H10" s="675">
        <f>C1136</f>
        <v>0.72756404895756888</v>
      </c>
    </row>
    <row r="11" spans="1:8" ht="14.5" hidden="1" outlineLevel="1" thickBot="1">
      <c r="B11" s="546" t="s">
        <v>1129</v>
      </c>
      <c r="C11" s="678">
        <f>SUM(D11:H11)</f>
        <v>6.849623903956326</v>
      </c>
      <c r="D11" s="676">
        <f>C1172</f>
        <v>1.5433923922969957</v>
      </c>
      <c r="E11" s="676">
        <f>C1174+E1194</f>
        <v>2.8127656140312145</v>
      </c>
      <c r="F11" s="676">
        <f>C1184</f>
        <v>1.2950410428672066</v>
      </c>
      <c r="G11" s="676">
        <f>C1232</f>
        <v>0.82826104863603556</v>
      </c>
      <c r="H11" s="677">
        <f>C1248</f>
        <v>0.37016380612487504</v>
      </c>
    </row>
    <row r="12" spans="1:8" hidden="1" outlineLevel="1"/>
    <row r="13" spans="1:8" hidden="1" outlineLevel="1"/>
    <row r="14" spans="1:8" hidden="1" outlineLevel="1">
      <c r="C14" s="103"/>
    </row>
    <row r="15" spans="1:8" hidden="1" outlineLevel="1">
      <c r="C15" s="103"/>
    </row>
    <row r="16" spans="1:8" hidden="1" outlineLevel="1"/>
    <row r="17" spans="2:3" hidden="1" outlineLevel="1"/>
    <row r="18" spans="2:3" hidden="1" outlineLevel="1"/>
    <row r="19" spans="2:3" hidden="1" outlineLevel="1"/>
    <row r="20" spans="2:3" hidden="1" outlineLevel="1"/>
    <row r="21" spans="2:3" hidden="1" outlineLevel="1"/>
    <row r="22" spans="2:3" hidden="1" outlineLevel="1"/>
    <row r="23" spans="2:3" hidden="1" outlineLevel="1"/>
    <row r="24" spans="2:3" hidden="1" outlineLevel="1"/>
    <row r="25" spans="2:3" hidden="1" outlineLevel="1"/>
    <row r="26" spans="2:3" collapsed="1"/>
    <row r="27" spans="2:3" ht="23.5">
      <c r="B27" s="2" t="s">
        <v>1130</v>
      </c>
    </row>
    <row r="29" spans="2:3" ht="18">
      <c r="B29" s="258" t="s">
        <v>1131</v>
      </c>
    </row>
    <row r="31" spans="2:3" ht="14.5" hidden="1" outlineLevel="1" thickBot="1">
      <c r="B31" s="1251" t="s">
        <v>1132</v>
      </c>
    </row>
    <row r="32" spans="2:3" hidden="1" outlineLevel="1">
      <c r="B32" s="543"/>
      <c r="C32" s="672" t="s">
        <v>1133</v>
      </c>
    </row>
    <row r="33" spans="2:4" hidden="1" outlineLevel="1">
      <c r="B33" s="545" t="s">
        <v>1134</v>
      </c>
      <c r="C33" s="90">
        <f>SUM(C35:C40)</f>
        <v>735511930.95000052</v>
      </c>
    </row>
    <row r="34" spans="2:4" hidden="1" outlineLevel="1">
      <c r="B34" s="545" t="s">
        <v>1134</v>
      </c>
      <c r="C34" s="90">
        <v>0</v>
      </c>
    </row>
    <row r="35" spans="2:4" hidden="1" outlineLevel="1">
      <c r="B35" s="1140" t="s">
        <v>1135</v>
      </c>
      <c r="C35" s="1329">
        <v>74548760.680000171</v>
      </c>
    </row>
    <row r="36" spans="2:4" hidden="1" outlineLevel="1">
      <c r="B36" s="1140" t="s">
        <v>1136</v>
      </c>
      <c r="C36" s="1329">
        <v>40427734.880000219</v>
      </c>
    </row>
    <row r="37" spans="2:4" hidden="1" outlineLevel="1">
      <c r="B37" s="1140" t="s">
        <v>1137</v>
      </c>
      <c r="C37" s="1329">
        <v>187396219.09999993</v>
      </c>
    </row>
    <row r="38" spans="2:4" hidden="1" outlineLevel="1">
      <c r="B38" s="1140" t="s">
        <v>1138</v>
      </c>
      <c r="C38" s="270">
        <v>382863850.04000008</v>
      </c>
    </row>
    <row r="39" spans="2:4" hidden="1" outlineLevel="1">
      <c r="B39" s="1140" t="s">
        <v>1139</v>
      </c>
      <c r="C39" s="270">
        <v>22094991.230000034</v>
      </c>
    </row>
    <row r="40" spans="2:4" hidden="1" outlineLevel="1">
      <c r="B40" s="1140" t="s">
        <v>1140</v>
      </c>
      <c r="C40" s="270">
        <v>28180375.020000063</v>
      </c>
    </row>
    <row r="41" spans="2:4" hidden="1" outlineLevel="1">
      <c r="B41" s="545" t="s">
        <v>1141</v>
      </c>
      <c r="C41" s="196">
        <v>184758952.95930737</v>
      </c>
      <c r="D41" s="1251" t="s">
        <v>1142</v>
      </c>
    </row>
    <row r="42" spans="2:4" hidden="1" outlineLevel="1">
      <c r="B42" s="545" t="s">
        <v>1143</v>
      </c>
      <c r="C42" s="122">
        <v>81300000</v>
      </c>
    </row>
    <row r="43" spans="2:4" ht="14.5" hidden="1" outlineLevel="1" thickBot="1">
      <c r="B43" s="546" t="s">
        <v>287</v>
      </c>
      <c r="C43" s="809">
        <f>SUM(C35:C42)</f>
        <v>1001570883.909308</v>
      </c>
    </row>
    <row r="44" spans="2:4" hidden="1" outlineLevel="1"/>
    <row r="45" spans="2:4" hidden="1" outlineLevel="1"/>
    <row r="46" spans="2:4" hidden="1" outlineLevel="1"/>
    <row r="47" spans="2:4" hidden="1" outlineLevel="1"/>
    <row r="48" spans="2:4" hidden="1" outlineLevel="1"/>
    <row r="49" hidden="1" outlineLevel="1"/>
    <row r="50" hidden="1" outlineLevel="1"/>
    <row r="51" hidden="1" outlineLevel="1"/>
    <row r="52" hidden="1" outlineLevel="1"/>
    <row r="53" hidden="1" outlineLevel="1"/>
    <row r="54" hidden="1" outlineLevel="1"/>
    <row r="55" hidden="1" outlineLevel="1"/>
    <row r="56" hidden="1" outlineLevel="1"/>
    <row r="57" hidden="1" outlineLevel="1"/>
    <row r="58" hidden="1" outlineLevel="1"/>
    <row r="59" hidden="1" outlineLevel="1"/>
    <row r="60" hidden="1" outlineLevel="1"/>
    <row r="61" hidden="1" outlineLevel="1"/>
    <row r="62" hidden="1" outlineLevel="1"/>
    <row r="63" hidden="1" outlineLevel="1"/>
    <row r="64" hidden="1" outlineLevel="1"/>
    <row r="65" spans="2:10" hidden="1" outlineLevel="1"/>
    <row r="66" spans="2:10" hidden="1" outlineLevel="1"/>
    <row r="67" spans="2:10" collapsed="1"/>
    <row r="68" spans="2:10" ht="18">
      <c r="B68" s="258" t="s">
        <v>1144</v>
      </c>
    </row>
    <row r="70" spans="2:10" hidden="1" outlineLevel="1">
      <c r="B70" s="1251" t="s">
        <v>1145</v>
      </c>
    </row>
    <row r="71" spans="2:10" hidden="1" outlineLevel="1">
      <c r="B71" s="1251" t="s">
        <v>1146</v>
      </c>
    </row>
    <row r="72" spans="2:10" ht="14.5" hidden="1" outlineLevel="1" thickBot="1">
      <c r="B72" s="1251" t="s">
        <v>1147</v>
      </c>
    </row>
    <row r="73" spans="2:10" ht="42" hidden="1" outlineLevel="1">
      <c r="B73" s="670"/>
      <c r="C73" s="671" t="s">
        <v>685</v>
      </c>
      <c r="D73" s="671" t="s">
        <v>1148</v>
      </c>
      <c r="E73" s="671" t="s">
        <v>1149</v>
      </c>
      <c r="F73" s="671" t="s">
        <v>1150</v>
      </c>
      <c r="G73" s="671" t="s">
        <v>1151</v>
      </c>
      <c r="H73" s="672" t="s">
        <v>1152</v>
      </c>
      <c r="I73" s="671" t="s">
        <v>1151</v>
      </c>
      <c r="J73" s="672" t="s">
        <v>1152</v>
      </c>
    </row>
    <row r="74" spans="2:10" hidden="1" outlineLevel="2">
      <c r="B74" s="276" t="s">
        <v>1153</v>
      </c>
      <c r="C74" s="778">
        <v>2157938</v>
      </c>
      <c r="D74" s="1307">
        <v>600</v>
      </c>
      <c r="E74" s="1307">
        <v>750</v>
      </c>
      <c r="F74" s="36">
        <v>10</v>
      </c>
      <c r="G74" s="674">
        <f t="shared" ref="G74:G81" si="0">D74*F74*10^-4</f>
        <v>0.6</v>
      </c>
      <c r="H74" s="577">
        <f t="shared" ref="H74:H81" si="1">G74*C74</f>
        <v>1294762.8</v>
      </c>
      <c r="I74" s="674">
        <f>E74*F74*10^-4</f>
        <v>0.75</v>
      </c>
      <c r="J74" s="577">
        <f>I74*C74</f>
        <v>1618453.5</v>
      </c>
    </row>
    <row r="75" spans="2:10" hidden="1" outlineLevel="2">
      <c r="B75" s="276" t="s">
        <v>1154</v>
      </c>
      <c r="C75" s="78">
        <v>241287</v>
      </c>
      <c r="D75" s="11">
        <v>600</v>
      </c>
      <c r="E75" s="11">
        <v>750</v>
      </c>
      <c r="F75" s="36">
        <v>12</v>
      </c>
      <c r="G75" s="674">
        <f t="shared" si="0"/>
        <v>0.72000000000000008</v>
      </c>
      <c r="H75" s="577">
        <f t="shared" si="1"/>
        <v>173726.64</v>
      </c>
      <c r="I75" s="674">
        <f t="shared" ref="I75:I81" si="2">E75*F75*10^-4</f>
        <v>0.9</v>
      </c>
      <c r="J75" s="577">
        <f t="shared" ref="J75:J81" si="3">I75*C75</f>
        <v>217158.30000000002</v>
      </c>
    </row>
    <row r="76" spans="2:10" hidden="1" outlineLevel="2">
      <c r="B76" s="276" t="s">
        <v>1155</v>
      </c>
      <c r="C76" s="78">
        <v>157243</v>
      </c>
      <c r="D76" s="11">
        <v>600</v>
      </c>
      <c r="E76" s="11">
        <v>750</v>
      </c>
      <c r="F76" s="36">
        <v>8</v>
      </c>
      <c r="G76" s="674">
        <f t="shared" si="0"/>
        <v>0.48000000000000004</v>
      </c>
      <c r="H76" s="577">
        <f t="shared" si="1"/>
        <v>75476.639999999999</v>
      </c>
      <c r="I76" s="674">
        <f t="shared" si="2"/>
        <v>0.6</v>
      </c>
      <c r="J76" s="577">
        <f t="shared" si="3"/>
        <v>94345.8</v>
      </c>
    </row>
    <row r="77" spans="2:10" hidden="1" outlineLevel="2">
      <c r="B77" s="276" t="s">
        <v>1156</v>
      </c>
      <c r="C77" s="78">
        <v>1836012</v>
      </c>
      <c r="D77" s="11">
        <v>730</v>
      </c>
      <c r="E77" s="11">
        <v>1050</v>
      </c>
      <c r="F77" s="36">
        <v>10</v>
      </c>
      <c r="G77" s="674">
        <f t="shared" si="0"/>
        <v>0.73</v>
      </c>
      <c r="H77" s="577">
        <f t="shared" si="1"/>
        <v>1340288.76</v>
      </c>
      <c r="I77" s="674">
        <f t="shared" si="2"/>
        <v>1.05</v>
      </c>
      <c r="J77" s="577">
        <f t="shared" si="3"/>
        <v>1927812.6</v>
      </c>
    </row>
    <row r="78" spans="2:10" hidden="1" outlineLevel="2">
      <c r="B78" s="276" t="s">
        <v>1157</v>
      </c>
      <c r="C78" s="78">
        <v>532741</v>
      </c>
      <c r="D78" s="11">
        <v>730</v>
      </c>
      <c r="E78" s="11">
        <v>1050</v>
      </c>
      <c r="F78" s="36">
        <v>12</v>
      </c>
      <c r="G78" s="674">
        <f t="shared" si="0"/>
        <v>0.876</v>
      </c>
      <c r="H78" s="577">
        <f t="shared" si="1"/>
        <v>466681.11599999998</v>
      </c>
      <c r="I78" s="674">
        <f t="shared" si="2"/>
        <v>1.26</v>
      </c>
      <c r="J78" s="577">
        <f t="shared" si="3"/>
        <v>671253.66</v>
      </c>
    </row>
    <row r="79" spans="2:10" hidden="1" outlineLevel="2">
      <c r="B79" s="276" t="s">
        <v>1158</v>
      </c>
      <c r="C79" s="78">
        <v>47320</v>
      </c>
      <c r="D79" s="11">
        <v>730</v>
      </c>
      <c r="E79" s="11">
        <v>1050</v>
      </c>
      <c r="F79" s="36">
        <v>8</v>
      </c>
      <c r="G79" s="674">
        <f t="shared" si="0"/>
        <v>0.58400000000000007</v>
      </c>
      <c r="H79" s="577">
        <f t="shared" si="1"/>
        <v>27634.880000000005</v>
      </c>
      <c r="I79" s="674">
        <f t="shared" si="2"/>
        <v>0.84000000000000008</v>
      </c>
      <c r="J79" s="577">
        <f t="shared" si="3"/>
        <v>39748.800000000003</v>
      </c>
    </row>
    <row r="80" spans="2:10" hidden="1" outlineLevel="2">
      <c r="B80" s="276" t="s">
        <v>1159</v>
      </c>
      <c r="C80" s="78">
        <v>289720</v>
      </c>
      <c r="D80" s="11">
        <v>600</v>
      </c>
      <c r="E80" s="11">
        <v>750</v>
      </c>
      <c r="F80" s="36">
        <v>10</v>
      </c>
      <c r="G80" s="674">
        <f t="shared" si="0"/>
        <v>0.6</v>
      </c>
      <c r="H80" s="577">
        <f t="shared" si="1"/>
        <v>173832</v>
      </c>
      <c r="I80" s="674">
        <f t="shared" si="2"/>
        <v>0.75</v>
      </c>
      <c r="J80" s="577">
        <f t="shared" si="3"/>
        <v>217290</v>
      </c>
    </row>
    <row r="81" spans="2:10" ht="14.5" hidden="1" outlineLevel="2" thickBot="1">
      <c r="B81" s="515" t="s">
        <v>1160</v>
      </c>
      <c r="C81" s="780">
        <v>314045</v>
      </c>
      <c r="D81" s="355">
        <v>730</v>
      </c>
      <c r="E81" s="355">
        <v>1050</v>
      </c>
      <c r="F81" s="781">
        <v>12</v>
      </c>
      <c r="G81" s="779">
        <f t="shared" si="0"/>
        <v>0.876</v>
      </c>
      <c r="H81" s="733">
        <f t="shared" si="1"/>
        <v>275103.42</v>
      </c>
      <c r="I81" s="674">
        <f t="shared" si="2"/>
        <v>1.26</v>
      </c>
      <c r="J81" s="577">
        <f t="shared" si="3"/>
        <v>395696.7</v>
      </c>
    </row>
    <row r="82" spans="2:10" hidden="1" outlineLevel="2">
      <c r="B82" s="782" t="s">
        <v>1161</v>
      </c>
      <c r="C82" s="783">
        <f>SUM(C74:C81)</f>
        <v>5576306</v>
      </c>
      <c r="D82" s="783"/>
      <c r="E82" s="783"/>
      <c r="F82" s="783"/>
      <c r="G82" s="783"/>
      <c r="H82" s="450">
        <f>SUM(H74:H81)</f>
        <v>3827506.2559999996</v>
      </c>
      <c r="I82" s="783"/>
      <c r="J82" s="450">
        <f>SUM(J74:J81)</f>
        <v>5181759.3600000003</v>
      </c>
    </row>
    <row r="83" spans="2:10" ht="14.5" hidden="1" outlineLevel="1" collapsed="1" thickBot="1">
      <c r="B83" s="403" t="s">
        <v>1162</v>
      </c>
      <c r="C83" s="198">
        <f>C82/87.2%</f>
        <v>6394846.3302752292</v>
      </c>
      <c r="D83" s="14"/>
      <c r="E83" s="14"/>
      <c r="F83" s="14"/>
      <c r="G83" s="14"/>
      <c r="H83" s="199">
        <f>H82/87.2%</f>
        <v>4389342.0366972471</v>
      </c>
      <c r="I83" s="14"/>
      <c r="J83" s="199">
        <f>J82/87.2%</f>
        <v>5942384.5871559633</v>
      </c>
    </row>
    <row r="84" spans="2:10" hidden="1" outlineLevel="1"/>
    <row r="85" spans="2:10" collapsed="1">
      <c r="H85" s="23"/>
    </row>
    <row r="86" spans="2:10" ht="18">
      <c r="B86" s="258" t="s">
        <v>1163</v>
      </c>
    </row>
    <row r="88" spans="2:10" ht="14.5" hidden="1" outlineLevel="1" thickBot="1">
      <c r="B88" s="1251" t="s">
        <v>1164</v>
      </c>
    </row>
    <row r="89" spans="2:10" s="1" customFormat="1" ht="28.5" hidden="1" outlineLevel="1" thickBot="1">
      <c r="B89" s="670"/>
      <c r="C89" s="671" t="s">
        <v>685</v>
      </c>
      <c r="D89" s="671" t="s">
        <v>1165</v>
      </c>
      <c r="E89" s="671" t="s">
        <v>1166</v>
      </c>
      <c r="F89" s="671" t="s">
        <v>1167</v>
      </c>
      <c r="G89" s="671" t="s">
        <v>1168</v>
      </c>
      <c r="H89" s="672" t="s">
        <v>1169</v>
      </c>
    </row>
    <row r="90" spans="2:10" hidden="1" outlineLevel="2">
      <c r="B90" s="276" t="s">
        <v>1170</v>
      </c>
      <c r="C90" s="1307">
        <v>32313</v>
      </c>
      <c r="D90" s="1307">
        <v>56</v>
      </c>
      <c r="E90" s="1307">
        <f>20</f>
        <v>20</v>
      </c>
      <c r="F90" s="36">
        <f>E90*D90/10000</f>
        <v>0.112</v>
      </c>
      <c r="G90" s="201">
        <f>F90*C90</f>
        <v>3619.056</v>
      </c>
      <c r="H90" s="577">
        <f>E90*C90</f>
        <v>646260</v>
      </c>
    </row>
    <row r="91" spans="2:10" hidden="1" outlineLevel="2">
      <c r="B91" s="276" t="s">
        <v>1171</v>
      </c>
      <c r="C91" s="1307">
        <v>76625</v>
      </c>
      <c r="D91" s="1307">
        <v>56</v>
      </c>
      <c r="E91" s="1307">
        <f>20</f>
        <v>20</v>
      </c>
      <c r="F91" s="36">
        <f t="shared" ref="F91:F154" si="4">E91*D91/10000</f>
        <v>0.112</v>
      </c>
      <c r="G91" s="201">
        <f t="shared" ref="G91:G154" si="5">F91*C91</f>
        <v>8582</v>
      </c>
      <c r="H91" s="577">
        <f t="shared" ref="H91:H154" si="6">E91*C91</f>
        <v>1532500</v>
      </c>
    </row>
    <row r="92" spans="2:10" hidden="1" outlineLevel="2">
      <c r="B92" s="276" t="s">
        <v>1172</v>
      </c>
      <c r="C92" s="1307">
        <v>68013</v>
      </c>
      <c r="D92" s="1307">
        <v>56</v>
      </c>
      <c r="E92" s="1307">
        <f>20</f>
        <v>20</v>
      </c>
      <c r="F92" s="36">
        <f t="shared" si="4"/>
        <v>0.112</v>
      </c>
      <c r="G92" s="201">
        <f t="shared" si="5"/>
        <v>7617.4560000000001</v>
      </c>
      <c r="H92" s="577">
        <f t="shared" si="6"/>
        <v>1360260</v>
      </c>
    </row>
    <row r="93" spans="2:10" hidden="1" outlineLevel="2">
      <c r="B93" s="276" t="s">
        <v>1173</v>
      </c>
      <c r="C93" s="1307">
        <v>589156</v>
      </c>
      <c r="D93" s="1307">
        <v>56</v>
      </c>
      <c r="E93" s="1307">
        <f>20</f>
        <v>20</v>
      </c>
      <c r="F93" s="36">
        <f t="shared" si="4"/>
        <v>0.112</v>
      </c>
      <c r="G93" s="201">
        <f t="shared" si="5"/>
        <v>65985.471999999994</v>
      </c>
      <c r="H93" s="577">
        <f t="shared" si="6"/>
        <v>11783120</v>
      </c>
    </row>
    <row r="94" spans="2:10" hidden="1" outlineLevel="2">
      <c r="B94" s="276" t="s">
        <v>1174</v>
      </c>
      <c r="C94" s="1307">
        <v>33348</v>
      </c>
      <c r="D94" s="1307">
        <v>56</v>
      </c>
      <c r="E94" s="1307">
        <f>20</f>
        <v>20</v>
      </c>
      <c r="F94" s="36">
        <f t="shared" si="4"/>
        <v>0.112</v>
      </c>
      <c r="G94" s="201">
        <f t="shared" si="5"/>
        <v>3734.9760000000001</v>
      </c>
      <c r="H94" s="577">
        <f t="shared" si="6"/>
        <v>666960</v>
      </c>
    </row>
    <row r="95" spans="2:10" hidden="1" outlineLevel="2">
      <c r="B95" s="276" t="s">
        <v>1175</v>
      </c>
      <c r="C95" s="1307">
        <v>7550</v>
      </c>
      <c r="D95" s="1307">
        <v>56</v>
      </c>
      <c r="E95" s="1307">
        <f>20</f>
        <v>20</v>
      </c>
      <c r="F95" s="36">
        <f t="shared" si="4"/>
        <v>0.112</v>
      </c>
      <c r="G95" s="201">
        <f t="shared" si="5"/>
        <v>845.6</v>
      </c>
      <c r="H95" s="577">
        <f t="shared" si="6"/>
        <v>151000</v>
      </c>
    </row>
    <row r="96" spans="2:10" hidden="1" outlineLevel="2">
      <c r="B96" s="276" t="s">
        <v>1176</v>
      </c>
      <c r="C96" s="1307">
        <v>374921</v>
      </c>
      <c r="D96" s="1307">
        <v>56</v>
      </c>
      <c r="E96" s="1307">
        <f>20</f>
        <v>20</v>
      </c>
      <c r="F96" s="36">
        <f t="shared" si="4"/>
        <v>0.112</v>
      </c>
      <c r="G96" s="201">
        <f t="shared" si="5"/>
        <v>41991.152000000002</v>
      </c>
      <c r="H96" s="577">
        <f t="shared" si="6"/>
        <v>7498420</v>
      </c>
    </row>
    <row r="97" spans="2:8" hidden="1" outlineLevel="2">
      <c r="B97" s="276" t="s">
        <v>1177</v>
      </c>
      <c r="C97" s="1307">
        <v>254115</v>
      </c>
      <c r="D97" s="1307">
        <v>56</v>
      </c>
      <c r="E97" s="1307">
        <f>20</f>
        <v>20</v>
      </c>
      <c r="F97" s="36">
        <f t="shared" si="4"/>
        <v>0.112</v>
      </c>
      <c r="G97" s="201">
        <f t="shared" si="5"/>
        <v>28460.880000000001</v>
      </c>
      <c r="H97" s="577">
        <f t="shared" si="6"/>
        <v>5082300</v>
      </c>
    </row>
    <row r="98" spans="2:8" hidden="1" outlineLevel="2">
      <c r="B98" s="276" t="s">
        <v>1178</v>
      </c>
      <c r="C98" s="1307">
        <v>1168</v>
      </c>
      <c r="D98" s="1307">
        <v>56</v>
      </c>
      <c r="E98" s="1307">
        <f>20</f>
        <v>20</v>
      </c>
      <c r="F98" s="36">
        <f t="shared" si="4"/>
        <v>0.112</v>
      </c>
      <c r="G98" s="201">
        <f t="shared" si="5"/>
        <v>130.816</v>
      </c>
      <c r="H98" s="577">
        <f t="shared" si="6"/>
        <v>23360</v>
      </c>
    </row>
    <row r="99" spans="2:8" hidden="1" outlineLevel="2">
      <c r="B99" s="276" t="s">
        <v>1179</v>
      </c>
      <c r="C99" s="1307">
        <v>9151</v>
      </c>
      <c r="D99" s="1307">
        <v>56</v>
      </c>
      <c r="E99" s="1307">
        <f>20</f>
        <v>20</v>
      </c>
      <c r="F99" s="36">
        <f t="shared" si="4"/>
        <v>0.112</v>
      </c>
      <c r="G99" s="201">
        <f t="shared" si="5"/>
        <v>1024.912</v>
      </c>
      <c r="H99" s="577">
        <f t="shared" si="6"/>
        <v>183020</v>
      </c>
    </row>
    <row r="100" spans="2:8" hidden="1" outlineLevel="2">
      <c r="B100" s="276" t="s">
        <v>1180</v>
      </c>
      <c r="C100" s="1307">
        <v>87245</v>
      </c>
      <c r="D100" s="1307">
        <v>56</v>
      </c>
      <c r="E100" s="1307">
        <f>20</f>
        <v>20</v>
      </c>
      <c r="F100" s="36">
        <f t="shared" si="4"/>
        <v>0.112</v>
      </c>
      <c r="G100" s="201">
        <f t="shared" si="5"/>
        <v>9771.44</v>
      </c>
      <c r="H100" s="577">
        <f t="shared" si="6"/>
        <v>1744900</v>
      </c>
    </row>
    <row r="101" spans="2:8" hidden="1" outlineLevel="2">
      <c r="B101" s="276" t="s">
        <v>1181</v>
      </c>
      <c r="C101" s="1307">
        <v>76777</v>
      </c>
      <c r="D101" s="1307">
        <v>56</v>
      </c>
      <c r="E101" s="1307">
        <f>20</f>
        <v>20</v>
      </c>
      <c r="F101" s="36">
        <f t="shared" si="4"/>
        <v>0.112</v>
      </c>
      <c r="G101" s="201">
        <f t="shared" si="5"/>
        <v>8599.0239999999994</v>
      </c>
      <c r="H101" s="577">
        <f t="shared" si="6"/>
        <v>1535540</v>
      </c>
    </row>
    <row r="102" spans="2:8" hidden="1" outlineLevel="2">
      <c r="B102" s="276" t="s">
        <v>1182</v>
      </c>
      <c r="C102" s="1307">
        <v>548337</v>
      </c>
      <c r="D102" s="1307">
        <v>56</v>
      </c>
      <c r="E102" s="1307">
        <f>20</f>
        <v>20</v>
      </c>
      <c r="F102" s="36">
        <f t="shared" si="4"/>
        <v>0.112</v>
      </c>
      <c r="G102" s="201">
        <f t="shared" si="5"/>
        <v>61413.743999999999</v>
      </c>
      <c r="H102" s="577">
        <f t="shared" si="6"/>
        <v>10966740</v>
      </c>
    </row>
    <row r="103" spans="2:8" hidden="1" outlineLevel="2">
      <c r="B103" s="276" t="s">
        <v>1183</v>
      </c>
      <c r="C103" s="1307">
        <v>11545</v>
      </c>
      <c r="D103" s="1307">
        <v>56</v>
      </c>
      <c r="E103" s="1307">
        <f>20</f>
        <v>20</v>
      </c>
      <c r="F103" s="36">
        <f t="shared" si="4"/>
        <v>0.112</v>
      </c>
      <c r="G103" s="201">
        <f t="shared" si="5"/>
        <v>1293.04</v>
      </c>
      <c r="H103" s="577">
        <f t="shared" si="6"/>
        <v>230900</v>
      </c>
    </row>
    <row r="104" spans="2:8" hidden="1" outlineLevel="2">
      <c r="B104" s="276" t="s">
        <v>1184</v>
      </c>
      <c r="C104" s="1307">
        <v>231814</v>
      </c>
      <c r="D104" s="1307">
        <v>56</v>
      </c>
      <c r="E104" s="1307">
        <f>20</f>
        <v>20</v>
      </c>
      <c r="F104" s="36">
        <f t="shared" si="4"/>
        <v>0.112</v>
      </c>
      <c r="G104" s="201">
        <f t="shared" si="5"/>
        <v>25963.168000000001</v>
      </c>
      <c r="H104" s="577">
        <f t="shared" si="6"/>
        <v>4636280</v>
      </c>
    </row>
    <row r="105" spans="2:8" hidden="1" outlineLevel="2">
      <c r="B105" s="276" t="s">
        <v>1185</v>
      </c>
      <c r="C105" s="1307">
        <v>17883</v>
      </c>
      <c r="D105" s="1307">
        <v>56</v>
      </c>
      <c r="E105" s="1307">
        <v>50</v>
      </c>
      <c r="F105" s="36">
        <f t="shared" si="4"/>
        <v>0.28000000000000003</v>
      </c>
      <c r="G105" s="201">
        <f t="shared" si="5"/>
        <v>5007.2400000000007</v>
      </c>
      <c r="H105" s="577">
        <f t="shared" si="6"/>
        <v>894150</v>
      </c>
    </row>
    <row r="106" spans="2:8" hidden="1" outlineLevel="2">
      <c r="B106" s="276" t="s">
        <v>1186</v>
      </c>
      <c r="C106" s="1307">
        <v>21281</v>
      </c>
      <c r="D106" s="1307">
        <v>56</v>
      </c>
      <c r="E106" s="1307">
        <v>50</v>
      </c>
      <c r="F106" s="36">
        <f t="shared" si="4"/>
        <v>0.28000000000000003</v>
      </c>
      <c r="G106" s="201">
        <f t="shared" si="5"/>
        <v>5958.68</v>
      </c>
      <c r="H106" s="577">
        <f t="shared" si="6"/>
        <v>1064050</v>
      </c>
    </row>
    <row r="107" spans="2:8" hidden="1" outlineLevel="2">
      <c r="B107" s="276" t="s">
        <v>1187</v>
      </c>
      <c r="C107" s="1307">
        <v>29265</v>
      </c>
      <c r="D107" s="1307">
        <v>56</v>
      </c>
      <c r="E107" s="1307">
        <v>50</v>
      </c>
      <c r="F107" s="36">
        <f t="shared" si="4"/>
        <v>0.28000000000000003</v>
      </c>
      <c r="G107" s="201">
        <f t="shared" si="5"/>
        <v>8194.2000000000007</v>
      </c>
      <c r="H107" s="577">
        <f t="shared" si="6"/>
        <v>1463250</v>
      </c>
    </row>
    <row r="108" spans="2:8" hidden="1" outlineLevel="2">
      <c r="B108" s="276" t="s">
        <v>1188</v>
      </c>
      <c r="C108" s="1307">
        <v>123367</v>
      </c>
      <c r="D108" s="1307">
        <v>56</v>
      </c>
      <c r="E108" s="1307">
        <v>50</v>
      </c>
      <c r="F108" s="36">
        <f t="shared" si="4"/>
        <v>0.28000000000000003</v>
      </c>
      <c r="G108" s="201">
        <f t="shared" si="5"/>
        <v>34542.76</v>
      </c>
      <c r="H108" s="577">
        <f t="shared" si="6"/>
        <v>6168350</v>
      </c>
    </row>
    <row r="109" spans="2:8" hidden="1" outlineLevel="2">
      <c r="B109" s="276" t="s">
        <v>1189</v>
      </c>
      <c r="C109" s="1307">
        <v>13748</v>
      </c>
      <c r="D109" s="1307">
        <v>56</v>
      </c>
      <c r="E109" s="1307">
        <v>50</v>
      </c>
      <c r="F109" s="36">
        <f t="shared" si="4"/>
        <v>0.28000000000000003</v>
      </c>
      <c r="G109" s="201">
        <f t="shared" si="5"/>
        <v>3849.4400000000005</v>
      </c>
      <c r="H109" s="577">
        <f t="shared" si="6"/>
        <v>687400</v>
      </c>
    </row>
    <row r="110" spans="2:8" hidden="1" outlineLevel="2">
      <c r="B110" s="276" t="s">
        <v>1190</v>
      </c>
      <c r="C110" s="1307">
        <v>3756</v>
      </c>
      <c r="D110" s="1307">
        <v>56</v>
      </c>
      <c r="E110" s="1307">
        <v>50</v>
      </c>
      <c r="F110" s="36">
        <f t="shared" si="4"/>
        <v>0.28000000000000003</v>
      </c>
      <c r="G110" s="201">
        <f t="shared" si="5"/>
        <v>1051.68</v>
      </c>
      <c r="H110" s="577">
        <f t="shared" si="6"/>
        <v>187800</v>
      </c>
    </row>
    <row r="111" spans="2:8" hidden="1" outlineLevel="2">
      <c r="B111" s="276" t="s">
        <v>1191</v>
      </c>
      <c r="C111" s="1307">
        <v>148614</v>
      </c>
      <c r="D111" s="1307">
        <v>56</v>
      </c>
      <c r="E111" s="1307">
        <v>50</v>
      </c>
      <c r="F111" s="36">
        <f t="shared" si="4"/>
        <v>0.28000000000000003</v>
      </c>
      <c r="G111" s="201">
        <f t="shared" si="5"/>
        <v>41611.920000000006</v>
      </c>
      <c r="H111" s="577">
        <f t="shared" si="6"/>
        <v>7430700</v>
      </c>
    </row>
    <row r="112" spans="2:8" hidden="1" outlineLevel="2">
      <c r="B112" s="276" t="s">
        <v>1192</v>
      </c>
      <c r="C112" s="1307">
        <v>77784</v>
      </c>
      <c r="D112" s="1307">
        <v>56</v>
      </c>
      <c r="E112" s="1307">
        <v>50</v>
      </c>
      <c r="F112" s="36">
        <f t="shared" si="4"/>
        <v>0.28000000000000003</v>
      </c>
      <c r="G112" s="201">
        <f t="shared" si="5"/>
        <v>21779.52</v>
      </c>
      <c r="H112" s="577">
        <f t="shared" si="6"/>
        <v>3889200</v>
      </c>
    </row>
    <row r="113" spans="2:8" hidden="1" outlineLevel="2">
      <c r="B113" s="276" t="s">
        <v>1193</v>
      </c>
      <c r="C113" s="1307">
        <v>3058</v>
      </c>
      <c r="D113" s="1307">
        <v>56</v>
      </c>
      <c r="E113" s="1307">
        <v>50</v>
      </c>
      <c r="F113" s="36">
        <f t="shared" si="4"/>
        <v>0.28000000000000003</v>
      </c>
      <c r="G113" s="201">
        <f t="shared" si="5"/>
        <v>856.24000000000012</v>
      </c>
      <c r="H113" s="577">
        <f t="shared" si="6"/>
        <v>152900</v>
      </c>
    </row>
    <row r="114" spans="2:8" hidden="1" outlineLevel="2">
      <c r="B114" s="276" t="s">
        <v>1194</v>
      </c>
      <c r="C114" s="1307">
        <v>3411</v>
      </c>
      <c r="D114" s="1307">
        <v>56</v>
      </c>
      <c r="E114" s="1307">
        <v>50</v>
      </c>
      <c r="F114" s="36">
        <f t="shared" si="4"/>
        <v>0.28000000000000003</v>
      </c>
      <c r="G114" s="201">
        <f t="shared" si="5"/>
        <v>955.08</v>
      </c>
      <c r="H114" s="577">
        <f t="shared" si="6"/>
        <v>170550</v>
      </c>
    </row>
    <row r="115" spans="2:8" hidden="1" outlineLevel="2">
      <c r="B115" s="276" t="s">
        <v>1195</v>
      </c>
      <c r="C115" s="1307">
        <v>24075</v>
      </c>
      <c r="D115" s="1307">
        <v>56</v>
      </c>
      <c r="E115" s="1307">
        <v>50</v>
      </c>
      <c r="F115" s="36">
        <f t="shared" si="4"/>
        <v>0.28000000000000003</v>
      </c>
      <c r="G115" s="201">
        <f t="shared" si="5"/>
        <v>6741.0000000000009</v>
      </c>
      <c r="H115" s="577">
        <f t="shared" si="6"/>
        <v>1203750</v>
      </c>
    </row>
    <row r="116" spans="2:8" hidden="1" outlineLevel="2">
      <c r="B116" s="276" t="s">
        <v>1196</v>
      </c>
      <c r="C116" s="1307">
        <v>27941</v>
      </c>
      <c r="D116" s="1307">
        <v>56</v>
      </c>
      <c r="E116" s="1307">
        <v>50</v>
      </c>
      <c r="F116" s="36">
        <f t="shared" si="4"/>
        <v>0.28000000000000003</v>
      </c>
      <c r="G116" s="201">
        <f t="shared" si="5"/>
        <v>7823.4800000000005</v>
      </c>
      <c r="H116" s="577">
        <f t="shared" si="6"/>
        <v>1397050</v>
      </c>
    </row>
    <row r="117" spans="2:8" hidden="1" outlineLevel="2">
      <c r="B117" s="276" t="s">
        <v>1197</v>
      </c>
      <c r="C117" s="1307">
        <v>223586</v>
      </c>
      <c r="D117" s="1307">
        <v>56</v>
      </c>
      <c r="E117" s="1307">
        <v>50</v>
      </c>
      <c r="F117" s="36">
        <f t="shared" si="4"/>
        <v>0.28000000000000003</v>
      </c>
      <c r="G117" s="201">
        <f t="shared" si="5"/>
        <v>62604.080000000009</v>
      </c>
      <c r="H117" s="577">
        <f t="shared" si="6"/>
        <v>11179300</v>
      </c>
    </row>
    <row r="118" spans="2:8" hidden="1" outlineLevel="2">
      <c r="B118" s="276" t="s">
        <v>1198</v>
      </c>
      <c r="C118" s="1307">
        <v>1566</v>
      </c>
      <c r="D118" s="1307">
        <v>56</v>
      </c>
      <c r="E118" s="1307">
        <v>50</v>
      </c>
      <c r="F118" s="36">
        <f t="shared" si="4"/>
        <v>0.28000000000000003</v>
      </c>
      <c r="G118" s="201">
        <f t="shared" si="5"/>
        <v>438.48</v>
      </c>
      <c r="H118" s="577">
        <f t="shared" si="6"/>
        <v>78300</v>
      </c>
    </row>
    <row r="119" spans="2:8" hidden="1" outlineLevel="2">
      <c r="B119" s="276" t="s">
        <v>1199</v>
      </c>
      <c r="C119" s="1307">
        <v>74637</v>
      </c>
      <c r="D119" s="1307">
        <v>56</v>
      </c>
      <c r="E119" s="1307">
        <v>50</v>
      </c>
      <c r="F119" s="36">
        <f t="shared" si="4"/>
        <v>0.28000000000000003</v>
      </c>
      <c r="G119" s="201">
        <f t="shared" si="5"/>
        <v>20898.36</v>
      </c>
      <c r="H119" s="577">
        <f t="shared" si="6"/>
        <v>3731850</v>
      </c>
    </row>
    <row r="120" spans="2:8" hidden="1" outlineLevel="2">
      <c r="B120" s="276" t="s">
        <v>1200</v>
      </c>
      <c r="C120" s="1307">
        <v>52</v>
      </c>
      <c r="D120" s="1307">
        <v>56</v>
      </c>
      <c r="E120" s="1307">
        <v>50</v>
      </c>
      <c r="F120" s="36">
        <f t="shared" si="4"/>
        <v>0.28000000000000003</v>
      </c>
      <c r="G120" s="201">
        <f t="shared" si="5"/>
        <v>14.560000000000002</v>
      </c>
      <c r="H120" s="577">
        <f t="shared" si="6"/>
        <v>2600</v>
      </c>
    </row>
    <row r="121" spans="2:8" hidden="1" outlineLevel="2">
      <c r="B121" s="276" t="s">
        <v>1201</v>
      </c>
      <c r="C121" s="1307">
        <v>50024</v>
      </c>
      <c r="D121" s="1307">
        <v>56</v>
      </c>
      <c r="E121" s="1307">
        <v>100</v>
      </c>
      <c r="F121" s="36">
        <f t="shared" si="4"/>
        <v>0.56000000000000005</v>
      </c>
      <c r="G121" s="201">
        <f t="shared" si="5"/>
        <v>28013.440000000002</v>
      </c>
      <c r="H121" s="577">
        <f t="shared" si="6"/>
        <v>5002400</v>
      </c>
    </row>
    <row r="122" spans="2:8" hidden="1" outlineLevel="2">
      <c r="B122" s="276" t="s">
        <v>1202</v>
      </c>
      <c r="C122" s="1307">
        <v>63585</v>
      </c>
      <c r="D122" s="1307">
        <v>56</v>
      </c>
      <c r="E122" s="1307">
        <v>100</v>
      </c>
      <c r="F122" s="36">
        <f t="shared" si="4"/>
        <v>0.56000000000000005</v>
      </c>
      <c r="G122" s="201">
        <f t="shared" si="5"/>
        <v>35607.600000000006</v>
      </c>
      <c r="H122" s="577">
        <f t="shared" si="6"/>
        <v>6358500</v>
      </c>
    </row>
    <row r="123" spans="2:8" hidden="1" outlineLevel="2">
      <c r="B123" s="276" t="s">
        <v>1203</v>
      </c>
      <c r="C123" s="1307">
        <v>83810</v>
      </c>
      <c r="D123" s="1307">
        <v>56</v>
      </c>
      <c r="E123" s="1307">
        <v>100</v>
      </c>
      <c r="F123" s="36">
        <f t="shared" si="4"/>
        <v>0.56000000000000005</v>
      </c>
      <c r="G123" s="201">
        <f t="shared" si="5"/>
        <v>46933.600000000006</v>
      </c>
      <c r="H123" s="577">
        <f t="shared" si="6"/>
        <v>8381000</v>
      </c>
    </row>
    <row r="124" spans="2:8" hidden="1" outlineLevel="2">
      <c r="B124" s="276" t="s">
        <v>1204</v>
      </c>
      <c r="C124" s="1307">
        <v>19</v>
      </c>
      <c r="D124" s="1307">
        <v>56</v>
      </c>
      <c r="E124" s="1307">
        <v>100</v>
      </c>
      <c r="F124" s="36">
        <f t="shared" si="4"/>
        <v>0.56000000000000005</v>
      </c>
      <c r="G124" s="201">
        <f t="shared" si="5"/>
        <v>10.64</v>
      </c>
      <c r="H124" s="577">
        <f t="shared" si="6"/>
        <v>1900</v>
      </c>
    </row>
    <row r="125" spans="2:8" hidden="1" outlineLevel="2">
      <c r="B125" s="818" t="s">
        <v>1205</v>
      </c>
      <c r="C125" s="1307">
        <v>673933</v>
      </c>
      <c r="D125" s="1307">
        <v>56</v>
      </c>
      <c r="E125" s="1307">
        <v>100</v>
      </c>
      <c r="F125" s="36">
        <f t="shared" si="4"/>
        <v>0.56000000000000005</v>
      </c>
      <c r="G125" s="817">
        <f t="shared" si="5"/>
        <v>377402.48000000004</v>
      </c>
      <c r="H125" s="577">
        <f t="shared" si="6"/>
        <v>67393300</v>
      </c>
    </row>
    <row r="126" spans="2:8" hidden="1" outlineLevel="2">
      <c r="B126" s="276" t="s">
        <v>1206</v>
      </c>
      <c r="C126" s="1307">
        <v>33456</v>
      </c>
      <c r="D126" s="1307">
        <v>56</v>
      </c>
      <c r="E126" s="1307">
        <v>100</v>
      </c>
      <c r="F126" s="36">
        <f t="shared" si="4"/>
        <v>0.56000000000000005</v>
      </c>
      <c r="G126" s="201">
        <f t="shared" si="5"/>
        <v>18735.36</v>
      </c>
      <c r="H126" s="577">
        <f t="shared" si="6"/>
        <v>3345600</v>
      </c>
    </row>
    <row r="127" spans="2:8" hidden="1" outlineLevel="2">
      <c r="B127" s="276" t="s">
        <v>1207</v>
      </c>
      <c r="C127" s="1307">
        <v>15286</v>
      </c>
      <c r="D127" s="1307">
        <v>56</v>
      </c>
      <c r="E127" s="1307">
        <v>100</v>
      </c>
      <c r="F127" s="36">
        <f t="shared" si="4"/>
        <v>0.56000000000000005</v>
      </c>
      <c r="G127" s="201">
        <f t="shared" si="5"/>
        <v>8560.1600000000017</v>
      </c>
      <c r="H127" s="577">
        <f t="shared" si="6"/>
        <v>1528600</v>
      </c>
    </row>
    <row r="128" spans="2:8" hidden="1" outlineLevel="2">
      <c r="B128" s="276" t="s">
        <v>1208</v>
      </c>
      <c r="C128" s="1307">
        <v>416800</v>
      </c>
      <c r="D128" s="1307">
        <v>56</v>
      </c>
      <c r="E128" s="1307">
        <v>100</v>
      </c>
      <c r="F128" s="36">
        <f t="shared" si="4"/>
        <v>0.56000000000000005</v>
      </c>
      <c r="G128" s="201">
        <f t="shared" si="5"/>
        <v>233408.00000000003</v>
      </c>
      <c r="H128" s="577">
        <f t="shared" si="6"/>
        <v>41680000</v>
      </c>
    </row>
    <row r="129" spans="2:8" hidden="1" outlineLevel="2">
      <c r="B129" s="276" t="s">
        <v>1209</v>
      </c>
      <c r="C129" s="1307">
        <v>275283</v>
      </c>
      <c r="D129" s="1307">
        <v>56</v>
      </c>
      <c r="E129" s="1307">
        <v>100</v>
      </c>
      <c r="F129" s="36">
        <f t="shared" si="4"/>
        <v>0.56000000000000005</v>
      </c>
      <c r="G129" s="201">
        <f t="shared" si="5"/>
        <v>154158.48000000001</v>
      </c>
      <c r="H129" s="577">
        <f t="shared" si="6"/>
        <v>27528300</v>
      </c>
    </row>
    <row r="130" spans="2:8" hidden="1" outlineLevel="2">
      <c r="B130" s="276" t="s">
        <v>1210</v>
      </c>
      <c r="C130" s="1307">
        <v>9210</v>
      </c>
      <c r="D130" s="1307">
        <v>56</v>
      </c>
      <c r="E130" s="1307">
        <v>100</v>
      </c>
      <c r="F130" s="36">
        <f t="shared" si="4"/>
        <v>0.56000000000000005</v>
      </c>
      <c r="G130" s="201">
        <f t="shared" si="5"/>
        <v>5157.6000000000004</v>
      </c>
      <c r="H130" s="577">
        <f t="shared" si="6"/>
        <v>921000</v>
      </c>
    </row>
    <row r="131" spans="2:8" hidden="1" outlineLevel="2">
      <c r="B131" s="276" t="s">
        <v>1211</v>
      </c>
      <c r="C131" s="1307">
        <v>2027</v>
      </c>
      <c r="D131" s="1307">
        <v>56</v>
      </c>
      <c r="E131" s="1307">
        <v>100</v>
      </c>
      <c r="F131" s="36">
        <f t="shared" si="4"/>
        <v>0.56000000000000005</v>
      </c>
      <c r="G131" s="201">
        <f t="shared" si="5"/>
        <v>1135.1200000000001</v>
      </c>
      <c r="H131" s="577">
        <f t="shared" si="6"/>
        <v>202700</v>
      </c>
    </row>
    <row r="132" spans="2:8" hidden="1" outlineLevel="2">
      <c r="B132" s="276" t="s">
        <v>1212</v>
      </c>
      <c r="C132" s="1307">
        <v>14977</v>
      </c>
      <c r="D132" s="1307">
        <v>56</v>
      </c>
      <c r="E132" s="1307">
        <v>100</v>
      </c>
      <c r="F132" s="36">
        <f t="shared" si="4"/>
        <v>0.56000000000000005</v>
      </c>
      <c r="G132" s="201">
        <f t="shared" si="5"/>
        <v>8387.1200000000008</v>
      </c>
      <c r="H132" s="577">
        <f t="shared" si="6"/>
        <v>1497700</v>
      </c>
    </row>
    <row r="133" spans="2:8" hidden="1" outlineLevel="2">
      <c r="B133" s="276" t="s">
        <v>1213</v>
      </c>
      <c r="C133" s="1307">
        <v>89133</v>
      </c>
      <c r="D133" s="1307">
        <v>56</v>
      </c>
      <c r="E133" s="1307">
        <v>100</v>
      </c>
      <c r="F133" s="36">
        <f t="shared" si="4"/>
        <v>0.56000000000000005</v>
      </c>
      <c r="G133" s="201">
        <f t="shared" si="5"/>
        <v>49914.48</v>
      </c>
      <c r="H133" s="577">
        <f t="shared" si="6"/>
        <v>8913300</v>
      </c>
    </row>
    <row r="134" spans="2:8" hidden="1" outlineLevel="2">
      <c r="B134" s="276" t="s">
        <v>1214</v>
      </c>
      <c r="C134" s="1307">
        <v>101664</v>
      </c>
      <c r="D134" s="1307">
        <v>56</v>
      </c>
      <c r="E134" s="1307">
        <v>100</v>
      </c>
      <c r="F134" s="36">
        <f t="shared" si="4"/>
        <v>0.56000000000000005</v>
      </c>
      <c r="G134" s="201">
        <f t="shared" si="5"/>
        <v>56931.840000000004</v>
      </c>
      <c r="H134" s="577">
        <f t="shared" si="6"/>
        <v>10166400</v>
      </c>
    </row>
    <row r="135" spans="2:8" hidden="1" outlineLevel="2">
      <c r="B135" s="818" t="s">
        <v>1215</v>
      </c>
      <c r="C135" s="1307">
        <v>678190</v>
      </c>
      <c r="D135" s="1307">
        <v>56</v>
      </c>
      <c r="E135" s="1307">
        <v>100</v>
      </c>
      <c r="F135" s="36">
        <f t="shared" si="4"/>
        <v>0.56000000000000005</v>
      </c>
      <c r="G135" s="817">
        <f t="shared" si="5"/>
        <v>379786.4</v>
      </c>
      <c r="H135" s="577">
        <f t="shared" si="6"/>
        <v>67819000</v>
      </c>
    </row>
    <row r="136" spans="2:8" hidden="1" outlineLevel="2">
      <c r="B136" s="276" t="s">
        <v>1216</v>
      </c>
      <c r="C136" s="1307">
        <v>11359</v>
      </c>
      <c r="D136" s="1307">
        <v>56</v>
      </c>
      <c r="E136" s="1307">
        <v>100</v>
      </c>
      <c r="F136" s="36">
        <f t="shared" si="4"/>
        <v>0.56000000000000005</v>
      </c>
      <c r="G136" s="201">
        <f t="shared" si="5"/>
        <v>6361.0400000000009</v>
      </c>
      <c r="H136" s="577">
        <f t="shared" si="6"/>
        <v>1135900</v>
      </c>
    </row>
    <row r="137" spans="2:8" hidden="1" outlineLevel="2">
      <c r="B137" s="276" t="s">
        <v>1217</v>
      </c>
      <c r="C137" s="1307">
        <v>270807</v>
      </c>
      <c r="D137" s="1307">
        <v>56</v>
      </c>
      <c r="E137" s="1307">
        <v>100</v>
      </c>
      <c r="F137" s="36">
        <f t="shared" si="4"/>
        <v>0.56000000000000005</v>
      </c>
      <c r="G137" s="201">
        <f t="shared" si="5"/>
        <v>151651.92000000001</v>
      </c>
      <c r="H137" s="577">
        <f t="shared" si="6"/>
        <v>27080700</v>
      </c>
    </row>
    <row r="138" spans="2:8" hidden="1" outlineLevel="2">
      <c r="B138" s="276" t="s">
        <v>1218</v>
      </c>
      <c r="C138" s="1307">
        <v>5391</v>
      </c>
      <c r="D138" s="1307">
        <v>100</v>
      </c>
      <c r="E138" s="1307">
        <v>20</v>
      </c>
      <c r="F138" s="36">
        <f t="shared" si="4"/>
        <v>0.2</v>
      </c>
      <c r="G138" s="201">
        <f t="shared" si="5"/>
        <v>1078.2</v>
      </c>
      <c r="H138" s="577">
        <f t="shared" si="6"/>
        <v>107820</v>
      </c>
    </row>
    <row r="139" spans="2:8" hidden="1" outlineLevel="2">
      <c r="B139" s="276" t="s">
        <v>1219</v>
      </c>
      <c r="C139" s="1307">
        <v>19868</v>
      </c>
      <c r="D139" s="1307">
        <v>100</v>
      </c>
      <c r="E139" s="1307">
        <v>20</v>
      </c>
      <c r="F139" s="36">
        <f t="shared" si="4"/>
        <v>0.2</v>
      </c>
      <c r="G139" s="201">
        <f t="shared" si="5"/>
        <v>3973.6000000000004</v>
      </c>
      <c r="H139" s="577">
        <f t="shared" si="6"/>
        <v>397360</v>
      </c>
    </row>
    <row r="140" spans="2:8" hidden="1" outlineLevel="2">
      <c r="B140" s="276" t="s">
        <v>1220</v>
      </c>
      <c r="C140" s="1307">
        <v>54479</v>
      </c>
      <c r="D140" s="1307">
        <v>100</v>
      </c>
      <c r="E140" s="1307">
        <v>20</v>
      </c>
      <c r="F140" s="36">
        <f t="shared" si="4"/>
        <v>0.2</v>
      </c>
      <c r="G140" s="201">
        <f t="shared" si="5"/>
        <v>10895.800000000001</v>
      </c>
      <c r="H140" s="577">
        <f t="shared" si="6"/>
        <v>1089580</v>
      </c>
    </row>
    <row r="141" spans="2:8" hidden="1" outlineLevel="2">
      <c r="B141" s="276" t="s">
        <v>1221</v>
      </c>
      <c r="C141" s="1307">
        <v>55128</v>
      </c>
      <c r="D141" s="1307">
        <v>100</v>
      </c>
      <c r="E141" s="1307">
        <v>20</v>
      </c>
      <c r="F141" s="36">
        <f t="shared" si="4"/>
        <v>0.2</v>
      </c>
      <c r="G141" s="201">
        <f t="shared" si="5"/>
        <v>11025.6</v>
      </c>
      <c r="H141" s="577">
        <f t="shared" si="6"/>
        <v>1102560</v>
      </c>
    </row>
    <row r="142" spans="2:8" hidden="1" outlineLevel="2">
      <c r="B142" s="276" t="s">
        <v>1222</v>
      </c>
      <c r="C142" s="1307">
        <v>113</v>
      </c>
      <c r="D142" s="1307">
        <v>100</v>
      </c>
      <c r="E142" s="1307">
        <v>20</v>
      </c>
      <c r="F142" s="36">
        <f t="shared" si="4"/>
        <v>0.2</v>
      </c>
      <c r="G142" s="201">
        <f t="shared" si="5"/>
        <v>22.6</v>
      </c>
      <c r="H142" s="577">
        <f t="shared" si="6"/>
        <v>2260</v>
      </c>
    </row>
    <row r="143" spans="2:8" hidden="1" outlineLevel="2">
      <c r="B143" s="276" t="s">
        <v>1223</v>
      </c>
      <c r="C143" s="1307">
        <v>303864</v>
      </c>
      <c r="D143" s="1307">
        <v>100</v>
      </c>
      <c r="E143" s="1307">
        <v>20</v>
      </c>
      <c r="F143" s="36">
        <f t="shared" si="4"/>
        <v>0.2</v>
      </c>
      <c r="G143" s="201">
        <f t="shared" si="5"/>
        <v>60772.800000000003</v>
      </c>
      <c r="H143" s="577">
        <f t="shared" si="6"/>
        <v>6077280</v>
      </c>
    </row>
    <row r="144" spans="2:8" hidden="1" outlineLevel="2">
      <c r="B144" s="276" t="s">
        <v>1224</v>
      </c>
      <c r="C144" s="1307">
        <v>12097</v>
      </c>
      <c r="D144" s="1307">
        <v>100</v>
      </c>
      <c r="E144" s="1307">
        <v>20</v>
      </c>
      <c r="F144" s="36">
        <f t="shared" si="4"/>
        <v>0.2</v>
      </c>
      <c r="G144" s="201">
        <f t="shared" si="5"/>
        <v>2419.4</v>
      </c>
      <c r="H144" s="577">
        <f t="shared" si="6"/>
        <v>241940</v>
      </c>
    </row>
    <row r="145" spans="2:8" hidden="1" outlineLevel="2">
      <c r="B145" s="276" t="s">
        <v>1225</v>
      </c>
      <c r="C145" s="1307">
        <v>16149</v>
      </c>
      <c r="D145" s="1307">
        <v>100</v>
      </c>
      <c r="E145" s="1307">
        <v>20</v>
      </c>
      <c r="F145" s="36">
        <f t="shared" si="4"/>
        <v>0.2</v>
      </c>
      <c r="G145" s="201">
        <f t="shared" si="5"/>
        <v>3229.8</v>
      </c>
      <c r="H145" s="577">
        <f t="shared" si="6"/>
        <v>322980</v>
      </c>
    </row>
    <row r="146" spans="2:8" hidden="1" outlineLevel="2">
      <c r="B146" s="276" t="s">
        <v>1226</v>
      </c>
      <c r="C146" s="1307">
        <v>3823</v>
      </c>
      <c r="D146" s="1307">
        <v>100</v>
      </c>
      <c r="E146" s="1307">
        <v>20</v>
      </c>
      <c r="F146" s="36">
        <f t="shared" si="4"/>
        <v>0.2</v>
      </c>
      <c r="G146" s="201">
        <f t="shared" si="5"/>
        <v>764.6</v>
      </c>
      <c r="H146" s="577">
        <f t="shared" si="6"/>
        <v>76460</v>
      </c>
    </row>
    <row r="147" spans="2:8" hidden="1" outlineLevel="2">
      <c r="B147" s="276" t="s">
        <v>1227</v>
      </c>
      <c r="C147" s="1307">
        <v>200058</v>
      </c>
      <c r="D147" s="1307">
        <v>100</v>
      </c>
      <c r="E147" s="1307">
        <v>20</v>
      </c>
      <c r="F147" s="36">
        <f t="shared" si="4"/>
        <v>0.2</v>
      </c>
      <c r="G147" s="201">
        <f t="shared" si="5"/>
        <v>40011.600000000006</v>
      </c>
      <c r="H147" s="577">
        <f t="shared" si="6"/>
        <v>4001160</v>
      </c>
    </row>
    <row r="148" spans="2:8" hidden="1" outlineLevel="2">
      <c r="B148" s="276" t="s">
        <v>1228</v>
      </c>
      <c r="C148" s="1307">
        <v>145681</v>
      </c>
      <c r="D148" s="1307">
        <v>100</v>
      </c>
      <c r="E148" s="1307">
        <v>20</v>
      </c>
      <c r="F148" s="36">
        <f t="shared" si="4"/>
        <v>0.2</v>
      </c>
      <c r="G148" s="201">
        <f t="shared" si="5"/>
        <v>29136.2</v>
      </c>
      <c r="H148" s="577">
        <f t="shared" si="6"/>
        <v>2913620</v>
      </c>
    </row>
    <row r="149" spans="2:8" hidden="1" outlineLevel="2">
      <c r="B149" s="276" t="s">
        <v>1229</v>
      </c>
      <c r="C149" s="1307">
        <v>6906</v>
      </c>
      <c r="D149" s="1307">
        <v>100</v>
      </c>
      <c r="E149" s="1307">
        <v>20</v>
      </c>
      <c r="F149" s="36">
        <f t="shared" si="4"/>
        <v>0.2</v>
      </c>
      <c r="G149" s="201">
        <f t="shared" si="5"/>
        <v>1381.2</v>
      </c>
      <c r="H149" s="577">
        <f t="shared" si="6"/>
        <v>138120</v>
      </c>
    </row>
    <row r="150" spans="2:8" hidden="1" outlineLevel="2">
      <c r="B150" s="276" t="s">
        <v>1230</v>
      </c>
      <c r="C150" s="1307">
        <v>485</v>
      </c>
      <c r="D150" s="1307">
        <v>100</v>
      </c>
      <c r="E150" s="1307">
        <v>20</v>
      </c>
      <c r="F150" s="36">
        <f t="shared" si="4"/>
        <v>0.2</v>
      </c>
      <c r="G150" s="201">
        <f t="shared" si="5"/>
        <v>97</v>
      </c>
      <c r="H150" s="577">
        <f t="shared" si="6"/>
        <v>9700</v>
      </c>
    </row>
    <row r="151" spans="2:8" hidden="1" outlineLevel="2">
      <c r="B151" s="276" t="s">
        <v>1231</v>
      </c>
      <c r="C151" s="1307">
        <v>48787</v>
      </c>
      <c r="D151" s="1307">
        <v>100</v>
      </c>
      <c r="E151" s="1307">
        <v>20</v>
      </c>
      <c r="F151" s="36">
        <f t="shared" si="4"/>
        <v>0.2</v>
      </c>
      <c r="G151" s="201">
        <f t="shared" si="5"/>
        <v>9757.4</v>
      </c>
      <c r="H151" s="577">
        <f t="shared" si="6"/>
        <v>975740</v>
      </c>
    </row>
    <row r="152" spans="2:8" hidden="1" outlineLevel="2">
      <c r="B152" s="276" t="s">
        <v>1232</v>
      </c>
      <c r="C152" s="1307">
        <v>6975</v>
      </c>
      <c r="D152" s="1307">
        <v>100</v>
      </c>
      <c r="E152" s="1307">
        <v>20</v>
      </c>
      <c r="F152" s="36">
        <f t="shared" si="4"/>
        <v>0.2</v>
      </c>
      <c r="G152" s="201">
        <f t="shared" si="5"/>
        <v>1395</v>
      </c>
      <c r="H152" s="577">
        <f t="shared" si="6"/>
        <v>139500</v>
      </c>
    </row>
    <row r="153" spans="2:8" hidden="1" outlineLevel="2">
      <c r="B153" s="276" t="s">
        <v>1233</v>
      </c>
      <c r="C153" s="1307">
        <v>56756</v>
      </c>
      <c r="D153" s="1307">
        <v>100</v>
      </c>
      <c r="E153" s="1307">
        <v>20</v>
      </c>
      <c r="F153" s="36">
        <f t="shared" si="4"/>
        <v>0.2</v>
      </c>
      <c r="G153" s="201">
        <f t="shared" si="5"/>
        <v>11351.2</v>
      </c>
      <c r="H153" s="577">
        <f t="shared" si="6"/>
        <v>1135120</v>
      </c>
    </row>
    <row r="154" spans="2:8" hidden="1" outlineLevel="2">
      <c r="B154" s="276" t="s">
        <v>1234</v>
      </c>
      <c r="C154" s="1307">
        <v>117011</v>
      </c>
      <c r="D154" s="1307">
        <v>100</v>
      </c>
      <c r="E154" s="1307">
        <v>20</v>
      </c>
      <c r="F154" s="36">
        <f t="shared" si="4"/>
        <v>0.2</v>
      </c>
      <c r="G154" s="201">
        <f t="shared" si="5"/>
        <v>23402.2</v>
      </c>
      <c r="H154" s="577">
        <f t="shared" si="6"/>
        <v>2340220</v>
      </c>
    </row>
    <row r="155" spans="2:8" hidden="1" outlineLevel="2">
      <c r="B155" s="276" t="s">
        <v>1235</v>
      </c>
      <c r="C155" s="1307">
        <v>307383</v>
      </c>
      <c r="D155" s="1307">
        <v>100</v>
      </c>
      <c r="E155" s="1307">
        <v>20</v>
      </c>
      <c r="F155" s="36">
        <f t="shared" ref="F155:F204" si="7">E155*D155/10000</f>
        <v>0.2</v>
      </c>
      <c r="G155" s="201">
        <f t="shared" ref="G155:G204" si="8">F155*C155</f>
        <v>61476.600000000006</v>
      </c>
      <c r="H155" s="577">
        <f t="shared" ref="H155:H204" si="9">E155*C155</f>
        <v>6147660</v>
      </c>
    </row>
    <row r="156" spans="2:8" hidden="1" outlineLevel="2">
      <c r="B156" s="276" t="s">
        <v>1236</v>
      </c>
      <c r="C156" s="1307">
        <v>16583</v>
      </c>
      <c r="D156" s="1307">
        <v>100</v>
      </c>
      <c r="E156" s="1307">
        <v>20</v>
      </c>
      <c r="F156" s="36">
        <f t="shared" si="7"/>
        <v>0.2</v>
      </c>
      <c r="G156" s="201">
        <f t="shared" si="8"/>
        <v>3316.6000000000004</v>
      </c>
      <c r="H156" s="577">
        <f t="shared" si="9"/>
        <v>331660</v>
      </c>
    </row>
    <row r="157" spans="2:8" hidden="1" outlineLevel="2">
      <c r="B157" s="276" t="s">
        <v>1237</v>
      </c>
      <c r="C157" s="1307">
        <v>129621</v>
      </c>
      <c r="D157" s="1307">
        <v>100</v>
      </c>
      <c r="E157" s="1307">
        <v>20</v>
      </c>
      <c r="F157" s="36">
        <f t="shared" si="7"/>
        <v>0.2</v>
      </c>
      <c r="G157" s="201">
        <f t="shared" si="8"/>
        <v>25924.2</v>
      </c>
      <c r="H157" s="577">
        <f t="shared" si="9"/>
        <v>2592420</v>
      </c>
    </row>
    <row r="158" spans="2:8" hidden="1" outlineLevel="2">
      <c r="B158" s="276" t="s">
        <v>1238</v>
      </c>
      <c r="C158" s="1307">
        <v>42989</v>
      </c>
      <c r="D158" s="1307">
        <v>100</v>
      </c>
      <c r="E158" s="1307">
        <v>50</v>
      </c>
      <c r="F158" s="36">
        <f t="shared" si="7"/>
        <v>0.5</v>
      </c>
      <c r="G158" s="201">
        <f t="shared" si="8"/>
        <v>21494.5</v>
      </c>
      <c r="H158" s="577">
        <f t="shared" si="9"/>
        <v>2149450</v>
      </c>
    </row>
    <row r="159" spans="2:8" hidden="1" outlineLevel="2">
      <c r="B159" s="276" t="s">
        <v>1239</v>
      </c>
      <c r="C159" s="1307">
        <v>10336</v>
      </c>
      <c r="D159" s="1307">
        <v>100</v>
      </c>
      <c r="E159" s="1307">
        <v>50</v>
      </c>
      <c r="F159" s="36">
        <f t="shared" si="7"/>
        <v>0.5</v>
      </c>
      <c r="G159" s="201">
        <f t="shared" si="8"/>
        <v>5168</v>
      </c>
      <c r="H159" s="577">
        <f t="shared" si="9"/>
        <v>516800</v>
      </c>
    </row>
    <row r="160" spans="2:8" hidden="1" outlineLevel="2">
      <c r="B160" s="276" t="s">
        <v>1240</v>
      </c>
      <c r="C160" s="1307">
        <v>13098</v>
      </c>
      <c r="D160" s="1307">
        <v>100</v>
      </c>
      <c r="E160" s="1307">
        <v>50</v>
      </c>
      <c r="F160" s="36">
        <f t="shared" si="7"/>
        <v>0.5</v>
      </c>
      <c r="G160" s="201">
        <f t="shared" si="8"/>
        <v>6549</v>
      </c>
      <c r="H160" s="577">
        <f t="shared" si="9"/>
        <v>654900</v>
      </c>
    </row>
    <row r="161" spans="2:8" hidden="1" outlineLevel="2">
      <c r="B161" s="276" t="s">
        <v>1241</v>
      </c>
      <c r="C161" s="1307">
        <v>15405</v>
      </c>
      <c r="D161" s="1307">
        <v>100</v>
      </c>
      <c r="E161" s="1307">
        <v>50</v>
      </c>
      <c r="F161" s="36">
        <f t="shared" si="7"/>
        <v>0.5</v>
      </c>
      <c r="G161" s="201">
        <f t="shared" si="8"/>
        <v>7702.5</v>
      </c>
      <c r="H161" s="577">
        <f t="shared" si="9"/>
        <v>770250</v>
      </c>
    </row>
    <row r="162" spans="2:8" hidden="1" outlineLevel="2">
      <c r="B162" s="276" t="s">
        <v>1242</v>
      </c>
      <c r="C162" s="1307">
        <v>56218</v>
      </c>
      <c r="D162" s="1307">
        <v>100</v>
      </c>
      <c r="E162" s="1307">
        <v>50</v>
      </c>
      <c r="F162" s="36">
        <f t="shared" si="7"/>
        <v>0.5</v>
      </c>
      <c r="G162" s="201">
        <f t="shared" si="8"/>
        <v>28109</v>
      </c>
      <c r="H162" s="577">
        <f t="shared" si="9"/>
        <v>2810900</v>
      </c>
    </row>
    <row r="163" spans="2:8" hidden="1" outlineLevel="2">
      <c r="B163" s="276" t="s">
        <v>1243</v>
      </c>
      <c r="C163" s="1307">
        <v>1550</v>
      </c>
      <c r="D163" s="1307">
        <v>100</v>
      </c>
      <c r="E163" s="1307">
        <v>50</v>
      </c>
      <c r="F163" s="36">
        <f t="shared" si="7"/>
        <v>0.5</v>
      </c>
      <c r="G163" s="201">
        <f t="shared" si="8"/>
        <v>775</v>
      </c>
      <c r="H163" s="577">
        <f t="shared" si="9"/>
        <v>77500</v>
      </c>
    </row>
    <row r="164" spans="2:8" hidden="1" outlineLevel="2">
      <c r="B164" s="276" t="s">
        <v>1244</v>
      </c>
      <c r="C164" s="1307">
        <v>6786</v>
      </c>
      <c r="D164" s="1307">
        <v>100</v>
      </c>
      <c r="E164" s="1307">
        <v>50</v>
      </c>
      <c r="F164" s="36">
        <f t="shared" si="7"/>
        <v>0.5</v>
      </c>
      <c r="G164" s="201">
        <f t="shared" si="8"/>
        <v>3393</v>
      </c>
      <c r="H164" s="577">
        <f t="shared" si="9"/>
        <v>339300</v>
      </c>
    </row>
    <row r="165" spans="2:8" hidden="1" outlineLevel="2">
      <c r="B165" s="276" t="s">
        <v>1245</v>
      </c>
      <c r="C165" s="1307">
        <v>2283</v>
      </c>
      <c r="D165" s="1307">
        <v>100</v>
      </c>
      <c r="E165" s="1307">
        <v>50</v>
      </c>
      <c r="F165" s="36">
        <f t="shared" si="7"/>
        <v>0.5</v>
      </c>
      <c r="G165" s="201">
        <f t="shared" si="8"/>
        <v>1141.5</v>
      </c>
      <c r="H165" s="577">
        <f t="shared" si="9"/>
        <v>114150</v>
      </c>
    </row>
    <row r="166" spans="2:8" hidden="1" outlineLevel="2">
      <c r="B166" s="276" t="s">
        <v>1246</v>
      </c>
      <c r="C166" s="1307">
        <v>95854</v>
      </c>
      <c r="D166" s="1307">
        <v>100</v>
      </c>
      <c r="E166" s="1307">
        <v>50</v>
      </c>
      <c r="F166" s="36">
        <f t="shared" si="7"/>
        <v>0.5</v>
      </c>
      <c r="G166" s="201">
        <f t="shared" si="8"/>
        <v>47927</v>
      </c>
      <c r="H166" s="577">
        <f t="shared" si="9"/>
        <v>4792700</v>
      </c>
    </row>
    <row r="167" spans="2:8" hidden="1" outlineLevel="2">
      <c r="B167" s="276" t="s">
        <v>1247</v>
      </c>
      <c r="C167" s="1307">
        <v>39032</v>
      </c>
      <c r="D167" s="1307">
        <v>100</v>
      </c>
      <c r="E167" s="1307">
        <v>50</v>
      </c>
      <c r="F167" s="36">
        <f t="shared" si="7"/>
        <v>0.5</v>
      </c>
      <c r="G167" s="201">
        <f t="shared" si="8"/>
        <v>19516</v>
      </c>
      <c r="H167" s="577">
        <f t="shared" si="9"/>
        <v>1951600</v>
      </c>
    </row>
    <row r="168" spans="2:8" hidden="1" outlineLevel="2">
      <c r="B168" s="276" t="s">
        <v>1248</v>
      </c>
      <c r="C168" s="1307">
        <v>539</v>
      </c>
      <c r="D168" s="1307">
        <v>100</v>
      </c>
      <c r="E168" s="1307">
        <v>50</v>
      </c>
      <c r="F168" s="36">
        <f t="shared" si="7"/>
        <v>0.5</v>
      </c>
      <c r="G168" s="201">
        <f t="shared" si="8"/>
        <v>269.5</v>
      </c>
      <c r="H168" s="577">
        <f t="shared" si="9"/>
        <v>26950</v>
      </c>
    </row>
    <row r="169" spans="2:8" hidden="1" outlineLevel="2">
      <c r="B169" s="276" t="s">
        <v>1249</v>
      </c>
      <c r="C169" s="1307">
        <v>18436</v>
      </c>
      <c r="D169" s="1307">
        <v>100</v>
      </c>
      <c r="E169" s="1307">
        <v>50</v>
      </c>
      <c r="F169" s="36">
        <f t="shared" si="7"/>
        <v>0.5</v>
      </c>
      <c r="G169" s="201">
        <f t="shared" si="8"/>
        <v>9218</v>
      </c>
      <c r="H169" s="577">
        <f t="shared" si="9"/>
        <v>921800</v>
      </c>
    </row>
    <row r="170" spans="2:8" hidden="1" outlineLevel="2">
      <c r="B170" s="276" t="s">
        <v>1250</v>
      </c>
      <c r="C170" s="1307">
        <v>2460</v>
      </c>
      <c r="D170" s="1307">
        <v>100</v>
      </c>
      <c r="E170" s="1307">
        <v>50</v>
      </c>
      <c r="F170" s="36">
        <f t="shared" si="7"/>
        <v>0.5</v>
      </c>
      <c r="G170" s="201">
        <f t="shared" si="8"/>
        <v>1230</v>
      </c>
      <c r="H170" s="577">
        <f t="shared" si="9"/>
        <v>123000</v>
      </c>
    </row>
    <row r="171" spans="2:8" hidden="1" outlineLevel="2">
      <c r="B171" s="276" t="s">
        <v>1251</v>
      </c>
      <c r="C171" s="1307">
        <v>78</v>
      </c>
      <c r="D171" s="1307">
        <v>100</v>
      </c>
      <c r="E171" s="1307">
        <v>50</v>
      </c>
      <c r="F171" s="36">
        <f t="shared" si="7"/>
        <v>0.5</v>
      </c>
      <c r="G171" s="201">
        <f t="shared" si="8"/>
        <v>39</v>
      </c>
      <c r="H171" s="577">
        <f t="shared" si="9"/>
        <v>3900</v>
      </c>
    </row>
    <row r="172" spans="2:8" hidden="1" outlineLevel="2">
      <c r="B172" s="276" t="s">
        <v>1252</v>
      </c>
      <c r="C172" s="1307">
        <v>10201</v>
      </c>
      <c r="D172" s="1307">
        <v>100</v>
      </c>
      <c r="E172" s="1307">
        <v>50</v>
      </c>
      <c r="F172" s="36">
        <f t="shared" si="7"/>
        <v>0.5</v>
      </c>
      <c r="G172" s="201">
        <f t="shared" si="8"/>
        <v>5100.5</v>
      </c>
      <c r="H172" s="577">
        <f t="shared" si="9"/>
        <v>510050</v>
      </c>
    </row>
    <row r="173" spans="2:8" hidden="1" outlineLevel="2">
      <c r="B173" s="276" t="s">
        <v>1253</v>
      </c>
      <c r="C173" s="1307">
        <v>13094</v>
      </c>
      <c r="D173" s="1307">
        <v>100</v>
      </c>
      <c r="E173" s="1307">
        <v>50</v>
      </c>
      <c r="F173" s="36">
        <f t="shared" si="7"/>
        <v>0.5</v>
      </c>
      <c r="G173" s="201">
        <f t="shared" si="8"/>
        <v>6547</v>
      </c>
      <c r="H173" s="577">
        <f t="shared" si="9"/>
        <v>654700</v>
      </c>
    </row>
    <row r="174" spans="2:8" hidden="1" outlineLevel="2">
      <c r="B174" s="276" t="s">
        <v>1254</v>
      </c>
      <c r="C174" s="1307">
        <v>109408</v>
      </c>
      <c r="D174" s="1307">
        <v>100</v>
      </c>
      <c r="E174" s="1307">
        <v>50</v>
      </c>
      <c r="F174" s="36">
        <f t="shared" si="7"/>
        <v>0.5</v>
      </c>
      <c r="G174" s="201">
        <f t="shared" si="8"/>
        <v>54704</v>
      </c>
      <c r="H174" s="577">
        <f t="shared" si="9"/>
        <v>5470400</v>
      </c>
    </row>
    <row r="175" spans="2:8" hidden="1" outlineLevel="2">
      <c r="B175" s="276" t="s">
        <v>1255</v>
      </c>
      <c r="C175" s="1307">
        <v>2408</v>
      </c>
      <c r="D175" s="1307">
        <v>100</v>
      </c>
      <c r="E175" s="1307">
        <v>50</v>
      </c>
      <c r="F175" s="36">
        <f t="shared" si="7"/>
        <v>0.5</v>
      </c>
      <c r="G175" s="201">
        <f t="shared" si="8"/>
        <v>1204</v>
      </c>
      <c r="H175" s="577">
        <f t="shared" si="9"/>
        <v>120400</v>
      </c>
    </row>
    <row r="176" spans="2:8" hidden="1" outlineLevel="2">
      <c r="B176" s="276" t="s">
        <v>1256</v>
      </c>
      <c r="C176" s="1307">
        <v>37401</v>
      </c>
      <c r="D176" s="1307">
        <v>100</v>
      </c>
      <c r="E176" s="1307">
        <v>50</v>
      </c>
      <c r="F176" s="36">
        <f t="shared" si="7"/>
        <v>0.5</v>
      </c>
      <c r="G176" s="201">
        <f t="shared" si="8"/>
        <v>18700.5</v>
      </c>
      <c r="H176" s="577">
        <f t="shared" si="9"/>
        <v>1870050</v>
      </c>
    </row>
    <row r="177" spans="2:8" hidden="1" outlineLevel="2">
      <c r="B177" s="276" t="s">
        <v>1257</v>
      </c>
      <c r="C177" s="1307">
        <v>246</v>
      </c>
      <c r="D177" s="1307">
        <v>100</v>
      </c>
      <c r="E177" s="1307">
        <v>100</v>
      </c>
      <c r="F177" s="36">
        <f t="shared" si="7"/>
        <v>1</v>
      </c>
      <c r="G177" s="201">
        <f t="shared" si="8"/>
        <v>246</v>
      </c>
      <c r="H177" s="577">
        <f t="shared" si="9"/>
        <v>24600</v>
      </c>
    </row>
    <row r="178" spans="2:8" hidden="1" outlineLevel="2">
      <c r="B178" s="276" t="s">
        <v>1258</v>
      </c>
      <c r="C178" s="1307">
        <v>96387</v>
      </c>
      <c r="D178" s="1307">
        <v>100</v>
      </c>
      <c r="E178" s="1307">
        <v>100</v>
      </c>
      <c r="F178" s="36">
        <f t="shared" si="7"/>
        <v>1</v>
      </c>
      <c r="G178" s="201">
        <f t="shared" si="8"/>
        <v>96387</v>
      </c>
      <c r="H178" s="577">
        <f t="shared" si="9"/>
        <v>9638700</v>
      </c>
    </row>
    <row r="179" spans="2:8" hidden="1" outlineLevel="2">
      <c r="B179" s="276" t="s">
        <v>1259</v>
      </c>
      <c r="C179" s="1307">
        <v>54453</v>
      </c>
      <c r="D179" s="1307">
        <v>100</v>
      </c>
      <c r="E179" s="1307">
        <v>100</v>
      </c>
      <c r="F179" s="36">
        <f t="shared" si="7"/>
        <v>1</v>
      </c>
      <c r="G179" s="201">
        <f t="shared" si="8"/>
        <v>54453</v>
      </c>
      <c r="H179" s="577">
        <f t="shared" si="9"/>
        <v>5445300</v>
      </c>
    </row>
    <row r="180" spans="2:8" hidden="1" outlineLevel="2">
      <c r="B180" s="276" t="s">
        <v>1260</v>
      </c>
      <c r="C180" s="1307">
        <v>72113</v>
      </c>
      <c r="D180" s="1307">
        <v>100</v>
      </c>
      <c r="E180" s="1307">
        <v>100</v>
      </c>
      <c r="F180" s="36">
        <f t="shared" si="7"/>
        <v>1</v>
      </c>
      <c r="G180" s="201">
        <f t="shared" si="8"/>
        <v>72113</v>
      </c>
      <c r="H180" s="577">
        <f t="shared" si="9"/>
        <v>7211300</v>
      </c>
    </row>
    <row r="181" spans="2:8" hidden="1" outlineLevel="2">
      <c r="B181" s="276" t="s">
        <v>1261</v>
      </c>
      <c r="C181" s="1307">
        <v>170478</v>
      </c>
      <c r="D181" s="1307">
        <v>100</v>
      </c>
      <c r="E181" s="1307">
        <v>100</v>
      </c>
      <c r="F181" s="36">
        <f t="shared" si="7"/>
        <v>1</v>
      </c>
      <c r="G181" s="201">
        <f t="shared" si="8"/>
        <v>170478</v>
      </c>
      <c r="H181" s="577">
        <f t="shared" si="9"/>
        <v>17047800</v>
      </c>
    </row>
    <row r="182" spans="2:8" hidden="1" outlineLevel="2">
      <c r="B182" s="818" t="s">
        <v>1262</v>
      </c>
      <c r="C182" s="1307">
        <v>808678</v>
      </c>
      <c r="D182" s="1307">
        <v>100</v>
      </c>
      <c r="E182" s="1307">
        <v>100</v>
      </c>
      <c r="F182" s="36">
        <f t="shared" si="7"/>
        <v>1</v>
      </c>
      <c r="G182" s="817">
        <f t="shared" si="8"/>
        <v>808678</v>
      </c>
      <c r="H182" s="577">
        <f t="shared" si="9"/>
        <v>80867800</v>
      </c>
    </row>
    <row r="183" spans="2:8" hidden="1" outlineLevel="2">
      <c r="B183" s="276" t="s">
        <v>1263</v>
      </c>
      <c r="C183" s="1307">
        <v>1916</v>
      </c>
      <c r="D183" s="1307">
        <v>100</v>
      </c>
      <c r="E183" s="1307">
        <v>100</v>
      </c>
      <c r="F183" s="36">
        <f t="shared" si="7"/>
        <v>1</v>
      </c>
      <c r="G183" s="201">
        <f t="shared" si="8"/>
        <v>1916</v>
      </c>
      <c r="H183" s="577">
        <f t="shared" si="9"/>
        <v>191600</v>
      </c>
    </row>
    <row r="184" spans="2:8" hidden="1" outlineLevel="2">
      <c r="B184" s="276" t="s">
        <v>1264</v>
      </c>
      <c r="C184" s="1307">
        <v>39459</v>
      </c>
      <c r="D184" s="1307">
        <v>100</v>
      </c>
      <c r="E184" s="1307">
        <v>100</v>
      </c>
      <c r="F184" s="36">
        <f t="shared" si="7"/>
        <v>1</v>
      </c>
      <c r="G184" s="201">
        <f t="shared" si="8"/>
        <v>39459</v>
      </c>
      <c r="H184" s="577">
        <f t="shared" si="9"/>
        <v>3945900</v>
      </c>
    </row>
    <row r="185" spans="2:8" hidden="1" outlineLevel="2">
      <c r="B185" s="276" t="s">
        <v>1265</v>
      </c>
      <c r="C185" s="1307">
        <v>14976</v>
      </c>
      <c r="D185" s="1307">
        <v>100</v>
      </c>
      <c r="E185" s="1307">
        <v>100</v>
      </c>
      <c r="F185" s="36">
        <f t="shared" si="7"/>
        <v>1</v>
      </c>
      <c r="G185" s="201">
        <f t="shared" si="8"/>
        <v>14976</v>
      </c>
      <c r="H185" s="577">
        <f t="shared" si="9"/>
        <v>1497600</v>
      </c>
    </row>
    <row r="186" spans="2:8" hidden="1" outlineLevel="2">
      <c r="B186" s="818" t="s">
        <v>1266</v>
      </c>
      <c r="C186" s="1307">
        <v>501802</v>
      </c>
      <c r="D186" s="1307">
        <v>100</v>
      </c>
      <c r="E186" s="1307">
        <v>100</v>
      </c>
      <c r="F186" s="36">
        <f t="shared" si="7"/>
        <v>1</v>
      </c>
      <c r="G186" s="817">
        <f t="shared" si="8"/>
        <v>501802</v>
      </c>
      <c r="H186" s="577">
        <f t="shared" si="9"/>
        <v>50180200</v>
      </c>
    </row>
    <row r="187" spans="2:8" hidden="1" outlineLevel="2">
      <c r="B187" s="276" t="s">
        <v>1267</v>
      </c>
      <c r="C187" s="1307">
        <v>360953</v>
      </c>
      <c r="D187" s="1307">
        <v>100</v>
      </c>
      <c r="E187" s="1307">
        <v>100</v>
      </c>
      <c r="F187" s="36">
        <f t="shared" si="7"/>
        <v>1</v>
      </c>
      <c r="G187" s="201">
        <f t="shared" si="8"/>
        <v>360953</v>
      </c>
      <c r="H187" s="577">
        <f t="shared" si="9"/>
        <v>36095300</v>
      </c>
    </row>
    <row r="188" spans="2:8" hidden="1" outlineLevel="2">
      <c r="B188" s="276" t="s">
        <v>1268</v>
      </c>
      <c r="C188" s="1307">
        <v>16554</v>
      </c>
      <c r="D188" s="1307">
        <v>100</v>
      </c>
      <c r="E188" s="1307">
        <v>100</v>
      </c>
      <c r="F188" s="36">
        <f t="shared" si="7"/>
        <v>1</v>
      </c>
      <c r="G188" s="201">
        <f t="shared" si="8"/>
        <v>16554</v>
      </c>
      <c r="H188" s="577">
        <f t="shared" si="9"/>
        <v>1655400</v>
      </c>
    </row>
    <row r="189" spans="2:8" hidden="1" outlineLevel="2">
      <c r="B189" s="276" t="s">
        <v>1269</v>
      </c>
      <c r="C189" s="1307">
        <v>3502</v>
      </c>
      <c r="D189" s="1307">
        <v>100</v>
      </c>
      <c r="E189" s="1307">
        <v>100</v>
      </c>
      <c r="F189" s="36">
        <f t="shared" si="7"/>
        <v>1</v>
      </c>
      <c r="G189" s="201">
        <f t="shared" si="8"/>
        <v>3502</v>
      </c>
      <c r="H189" s="577">
        <f t="shared" si="9"/>
        <v>350200</v>
      </c>
    </row>
    <row r="190" spans="2:8" hidden="1" outlineLevel="2">
      <c r="B190" s="276" t="s">
        <v>1270</v>
      </c>
      <c r="C190" s="1307">
        <v>9191</v>
      </c>
      <c r="D190" s="1307">
        <v>100</v>
      </c>
      <c r="E190" s="1307">
        <v>100</v>
      </c>
      <c r="F190" s="36">
        <f t="shared" si="7"/>
        <v>1</v>
      </c>
      <c r="G190" s="201">
        <f t="shared" si="8"/>
        <v>9191</v>
      </c>
      <c r="H190" s="577">
        <f t="shared" si="9"/>
        <v>919100</v>
      </c>
    </row>
    <row r="191" spans="2:8" hidden="1" outlineLevel="2">
      <c r="B191" s="276" t="s">
        <v>1271</v>
      </c>
      <c r="C191" s="1307">
        <v>18447</v>
      </c>
      <c r="D191" s="1307">
        <v>100</v>
      </c>
      <c r="E191" s="1307">
        <v>100</v>
      </c>
      <c r="F191" s="36">
        <f t="shared" si="7"/>
        <v>1</v>
      </c>
      <c r="G191" s="201">
        <f t="shared" si="8"/>
        <v>18447</v>
      </c>
      <c r="H191" s="577">
        <f t="shared" si="9"/>
        <v>1844700</v>
      </c>
    </row>
    <row r="192" spans="2:8" hidden="1" outlineLevel="2">
      <c r="B192" s="276" t="s">
        <v>1272</v>
      </c>
      <c r="C192" s="1307">
        <v>241</v>
      </c>
      <c r="D192" s="1307">
        <v>100</v>
      </c>
      <c r="E192" s="1307">
        <v>100</v>
      </c>
      <c r="F192" s="36">
        <f t="shared" si="7"/>
        <v>1</v>
      </c>
      <c r="G192" s="201">
        <f t="shared" si="8"/>
        <v>241</v>
      </c>
      <c r="H192" s="577">
        <f t="shared" si="9"/>
        <v>24100</v>
      </c>
    </row>
    <row r="193" spans="2:8" hidden="1" outlineLevel="2">
      <c r="B193" s="276" t="s">
        <v>1273</v>
      </c>
      <c r="C193" s="1307">
        <v>116588</v>
      </c>
      <c r="D193" s="1307">
        <v>100</v>
      </c>
      <c r="E193" s="1307">
        <v>100</v>
      </c>
      <c r="F193" s="36">
        <f t="shared" si="7"/>
        <v>1</v>
      </c>
      <c r="G193" s="201">
        <f t="shared" si="8"/>
        <v>116588</v>
      </c>
      <c r="H193" s="577">
        <f t="shared" si="9"/>
        <v>11658800</v>
      </c>
    </row>
    <row r="194" spans="2:8" hidden="1" outlineLevel="2">
      <c r="B194" s="276" t="s">
        <v>1274</v>
      </c>
      <c r="C194" s="1307">
        <v>126980</v>
      </c>
      <c r="D194" s="1307">
        <v>100</v>
      </c>
      <c r="E194" s="1307">
        <v>100</v>
      </c>
      <c r="F194" s="36">
        <f t="shared" si="7"/>
        <v>1</v>
      </c>
      <c r="G194" s="201">
        <f t="shared" si="8"/>
        <v>126980</v>
      </c>
      <c r="H194" s="577">
        <f t="shared" si="9"/>
        <v>12698000</v>
      </c>
    </row>
    <row r="195" spans="2:8" hidden="1" outlineLevel="2">
      <c r="B195" s="276" t="s">
        <v>1275</v>
      </c>
      <c r="C195" s="1307">
        <v>42</v>
      </c>
      <c r="D195" s="1307">
        <v>100</v>
      </c>
      <c r="E195" s="1307">
        <v>100</v>
      </c>
      <c r="F195" s="36">
        <f t="shared" si="7"/>
        <v>1</v>
      </c>
      <c r="G195" s="201">
        <f t="shared" si="8"/>
        <v>42</v>
      </c>
      <c r="H195" s="577">
        <f t="shared" si="9"/>
        <v>4200</v>
      </c>
    </row>
    <row r="196" spans="2:8" hidden="1" outlineLevel="2">
      <c r="B196" s="276" t="s">
        <v>1276</v>
      </c>
      <c r="C196" s="1307">
        <v>813977</v>
      </c>
      <c r="D196" s="1307">
        <v>100</v>
      </c>
      <c r="E196" s="1307">
        <v>100</v>
      </c>
      <c r="F196" s="36">
        <f t="shared" si="7"/>
        <v>1</v>
      </c>
      <c r="G196" s="201">
        <f t="shared" si="8"/>
        <v>813977</v>
      </c>
      <c r="H196" s="577">
        <f t="shared" si="9"/>
        <v>81397700</v>
      </c>
    </row>
    <row r="197" spans="2:8" hidden="1" outlineLevel="2">
      <c r="B197" s="276" t="s">
        <v>1277</v>
      </c>
      <c r="C197" s="1307">
        <v>26918</v>
      </c>
      <c r="D197" s="1307">
        <v>100</v>
      </c>
      <c r="E197" s="1307">
        <v>100</v>
      </c>
      <c r="F197" s="36">
        <f t="shared" si="7"/>
        <v>1</v>
      </c>
      <c r="G197" s="201">
        <f t="shared" si="8"/>
        <v>26918</v>
      </c>
      <c r="H197" s="577">
        <f t="shared" si="9"/>
        <v>2691800</v>
      </c>
    </row>
    <row r="198" spans="2:8" hidden="1" outlineLevel="2">
      <c r="B198" s="818" t="s">
        <v>1278</v>
      </c>
      <c r="C198" s="1307">
        <v>372014</v>
      </c>
      <c r="D198" s="1307">
        <v>100</v>
      </c>
      <c r="E198" s="1307">
        <v>100</v>
      </c>
      <c r="F198" s="36">
        <f t="shared" si="7"/>
        <v>1</v>
      </c>
      <c r="G198" s="817">
        <f t="shared" si="8"/>
        <v>372014</v>
      </c>
      <c r="H198" s="577">
        <f t="shared" si="9"/>
        <v>37201400</v>
      </c>
    </row>
    <row r="199" spans="2:8" hidden="1" outlineLevel="2">
      <c r="B199" s="276" t="s">
        <v>1279</v>
      </c>
      <c r="C199" s="1307">
        <v>212</v>
      </c>
      <c r="D199" s="1307">
        <v>100</v>
      </c>
      <c r="E199" s="1307">
        <v>20</v>
      </c>
      <c r="F199" s="36">
        <f t="shared" si="7"/>
        <v>0.2</v>
      </c>
      <c r="G199" s="201">
        <f t="shared" si="8"/>
        <v>42.400000000000006</v>
      </c>
      <c r="H199" s="577">
        <f t="shared" si="9"/>
        <v>4240</v>
      </c>
    </row>
    <row r="200" spans="2:8" hidden="1" outlineLevel="2">
      <c r="B200" s="276" t="s">
        <v>1280</v>
      </c>
      <c r="C200" s="1307">
        <v>86</v>
      </c>
      <c r="D200" s="1307">
        <v>100</v>
      </c>
      <c r="E200" s="1307">
        <v>50</v>
      </c>
      <c r="F200" s="36">
        <f t="shared" si="7"/>
        <v>0.5</v>
      </c>
      <c r="G200" s="201">
        <f t="shared" si="8"/>
        <v>43</v>
      </c>
      <c r="H200" s="577">
        <f t="shared" si="9"/>
        <v>4300</v>
      </c>
    </row>
    <row r="201" spans="2:8" hidden="1" outlineLevel="2">
      <c r="B201" s="276" t="s">
        <v>1281</v>
      </c>
      <c r="C201" s="1307">
        <v>143</v>
      </c>
      <c r="D201" s="1307">
        <v>100</v>
      </c>
      <c r="E201" s="1307">
        <v>100</v>
      </c>
      <c r="F201" s="36">
        <f t="shared" si="7"/>
        <v>1</v>
      </c>
      <c r="G201" s="201">
        <f t="shared" si="8"/>
        <v>143</v>
      </c>
      <c r="H201" s="577">
        <f t="shared" si="9"/>
        <v>14300</v>
      </c>
    </row>
    <row r="202" spans="2:8" hidden="1" outlineLevel="2">
      <c r="B202" s="276" t="s">
        <v>1282</v>
      </c>
      <c r="C202" s="1307">
        <v>22</v>
      </c>
      <c r="D202" s="1307">
        <v>56</v>
      </c>
      <c r="E202" s="1307">
        <v>50</v>
      </c>
      <c r="F202" s="36">
        <f t="shared" si="7"/>
        <v>0.28000000000000003</v>
      </c>
      <c r="G202" s="201">
        <f t="shared" si="8"/>
        <v>6.16</v>
      </c>
      <c r="H202" s="577">
        <f t="shared" si="9"/>
        <v>1100</v>
      </c>
    </row>
    <row r="203" spans="2:8" hidden="1" outlineLevel="2">
      <c r="B203" s="276" t="s">
        <v>1283</v>
      </c>
      <c r="C203" s="1307">
        <v>71</v>
      </c>
      <c r="D203" s="1307">
        <v>56</v>
      </c>
      <c r="E203" s="1307">
        <v>100</v>
      </c>
      <c r="F203" s="36">
        <f t="shared" si="7"/>
        <v>0.56000000000000005</v>
      </c>
      <c r="G203" s="201">
        <f t="shared" si="8"/>
        <v>39.760000000000005</v>
      </c>
      <c r="H203" s="577">
        <f t="shared" si="9"/>
        <v>7100</v>
      </c>
    </row>
    <row r="204" spans="2:8" ht="14.5" hidden="1" outlineLevel="2" thickBot="1">
      <c r="B204" s="276" t="s">
        <v>1284</v>
      </c>
      <c r="C204" s="1307">
        <v>47</v>
      </c>
      <c r="D204" s="1307">
        <v>56</v>
      </c>
      <c r="E204" s="1307">
        <v>20</v>
      </c>
      <c r="F204" s="36">
        <f t="shared" si="7"/>
        <v>0.112</v>
      </c>
      <c r="G204" s="201">
        <f t="shared" si="8"/>
        <v>5.2640000000000002</v>
      </c>
      <c r="H204" s="577">
        <f t="shared" si="9"/>
        <v>940</v>
      </c>
    </row>
    <row r="205" spans="2:8" ht="14.5" hidden="1" outlineLevel="1" collapsed="1" thickBot="1">
      <c r="B205" s="553" t="s">
        <v>1285</v>
      </c>
      <c r="C205" s="788">
        <f>SUM(C90:C204)</f>
        <v>11596895</v>
      </c>
      <c r="D205" s="788"/>
      <c r="E205" s="788"/>
      <c r="F205" s="788"/>
      <c r="G205" s="788">
        <f>SUM(G90:G204)</f>
        <v>6219928.9200000018</v>
      </c>
      <c r="H205" s="789">
        <f>SUM(H90:H204)</f>
        <v>783344500</v>
      </c>
    </row>
    <row r="206" spans="2:8" hidden="1" outlineLevel="2">
      <c r="B206" s="545" t="s">
        <v>1286</v>
      </c>
      <c r="C206" s="1307">
        <v>1548</v>
      </c>
      <c r="D206" s="1307">
        <v>56</v>
      </c>
      <c r="E206" s="1307">
        <v>100</v>
      </c>
      <c r="F206" s="36">
        <f t="shared" ref="F206:F269" si="10">E206*D206/10000</f>
        <v>0.56000000000000005</v>
      </c>
      <c r="G206" s="201">
        <f t="shared" ref="G206:G224" si="11">F206*C206</f>
        <v>866.88000000000011</v>
      </c>
      <c r="H206" s="577">
        <f t="shared" ref="H206:H224" si="12">E206*C206</f>
        <v>154800</v>
      </c>
    </row>
    <row r="207" spans="2:8" hidden="1" outlineLevel="2">
      <c r="B207" s="545" t="s">
        <v>1287</v>
      </c>
      <c r="C207" s="1307">
        <v>7888</v>
      </c>
      <c r="D207" s="1307">
        <v>56</v>
      </c>
      <c r="E207" s="1307">
        <v>100</v>
      </c>
      <c r="F207" s="36">
        <f t="shared" si="10"/>
        <v>0.56000000000000005</v>
      </c>
      <c r="G207" s="201">
        <f t="shared" si="11"/>
        <v>4417.2800000000007</v>
      </c>
      <c r="H207" s="577">
        <f t="shared" si="12"/>
        <v>788800</v>
      </c>
    </row>
    <row r="208" spans="2:8" hidden="1" outlineLevel="2">
      <c r="B208" s="545" t="s">
        <v>1288</v>
      </c>
      <c r="C208" s="1307">
        <v>26052</v>
      </c>
      <c r="D208" s="1307">
        <v>56</v>
      </c>
      <c r="E208" s="1307">
        <v>100</v>
      </c>
      <c r="F208" s="36">
        <f t="shared" si="10"/>
        <v>0.56000000000000005</v>
      </c>
      <c r="G208" s="201">
        <f t="shared" si="11"/>
        <v>14589.12</v>
      </c>
      <c r="H208" s="577">
        <f t="shared" si="12"/>
        <v>2605200</v>
      </c>
    </row>
    <row r="209" spans="2:8" hidden="1" outlineLevel="2">
      <c r="B209" s="545" t="s">
        <v>1289</v>
      </c>
      <c r="C209" s="1307">
        <v>3652</v>
      </c>
      <c r="D209" s="1307">
        <v>56</v>
      </c>
      <c r="E209" s="1307">
        <v>100</v>
      </c>
      <c r="F209" s="36">
        <f t="shared" si="10"/>
        <v>0.56000000000000005</v>
      </c>
      <c r="G209" s="201">
        <f t="shared" si="11"/>
        <v>2045.1200000000001</v>
      </c>
      <c r="H209" s="577">
        <f t="shared" si="12"/>
        <v>365200</v>
      </c>
    </row>
    <row r="210" spans="2:8" hidden="1" outlineLevel="2">
      <c r="B210" s="545" t="s">
        <v>1290</v>
      </c>
      <c r="C210" s="1307">
        <v>17201</v>
      </c>
      <c r="D210" s="1307">
        <v>56</v>
      </c>
      <c r="E210" s="1307">
        <v>100</v>
      </c>
      <c r="F210" s="36">
        <f t="shared" si="10"/>
        <v>0.56000000000000005</v>
      </c>
      <c r="G210" s="201">
        <f t="shared" si="11"/>
        <v>9632.5600000000013</v>
      </c>
      <c r="H210" s="577">
        <f t="shared" si="12"/>
        <v>1720100</v>
      </c>
    </row>
    <row r="211" spans="2:8" hidden="1" outlineLevel="2">
      <c r="B211" s="545" t="s">
        <v>1291</v>
      </c>
      <c r="C211" s="1307">
        <v>28591</v>
      </c>
      <c r="D211" s="1307">
        <v>56</v>
      </c>
      <c r="E211" s="1307">
        <v>100</v>
      </c>
      <c r="F211" s="36">
        <f t="shared" si="10"/>
        <v>0.56000000000000005</v>
      </c>
      <c r="G211" s="201">
        <f t="shared" si="11"/>
        <v>16010.960000000001</v>
      </c>
      <c r="H211" s="577">
        <f t="shared" si="12"/>
        <v>2859100</v>
      </c>
    </row>
    <row r="212" spans="2:8" hidden="1" outlineLevel="2">
      <c r="B212" s="545" t="s">
        <v>1292</v>
      </c>
      <c r="C212" s="1307">
        <v>2740</v>
      </c>
      <c r="D212" s="1307">
        <v>56</v>
      </c>
      <c r="E212" s="1307">
        <v>100</v>
      </c>
      <c r="F212" s="36">
        <f t="shared" si="10"/>
        <v>0.56000000000000005</v>
      </c>
      <c r="G212" s="201">
        <f t="shared" si="11"/>
        <v>1534.4</v>
      </c>
      <c r="H212" s="577">
        <f t="shared" si="12"/>
        <v>274000</v>
      </c>
    </row>
    <row r="213" spans="2:8" hidden="1" outlineLevel="2">
      <c r="B213" s="545" t="s">
        <v>1293</v>
      </c>
      <c r="C213" s="1307">
        <v>52424</v>
      </c>
      <c r="D213" s="1307">
        <v>56</v>
      </c>
      <c r="E213" s="1307">
        <v>100</v>
      </c>
      <c r="F213" s="36">
        <f t="shared" si="10"/>
        <v>0.56000000000000005</v>
      </c>
      <c r="G213" s="201">
        <f t="shared" si="11"/>
        <v>29357.440000000002</v>
      </c>
      <c r="H213" s="577">
        <f t="shared" si="12"/>
        <v>5242400</v>
      </c>
    </row>
    <row r="214" spans="2:8" ht="16.5" hidden="1" customHeight="1" outlineLevel="2">
      <c r="B214" s="545" t="s">
        <v>1294</v>
      </c>
      <c r="C214" s="1307">
        <v>2429</v>
      </c>
      <c r="D214" s="1307">
        <v>56</v>
      </c>
      <c r="E214" s="1307">
        <v>100</v>
      </c>
      <c r="F214" s="36">
        <f t="shared" si="10"/>
        <v>0.56000000000000005</v>
      </c>
      <c r="G214" s="201">
        <f t="shared" si="11"/>
        <v>1360.2400000000002</v>
      </c>
      <c r="H214" s="577">
        <f t="shared" si="12"/>
        <v>242900</v>
      </c>
    </row>
    <row r="215" spans="2:8" ht="16.5" hidden="1" customHeight="1" outlineLevel="2">
      <c r="B215" s="545" t="s">
        <v>1295</v>
      </c>
      <c r="C215" s="1307">
        <v>195</v>
      </c>
      <c r="D215" s="1307">
        <v>100</v>
      </c>
      <c r="E215" s="1307">
        <v>100</v>
      </c>
      <c r="F215" s="36">
        <f t="shared" si="10"/>
        <v>1</v>
      </c>
      <c r="G215" s="201">
        <f t="shared" si="11"/>
        <v>195</v>
      </c>
      <c r="H215" s="577">
        <f t="shared" si="12"/>
        <v>19500</v>
      </c>
    </row>
    <row r="216" spans="2:8" ht="16.5" hidden="1" customHeight="1" outlineLevel="2">
      <c r="B216" s="545" t="s">
        <v>1296</v>
      </c>
      <c r="C216" s="1307">
        <v>6040</v>
      </c>
      <c r="D216" s="1307">
        <v>100</v>
      </c>
      <c r="E216" s="1307">
        <v>100</v>
      </c>
      <c r="F216" s="36">
        <f t="shared" si="10"/>
        <v>1</v>
      </c>
      <c r="G216" s="201">
        <f t="shared" si="11"/>
        <v>6040</v>
      </c>
      <c r="H216" s="577">
        <f t="shared" si="12"/>
        <v>604000</v>
      </c>
    </row>
    <row r="217" spans="2:8" ht="16.5" hidden="1" customHeight="1" outlineLevel="2">
      <c r="B217" s="545" t="s">
        <v>1297</v>
      </c>
      <c r="C217" s="1307">
        <v>62953</v>
      </c>
      <c r="D217" s="1307">
        <v>100</v>
      </c>
      <c r="E217" s="1307">
        <v>100</v>
      </c>
      <c r="F217" s="36">
        <f t="shared" si="10"/>
        <v>1</v>
      </c>
      <c r="G217" s="201">
        <f t="shared" si="11"/>
        <v>62953</v>
      </c>
      <c r="H217" s="577">
        <f t="shared" si="12"/>
        <v>6295300</v>
      </c>
    </row>
    <row r="218" spans="2:8" ht="16.5" hidden="1" customHeight="1" outlineLevel="2">
      <c r="B218" s="545" t="s">
        <v>1298</v>
      </c>
      <c r="C218" s="1307">
        <v>99436</v>
      </c>
      <c r="D218" s="1307">
        <v>100</v>
      </c>
      <c r="E218" s="1307">
        <v>100</v>
      </c>
      <c r="F218" s="36">
        <f t="shared" si="10"/>
        <v>1</v>
      </c>
      <c r="G218" s="201">
        <f t="shared" si="11"/>
        <v>99436</v>
      </c>
      <c r="H218" s="577">
        <f t="shared" si="12"/>
        <v>9943600</v>
      </c>
    </row>
    <row r="219" spans="2:8" ht="16.5" hidden="1" customHeight="1" outlineLevel="2">
      <c r="B219" s="545" t="s">
        <v>1299</v>
      </c>
      <c r="C219" s="1307">
        <v>113780</v>
      </c>
      <c r="D219" s="1307">
        <v>100</v>
      </c>
      <c r="E219" s="1307">
        <v>100</v>
      </c>
      <c r="F219" s="36">
        <f t="shared" si="10"/>
        <v>1</v>
      </c>
      <c r="G219" s="201">
        <f t="shared" si="11"/>
        <v>113780</v>
      </c>
      <c r="H219" s="577">
        <f t="shared" si="12"/>
        <v>11378000</v>
      </c>
    </row>
    <row r="220" spans="2:8" ht="16.5" hidden="1" customHeight="1" outlineLevel="2">
      <c r="B220" s="545" t="s">
        <v>1300</v>
      </c>
      <c r="C220" s="1307">
        <v>26193</v>
      </c>
      <c r="D220" s="1307">
        <v>100</v>
      </c>
      <c r="E220" s="1307">
        <v>100</v>
      </c>
      <c r="F220" s="36">
        <f t="shared" si="10"/>
        <v>1</v>
      </c>
      <c r="G220" s="201">
        <f t="shared" si="11"/>
        <v>26193</v>
      </c>
      <c r="H220" s="577">
        <f t="shared" si="12"/>
        <v>2619300</v>
      </c>
    </row>
    <row r="221" spans="2:8" ht="16.5" hidden="1" customHeight="1" outlineLevel="2">
      <c r="B221" s="545" t="s">
        <v>1301</v>
      </c>
      <c r="C221" s="1307">
        <v>129625</v>
      </c>
      <c r="D221" s="1307">
        <v>100</v>
      </c>
      <c r="E221" s="1307">
        <v>100</v>
      </c>
      <c r="F221" s="36">
        <f t="shared" si="10"/>
        <v>1</v>
      </c>
      <c r="G221" s="201">
        <f t="shared" si="11"/>
        <v>129625</v>
      </c>
      <c r="H221" s="577">
        <f t="shared" si="12"/>
        <v>12962500</v>
      </c>
    </row>
    <row r="222" spans="2:8" ht="16.5" hidden="1" customHeight="1" outlineLevel="2">
      <c r="B222" s="545" t="s">
        <v>1302</v>
      </c>
      <c r="C222" s="1307">
        <v>13574</v>
      </c>
      <c r="D222" s="1307">
        <v>100</v>
      </c>
      <c r="E222" s="1307">
        <v>100</v>
      </c>
      <c r="F222" s="36">
        <f t="shared" si="10"/>
        <v>1</v>
      </c>
      <c r="G222" s="201">
        <f t="shared" si="11"/>
        <v>13574</v>
      </c>
      <c r="H222" s="577">
        <f t="shared" si="12"/>
        <v>1357400</v>
      </c>
    </row>
    <row r="223" spans="2:8" ht="16.5" hidden="1" customHeight="1" outlineLevel="2">
      <c r="B223" s="545" t="s">
        <v>1303</v>
      </c>
      <c r="C223" s="1307">
        <v>483187</v>
      </c>
      <c r="D223" s="1307">
        <v>100</v>
      </c>
      <c r="E223" s="1307">
        <v>100</v>
      </c>
      <c r="F223" s="36">
        <f t="shared" si="10"/>
        <v>1</v>
      </c>
      <c r="G223" s="817">
        <f t="shared" si="11"/>
        <v>483187</v>
      </c>
      <c r="H223" s="577">
        <f t="shared" si="12"/>
        <v>48318700</v>
      </c>
    </row>
    <row r="224" spans="2:8" ht="16.5" hidden="1" customHeight="1" outlineLevel="2" thickBot="1">
      <c r="B224" s="546" t="s">
        <v>1304</v>
      </c>
      <c r="C224" s="1330">
        <v>2084</v>
      </c>
      <c r="D224" s="1330">
        <v>100</v>
      </c>
      <c r="E224" s="1330">
        <v>100</v>
      </c>
      <c r="F224" s="31">
        <f t="shared" si="10"/>
        <v>1</v>
      </c>
      <c r="G224" s="566">
        <f t="shared" si="11"/>
        <v>2084</v>
      </c>
      <c r="H224" s="387">
        <f t="shared" si="12"/>
        <v>208400</v>
      </c>
    </row>
    <row r="225" spans="2:8" ht="14.5" hidden="1" outlineLevel="1" collapsed="1" thickBot="1">
      <c r="B225" s="553" t="s">
        <v>1305</v>
      </c>
      <c r="C225" s="788">
        <f>SUM(C206:C224)</f>
        <v>1079592</v>
      </c>
      <c r="D225" s="788"/>
      <c r="E225" s="788"/>
      <c r="F225" s="788"/>
      <c r="G225" s="788">
        <f>SUM(G206:G224)</f>
        <v>1016881</v>
      </c>
      <c r="H225" s="789">
        <f>SUM(H206:H224)</f>
        <v>107959200</v>
      </c>
    </row>
    <row r="226" spans="2:8" s="1" customFormat="1" hidden="1" outlineLevel="2">
      <c r="B226" s="545" t="s">
        <v>1306</v>
      </c>
      <c r="C226" s="1331">
        <v>7953</v>
      </c>
      <c r="D226" s="1331">
        <v>56</v>
      </c>
      <c r="E226" s="1331">
        <v>20</v>
      </c>
      <c r="F226" s="36">
        <f t="shared" si="10"/>
        <v>0.112</v>
      </c>
      <c r="G226" s="201">
        <f>F226*C226</f>
        <v>890.73599999999999</v>
      </c>
      <c r="H226" s="577">
        <f t="shared" ref="H226:H289" si="13">E226*C226</f>
        <v>159060</v>
      </c>
    </row>
    <row r="227" spans="2:8" s="1" customFormat="1" hidden="1" outlineLevel="2">
      <c r="B227" s="545" t="s">
        <v>1307</v>
      </c>
      <c r="C227" s="1331">
        <v>13986</v>
      </c>
      <c r="D227" s="1331">
        <v>56</v>
      </c>
      <c r="E227" s="1331">
        <v>20</v>
      </c>
      <c r="F227" s="36">
        <f t="shared" si="10"/>
        <v>0.112</v>
      </c>
      <c r="G227" s="201">
        <f t="shared" ref="G227:G290" si="14">F227*C227</f>
        <v>1566.432</v>
      </c>
      <c r="H227" s="577">
        <f t="shared" si="13"/>
        <v>279720</v>
      </c>
    </row>
    <row r="228" spans="2:8" s="1" customFormat="1" hidden="1" outlineLevel="2">
      <c r="B228" s="545" t="s">
        <v>1308</v>
      </c>
      <c r="C228" s="1331">
        <v>34111</v>
      </c>
      <c r="D228" s="1331">
        <v>56</v>
      </c>
      <c r="E228" s="1331">
        <v>20</v>
      </c>
      <c r="F228" s="36">
        <f t="shared" si="10"/>
        <v>0.112</v>
      </c>
      <c r="G228" s="201">
        <f t="shared" si="14"/>
        <v>3820.4320000000002</v>
      </c>
      <c r="H228" s="577">
        <f t="shared" si="13"/>
        <v>682220</v>
      </c>
    </row>
    <row r="229" spans="2:8" s="1" customFormat="1" hidden="1" outlineLevel="2">
      <c r="B229" s="545" t="s">
        <v>1309</v>
      </c>
      <c r="C229" s="1331">
        <v>301671</v>
      </c>
      <c r="D229" s="1331">
        <v>56</v>
      </c>
      <c r="E229" s="1331">
        <v>20</v>
      </c>
      <c r="F229" s="36">
        <f t="shared" si="10"/>
        <v>0.112</v>
      </c>
      <c r="G229" s="201">
        <f t="shared" si="14"/>
        <v>33787.152000000002</v>
      </c>
      <c r="H229" s="577">
        <f t="shared" si="13"/>
        <v>6033420</v>
      </c>
    </row>
    <row r="230" spans="2:8" s="1" customFormat="1" hidden="1" outlineLevel="2">
      <c r="B230" s="545" t="s">
        <v>1310</v>
      </c>
      <c r="C230" s="1331">
        <v>120</v>
      </c>
      <c r="D230" s="1331">
        <v>56</v>
      </c>
      <c r="E230" s="1331">
        <v>20</v>
      </c>
      <c r="F230" s="36">
        <f t="shared" si="10"/>
        <v>0.112</v>
      </c>
      <c r="G230" s="201">
        <f t="shared" si="14"/>
        <v>13.44</v>
      </c>
      <c r="H230" s="577">
        <f t="shared" si="13"/>
        <v>2400</v>
      </c>
    </row>
    <row r="231" spans="2:8" s="1" customFormat="1" hidden="1" outlineLevel="2">
      <c r="B231" s="545" t="s">
        <v>1311</v>
      </c>
      <c r="C231" s="1331">
        <v>140269</v>
      </c>
      <c r="D231" s="1331">
        <v>56</v>
      </c>
      <c r="E231" s="1331">
        <v>20</v>
      </c>
      <c r="F231" s="36">
        <f t="shared" si="10"/>
        <v>0.112</v>
      </c>
      <c r="G231" s="201">
        <f t="shared" si="14"/>
        <v>15710.128000000001</v>
      </c>
      <c r="H231" s="577">
        <f t="shared" si="13"/>
        <v>2805380</v>
      </c>
    </row>
    <row r="232" spans="2:8" s="1" customFormat="1" hidden="1" outlineLevel="2">
      <c r="B232" s="545" t="s">
        <v>1312</v>
      </c>
      <c r="C232" s="1331">
        <v>103532</v>
      </c>
      <c r="D232" s="1331">
        <v>56</v>
      </c>
      <c r="E232" s="1331">
        <v>20</v>
      </c>
      <c r="F232" s="36">
        <f t="shared" si="10"/>
        <v>0.112</v>
      </c>
      <c r="G232" s="201">
        <f t="shared" si="14"/>
        <v>11595.584000000001</v>
      </c>
      <c r="H232" s="577">
        <f t="shared" si="13"/>
        <v>2070640</v>
      </c>
    </row>
    <row r="233" spans="2:8" s="1" customFormat="1" hidden="1" outlineLevel="2">
      <c r="B233" s="545" t="s">
        <v>1313</v>
      </c>
      <c r="C233" s="1331">
        <v>38</v>
      </c>
      <c r="D233" s="1331">
        <v>56</v>
      </c>
      <c r="E233" s="1331">
        <v>20</v>
      </c>
      <c r="F233" s="36">
        <f t="shared" si="10"/>
        <v>0.112</v>
      </c>
      <c r="G233" s="201">
        <f t="shared" si="14"/>
        <v>4.2560000000000002</v>
      </c>
      <c r="H233" s="577">
        <f t="shared" si="13"/>
        <v>760</v>
      </c>
    </row>
    <row r="234" spans="2:8" s="1" customFormat="1" hidden="1" outlineLevel="2">
      <c r="B234" s="545" t="s">
        <v>1314</v>
      </c>
      <c r="C234" s="1331">
        <v>5437</v>
      </c>
      <c r="D234" s="1331">
        <v>56</v>
      </c>
      <c r="E234" s="1331">
        <v>20</v>
      </c>
      <c r="F234" s="36">
        <f t="shared" si="10"/>
        <v>0.112</v>
      </c>
      <c r="G234" s="201">
        <f t="shared" si="14"/>
        <v>608.94399999999996</v>
      </c>
      <c r="H234" s="577">
        <f t="shared" si="13"/>
        <v>108740</v>
      </c>
    </row>
    <row r="235" spans="2:8" s="1" customFormat="1" hidden="1" outlineLevel="2">
      <c r="B235" s="545" t="s">
        <v>1315</v>
      </c>
      <c r="C235" s="1331">
        <v>13289</v>
      </c>
      <c r="D235" s="1331">
        <v>56</v>
      </c>
      <c r="E235" s="1331">
        <v>20</v>
      </c>
      <c r="F235" s="36">
        <f t="shared" si="10"/>
        <v>0.112</v>
      </c>
      <c r="G235" s="201">
        <f t="shared" si="14"/>
        <v>1488.3679999999999</v>
      </c>
      <c r="H235" s="577">
        <f t="shared" si="13"/>
        <v>265780</v>
      </c>
    </row>
    <row r="236" spans="2:8" s="1" customFormat="1" hidden="1" outlineLevel="2">
      <c r="B236" s="545" t="s">
        <v>1316</v>
      </c>
      <c r="C236" s="1331">
        <v>19749</v>
      </c>
      <c r="D236" s="1331">
        <v>56</v>
      </c>
      <c r="E236" s="1331">
        <v>20</v>
      </c>
      <c r="F236" s="36">
        <f t="shared" si="10"/>
        <v>0.112</v>
      </c>
      <c r="G236" s="201">
        <f t="shared" si="14"/>
        <v>2211.8879999999999</v>
      </c>
      <c r="H236" s="577">
        <f t="shared" si="13"/>
        <v>394980</v>
      </c>
    </row>
    <row r="237" spans="2:8" s="1" customFormat="1" hidden="1" outlineLevel="2">
      <c r="B237" s="545" t="s">
        <v>1317</v>
      </c>
      <c r="C237" s="1331">
        <v>179556</v>
      </c>
      <c r="D237" s="1331">
        <v>56</v>
      </c>
      <c r="E237" s="1331">
        <v>20</v>
      </c>
      <c r="F237" s="36">
        <f t="shared" si="10"/>
        <v>0.112</v>
      </c>
      <c r="G237" s="201">
        <f t="shared" si="14"/>
        <v>20110.272000000001</v>
      </c>
      <c r="H237" s="577">
        <f t="shared" si="13"/>
        <v>3591120</v>
      </c>
    </row>
    <row r="238" spans="2:8" s="1" customFormat="1" hidden="1" outlineLevel="2">
      <c r="B238" s="545" t="s">
        <v>1318</v>
      </c>
      <c r="C238" s="1331">
        <v>4830</v>
      </c>
      <c r="D238" s="1331">
        <v>56</v>
      </c>
      <c r="E238" s="1331">
        <v>20</v>
      </c>
      <c r="F238" s="36">
        <f t="shared" si="10"/>
        <v>0.112</v>
      </c>
      <c r="G238" s="201">
        <f t="shared" si="14"/>
        <v>540.96</v>
      </c>
      <c r="H238" s="577">
        <f t="shared" si="13"/>
        <v>96600</v>
      </c>
    </row>
    <row r="239" spans="2:8" s="1" customFormat="1" hidden="1" outlineLevel="2">
      <c r="B239" s="545" t="s">
        <v>1319</v>
      </c>
      <c r="C239" s="1331">
        <v>74689</v>
      </c>
      <c r="D239" s="1331">
        <v>56</v>
      </c>
      <c r="E239" s="1331">
        <v>20</v>
      </c>
      <c r="F239" s="36">
        <f t="shared" si="10"/>
        <v>0.112</v>
      </c>
      <c r="G239" s="201">
        <f t="shared" si="14"/>
        <v>8365.1679999999997</v>
      </c>
      <c r="H239" s="577">
        <f t="shared" si="13"/>
        <v>1493780</v>
      </c>
    </row>
    <row r="240" spans="2:8" s="1" customFormat="1" hidden="1" outlineLevel="2">
      <c r="B240" s="545" t="s">
        <v>1320</v>
      </c>
      <c r="C240" s="1331">
        <v>1958</v>
      </c>
      <c r="D240" s="1331">
        <v>56</v>
      </c>
      <c r="E240" s="1331">
        <v>50</v>
      </c>
      <c r="F240" s="36">
        <f t="shared" si="10"/>
        <v>0.28000000000000003</v>
      </c>
      <c r="G240" s="201">
        <f t="shared" si="14"/>
        <v>548.24</v>
      </c>
      <c r="H240" s="577">
        <f t="shared" si="13"/>
        <v>97900</v>
      </c>
    </row>
    <row r="241" spans="2:8" s="1" customFormat="1" hidden="1" outlineLevel="2">
      <c r="B241" s="545" t="s">
        <v>1321</v>
      </c>
      <c r="C241" s="1331">
        <v>4493</v>
      </c>
      <c r="D241" s="1331">
        <v>56</v>
      </c>
      <c r="E241" s="1331">
        <v>50</v>
      </c>
      <c r="F241" s="36">
        <f t="shared" si="10"/>
        <v>0.28000000000000003</v>
      </c>
      <c r="G241" s="201">
        <f t="shared" si="14"/>
        <v>1258.0400000000002</v>
      </c>
      <c r="H241" s="577">
        <f t="shared" si="13"/>
        <v>224650</v>
      </c>
    </row>
    <row r="242" spans="2:8" s="1" customFormat="1" hidden="1" outlineLevel="2">
      <c r="B242" s="545" t="s">
        <v>1322</v>
      </c>
      <c r="C242" s="1331">
        <v>11960</v>
      </c>
      <c r="D242" s="1331">
        <v>56</v>
      </c>
      <c r="E242" s="1331">
        <v>50</v>
      </c>
      <c r="F242" s="36">
        <f t="shared" si="10"/>
        <v>0.28000000000000003</v>
      </c>
      <c r="G242" s="201">
        <f t="shared" si="14"/>
        <v>3348.8</v>
      </c>
      <c r="H242" s="577">
        <f t="shared" si="13"/>
        <v>598000</v>
      </c>
    </row>
    <row r="243" spans="2:8" s="1" customFormat="1" hidden="1" outlineLevel="2">
      <c r="B243" s="545" t="s">
        <v>1323</v>
      </c>
      <c r="C243" s="1331">
        <v>27334</v>
      </c>
      <c r="D243" s="1331">
        <v>56</v>
      </c>
      <c r="E243" s="1331">
        <v>50</v>
      </c>
      <c r="F243" s="36">
        <f t="shared" si="10"/>
        <v>0.28000000000000003</v>
      </c>
      <c r="G243" s="201">
        <f t="shared" si="14"/>
        <v>7653.52</v>
      </c>
      <c r="H243" s="577">
        <f t="shared" si="13"/>
        <v>1366700</v>
      </c>
    </row>
    <row r="244" spans="2:8" s="1" customFormat="1" hidden="1" outlineLevel="2">
      <c r="B244" s="545" t="s">
        <v>1324</v>
      </c>
      <c r="C244" s="1331">
        <v>15044</v>
      </c>
      <c r="D244" s="1331">
        <v>56</v>
      </c>
      <c r="E244" s="1331">
        <v>50</v>
      </c>
      <c r="F244" s="36">
        <f t="shared" si="10"/>
        <v>0.28000000000000003</v>
      </c>
      <c r="G244" s="201">
        <f t="shared" si="14"/>
        <v>4212.3200000000006</v>
      </c>
      <c r="H244" s="577">
        <f t="shared" si="13"/>
        <v>752200</v>
      </c>
    </row>
    <row r="245" spans="2:8" s="1" customFormat="1" hidden="1" outlineLevel="2">
      <c r="B245" s="545" t="s">
        <v>1325</v>
      </c>
      <c r="C245" s="1331">
        <v>34746</v>
      </c>
      <c r="D245" s="1331">
        <v>56</v>
      </c>
      <c r="E245" s="1331">
        <v>50</v>
      </c>
      <c r="F245" s="36">
        <f t="shared" si="10"/>
        <v>0.28000000000000003</v>
      </c>
      <c r="G245" s="201">
        <f t="shared" si="14"/>
        <v>9728.880000000001</v>
      </c>
      <c r="H245" s="577">
        <f t="shared" si="13"/>
        <v>1737300</v>
      </c>
    </row>
    <row r="246" spans="2:8" s="1" customFormat="1" hidden="1" outlineLevel="2">
      <c r="B246" s="545" t="s">
        <v>1326</v>
      </c>
      <c r="C246" s="1331">
        <v>15706</v>
      </c>
      <c r="D246" s="1331">
        <v>56</v>
      </c>
      <c r="E246" s="1331">
        <v>50</v>
      </c>
      <c r="F246" s="36">
        <f t="shared" si="10"/>
        <v>0.28000000000000003</v>
      </c>
      <c r="G246" s="201">
        <f t="shared" si="14"/>
        <v>4397.68</v>
      </c>
      <c r="H246" s="577">
        <f t="shared" si="13"/>
        <v>785300</v>
      </c>
    </row>
    <row r="247" spans="2:8" s="1" customFormat="1" hidden="1" outlineLevel="2">
      <c r="B247" s="545" t="s">
        <v>1327</v>
      </c>
      <c r="C247" s="1331">
        <v>1185</v>
      </c>
      <c r="D247" s="1331">
        <v>56</v>
      </c>
      <c r="E247" s="1331">
        <v>50</v>
      </c>
      <c r="F247" s="36">
        <f t="shared" si="10"/>
        <v>0.28000000000000003</v>
      </c>
      <c r="G247" s="201">
        <f t="shared" si="14"/>
        <v>331.8</v>
      </c>
      <c r="H247" s="577">
        <f t="shared" si="13"/>
        <v>59250</v>
      </c>
    </row>
    <row r="248" spans="2:8" s="1" customFormat="1" hidden="1" outlineLevel="2">
      <c r="B248" s="545" t="s">
        <v>1328</v>
      </c>
      <c r="C248" s="1331">
        <v>424</v>
      </c>
      <c r="D248" s="1331">
        <v>56</v>
      </c>
      <c r="E248" s="1331">
        <v>50</v>
      </c>
      <c r="F248" s="36">
        <f t="shared" si="10"/>
        <v>0.28000000000000003</v>
      </c>
      <c r="G248" s="201">
        <f t="shared" si="14"/>
        <v>118.72000000000001</v>
      </c>
      <c r="H248" s="577">
        <f t="shared" si="13"/>
        <v>21200</v>
      </c>
    </row>
    <row r="249" spans="2:8" s="1" customFormat="1" hidden="1" outlineLevel="2">
      <c r="B249" s="545" t="s">
        <v>1329</v>
      </c>
      <c r="C249" s="1331">
        <v>2880</v>
      </c>
      <c r="D249" s="1331">
        <v>56</v>
      </c>
      <c r="E249" s="1331">
        <v>50</v>
      </c>
      <c r="F249" s="36">
        <f t="shared" si="10"/>
        <v>0.28000000000000003</v>
      </c>
      <c r="G249" s="201">
        <f t="shared" si="14"/>
        <v>806.40000000000009</v>
      </c>
      <c r="H249" s="577">
        <f t="shared" si="13"/>
        <v>144000</v>
      </c>
    </row>
    <row r="250" spans="2:8" s="1" customFormat="1" hidden="1" outlineLevel="2">
      <c r="B250" s="545" t="s">
        <v>1330</v>
      </c>
      <c r="C250" s="1331">
        <v>33498</v>
      </c>
      <c r="D250" s="1331">
        <v>56</v>
      </c>
      <c r="E250" s="1331">
        <v>50</v>
      </c>
      <c r="F250" s="36">
        <f t="shared" si="10"/>
        <v>0.28000000000000003</v>
      </c>
      <c r="G250" s="201">
        <f t="shared" si="14"/>
        <v>9379.44</v>
      </c>
      <c r="H250" s="577">
        <f t="shared" si="13"/>
        <v>1674900</v>
      </c>
    </row>
    <row r="251" spans="2:8" s="1" customFormat="1" hidden="1" outlineLevel="2">
      <c r="B251" s="545" t="s">
        <v>1331</v>
      </c>
      <c r="C251" s="1331">
        <v>563</v>
      </c>
      <c r="D251" s="1331">
        <v>56</v>
      </c>
      <c r="E251" s="1331">
        <v>50</v>
      </c>
      <c r="F251" s="36">
        <f t="shared" si="10"/>
        <v>0.28000000000000003</v>
      </c>
      <c r="G251" s="201">
        <f t="shared" si="14"/>
        <v>157.64000000000001</v>
      </c>
      <c r="H251" s="577">
        <f t="shared" si="13"/>
        <v>28150</v>
      </c>
    </row>
    <row r="252" spans="2:8" s="1" customFormat="1" hidden="1" outlineLevel="2">
      <c r="B252" s="545" t="s">
        <v>1332</v>
      </c>
      <c r="C252" s="1331">
        <v>5759</v>
      </c>
      <c r="D252" s="1331">
        <v>56</v>
      </c>
      <c r="E252" s="1331">
        <v>100</v>
      </c>
      <c r="F252" s="36">
        <f t="shared" si="10"/>
        <v>0.56000000000000005</v>
      </c>
      <c r="G252" s="201">
        <f t="shared" si="14"/>
        <v>3225.0400000000004</v>
      </c>
      <c r="H252" s="577">
        <f t="shared" si="13"/>
        <v>575900</v>
      </c>
    </row>
    <row r="253" spans="2:8" s="1" customFormat="1" hidden="1" outlineLevel="2">
      <c r="B253" s="545" t="s">
        <v>1333</v>
      </c>
      <c r="C253" s="1331">
        <v>11813</v>
      </c>
      <c r="D253" s="1331">
        <v>56</v>
      </c>
      <c r="E253" s="1331">
        <v>100</v>
      </c>
      <c r="F253" s="36">
        <f t="shared" si="10"/>
        <v>0.56000000000000005</v>
      </c>
      <c r="G253" s="201">
        <f t="shared" si="14"/>
        <v>6615.2800000000007</v>
      </c>
      <c r="H253" s="577">
        <f t="shared" si="13"/>
        <v>1181300</v>
      </c>
    </row>
    <row r="254" spans="2:8" s="1" customFormat="1" hidden="1" outlineLevel="2">
      <c r="B254" s="545" t="s">
        <v>1334</v>
      </c>
      <c r="C254" s="1331">
        <v>24946</v>
      </c>
      <c r="D254" s="1331">
        <v>56</v>
      </c>
      <c r="E254" s="1331">
        <v>100</v>
      </c>
      <c r="F254" s="36">
        <f t="shared" si="10"/>
        <v>0.56000000000000005</v>
      </c>
      <c r="G254" s="201">
        <f t="shared" si="14"/>
        <v>13969.760000000002</v>
      </c>
      <c r="H254" s="577">
        <f t="shared" si="13"/>
        <v>2494600</v>
      </c>
    </row>
    <row r="255" spans="2:8" s="1" customFormat="1" hidden="1" outlineLevel="2">
      <c r="B255" s="545" t="s">
        <v>1335</v>
      </c>
      <c r="C255" s="1331">
        <v>31</v>
      </c>
      <c r="D255" s="1331">
        <v>56</v>
      </c>
      <c r="E255" s="1331">
        <v>100</v>
      </c>
      <c r="F255" s="36">
        <f t="shared" si="10"/>
        <v>0.56000000000000005</v>
      </c>
      <c r="G255" s="201">
        <f t="shared" si="14"/>
        <v>17.360000000000003</v>
      </c>
      <c r="H255" s="577">
        <f t="shared" si="13"/>
        <v>3100</v>
      </c>
    </row>
    <row r="256" spans="2:8" s="1" customFormat="1" hidden="1" outlineLevel="2">
      <c r="B256" s="545" t="s">
        <v>1336</v>
      </c>
      <c r="C256" s="1331">
        <v>205842</v>
      </c>
      <c r="D256" s="1331">
        <v>56</v>
      </c>
      <c r="E256" s="1331">
        <v>100</v>
      </c>
      <c r="F256" s="36">
        <f t="shared" si="10"/>
        <v>0.56000000000000005</v>
      </c>
      <c r="G256" s="201">
        <f t="shared" si="14"/>
        <v>115271.52</v>
      </c>
      <c r="H256" s="577">
        <f t="shared" si="13"/>
        <v>20584200</v>
      </c>
    </row>
    <row r="257" spans="2:8" s="1" customFormat="1" hidden="1" outlineLevel="2">
      <c r="B257" s="545" t="s">
        <v>1337</v>
      </c>
      <c r="C257" s="1331">
        <v>61</v>
      </c>
      <c r="D257" s="1331">
        <v>56</v>
      </c>
      <c r="E257" s="1331">
        <v>100</v>
      </c>
      <c r="F257" s="36">
        <f t="shared" si="10"/>
        <v>0.56000000000000005</v>
      </c>
      <c r="G257" s="201">
        <f t="shared" si="14"/>
        <v>34.160000000000004</v>
      </c>
      <c r="H257" s="577">
        <f t="shared" si="13"/>
        <v>6100</v>
      </c>
    </row>
    <row r="258" spans="2:8" s="1" customFormat="1" hidden="1" outlineLevel="2">
      <c r="B258" s="545" t="s">
        <v>1338</v>
      </c>
      <c r="C258" s="1331">
        <v>56433</v>
      </c>
      <c r="D258" s="1331">
        <v>56</v>
      </c>
      <c r="E258" s="1331">
        <v>100</v>
      </c>
      <c r="F258" s="36">
        <f t="shared" si="10"/>
        <v>0.56000000000000005</v>
      </c>
      <c r="G258" s="201">
        <f t="shared" si="14"/>
        <v>31602.480000000003</v>
      </c>
      <c r="H258" s="577">
        <f t="shared" si="13"/>
        <v>5643300</v>
      </c>
    </row>
    <row r="259" spans="2:8" s="1" customFormat="1" hidden="1" outlineLevel="2">
      <c r="B259" s="545" t="s">
        <v>1339</v>
      </c>
      <c r="C259" s="1331">
        <v>99999</v>
      </c>
      <c r="D259" s="1331">
        <v>56</v>
      </c>
      <c r="E259" s="1331">
        <v>100</v>
      </c>
      <c r="F259" s="36">
        <f t="shared" si="10"/>
        <v>0.56000000000000005</v>
      </c>
      <c r="G259" s="201">
        <f t="shared" si="14"/>
        <v>55999.44</v>
      </c>
      <c r="H259" s="577">
        <f t="shared" si="13"/>
        <v>9999900</v>
      </c>
    </row>
    <row r="260" spans="2:8" s="1" customFormat="1" hidden="1" outlineLevel="2">
      <c r="B260" s="545" t="s">
        <v>1340</v>
      </c>
      <c r="C260" s="1331">
        <v>63132</v>
      </c>
      <c r="D260" s="1331">
        <v>56</v>
      </c>
      <c r="E260" s="1331">
        <v>100</v>
      </c>
      <c r="F260" s="36">
        <f t="shared" si="10"/>
        <v>0.56000000000000005</v>
      </c>
      <c r="G260" s="201">
        <f t="shared" si="14"/>
        <v>35353.920000000006</v>
      </c>
      <c r="H260" s="577">
        <f t="shared" si="13"/>
        <v>6313200</v>
      </c>
    </row>
    <row r="261" spans="2:8" s="1" customFormat="1" hidden="1" outlineLevel="2">
      <c r="B261" s="545" t="s">
        <v>1341</v>
      </c>
      <c r="C261" s="1331">
        <v>133</v>
      </c>
      <c r="D261" s="1331">
        <v>56</v>
      </c>
      <c r="E261" s="1331">
        <v>100</v>
      </c>
      <c r="F261" s="36">
        <f t="shared" si="10"/>
        <v>0.56000000000000005</v>
      </c>
      <c r="G261" s="201">
        <f t="shared" si="14"/>
        <v>74.48</v>
      </c>
      <c r="H261" s="577">
        <f t="shared" si="13"/>
        <v>13300</v>
      </c>
    </row>
    <row r="262" spans="2:8" s="1" customFormat="1" hidden="1" outlineLevel="2">
      <c r="B262" s="545" t="s">
        <v>1342</v>
      </c>
      <c r="C262" s="1331">
        <v>3842</v>
      </c>
      <c r="D262" s="1331">
        <v>56</v>
      </c>
      <c r="E262" s="1331">
        <v>100</v>
      </c>
      <c r="F262" s="36">
        <f t="shared" si="10"/>
        <v>0.56000000000000005</v>
      </c>
      <c r="G262" s="201">
        <f t="shared" si="14"/>
        <v>2151.52</v>
      </c>
      <c r="H262" s="577">
        <f t="shared" si="13"/>
        <v>384200</v>
      </c>
    </row>
    <row r="263" spans="2:8" s="1" customFormat="1" hidden="1" outlineLevel="2">
      <c r="B263" s="545" t="s">
        <v>1343</v>
      </c>
      <c r="C263" s="1331">
        <v>10760</v>
      </c>
      <c r="D263" s="1331">
        <v>56</v>
      </c>
      <c r="E263" s="1331">
        <v>100</v>
      </c>
      <c r="F263" s="36">
        <f t="shared" si="10"/>
        <v>0.56000000000000005</v>
      </c>
      <c r="G263" s="201">
        <f t="shared" si="14"/>
        <v>6025.6</v>
      </c>
      <c r="H263" s="577">
        <f t="shared" si="13"/>
        <v>1076000</v>
      </c>
    </row>
    <row r="264" spans="2:8" s="1" customFormat="1" hidden="1" outlineLevel="2">
      <c r="B264" s="545" t="s">
        <v>1344</v>
      </c>
      <c r="C264" s="1331">
        <v>26370</v>
      </c>
      <c r="D264" s="1331">
        <v>56</v>
      </c>
      <c r="E264" s="1331">
        <v>100</v>
      </c>
      <c r="F264" s="36">
        <f t="shared" si="10"/>
        <v>0.56000000000000005</v>
      </c>
      <c r="G264" s="201">
        <f t="shared" si="14"/>
        <v>14767.2</v>
      </c>
      <c r="H264" s="577">
        <f t="shared" si="13"/>
        <v>2637000</v>
      </c>
    </row>
    <row r="265" spans="2:8" s="1" customFormat="1" hidden="1" outlineLevel="2">
      <c r="B265" s="545" t="s">
        <v>1345</v>
      </c>
      <c r="C265" s="1331">
        <v>119465</v>
      </c>
      <c r="D265" s="1331">
        <v>56</v>
      </c>
      <c r="E265" s="1331">
        <v>100</v>
      </c>
      <c r="F265" s="36">
        <f t="shared" si="10"/>
        <v>0.56000000000000005</v>
      </c>
      <c r="G265" s="201">
        <f t="shared" si="14"/>
        <v>66900.400000000009</v>
      </c>
      <c r="H265" s="577">
        <f t="shared" si="13"/>
        <v>11946500</v>
      </c>
    </row>
    <row r="266" spans="2:8" s="1" customFormat="1" hidden="1" outlineLevel="2">
      <c r="B266" s="545" t="s">
        <v>1346</v>
      </c>
      <c r="C266" s="1331">
        <v>3680</v>
      </c>
      <c r="D266" s="1331">
        <v>56</v>
      </c>
      <c r="E266" s="1331">
        <v>100</v>
      </c>
      <c r="F266" s="36">
        <f t="shared" si="10"/>
        <v>0.56000000000000005</v>
      </c>
      <c r="G266" s="201">
        <f t="shared" si="14"/>
        <v>2060.8000000000002</v>
      </c>
      <c r="H266" s="577">
        <f t="shared" si="13"/>
        <v>368000</v>
      </c>
    </row>
    <row r="267" spans="2:8" s="1" customFormat="1" hidden="1" outlineLevel="2">
      <c r="B267" s="545" t="s">
        <v>1347</v>
      </c>
      <c r="C267" s="1331">
        <v>1525</v>
      </c>
      <c r="D267" s="1331">
        <v>100</v>
      </c>
      <c r="E267" s="1331">
        <v>50</v>
      </c>
      <c r="F267" s="36">
        <f t="shared" si="10"/>
        <v>0.5</v>
      </c>
      <c r="G267" s="201">
        <f t="shared" si="14"/>
        <v>762.5</v>
      </c>
      <c r="H267" s="577">
        <f t="shared" si="13"/>
        <v>76250</v>
      </c>
    </row>
    <row r="268" spans="2:8" s="1" customFormat="1" hidden="1" outlineLevel="2">
      <c r="B268" s="545" t="s">
        <v>1348</v>
      </c>
      <c r="C268" s="1331">
        <v>2905</v>
      </c>
      <c r="D268" s="1331">
        <v>100</v>
      </c>
      <c r="E268" s="1331">
        <v>50</v>
      </c>
      <c r="F268" s="36">
        <f t="shared" si="10"/>
        <v>0.5</v>
      </c>
      <c r="G268" s="201">
        <f t="shared" si="14"/>
        <v>1452.5</v>
      </c>
      <c r="H268" s="577">
        <f t="shared" si="13"/>
        <v>145250</v>
      </c>
    </row>
    <row r="269" spans="2:8" s="1" customFormat="1" hidden="1" outlineLevel="2">
      <c r="B269" s="545" t="s">
        <v>1349</v>
      </c>
      <c r="C269" s="1331">
        <v>5114</v>
      </c>
      <c r="D269" s="1331">
        <v>100</v>
      </c>
      <c r="E269" s="1331">
        <v>50</v>
      </c>
      <c r="F269" s="36">
        <f t="shared" si="10"/>
        <v>0.5</v>
      </c>
      <c r="G269" s="201">
        <f t="shared" si="14"/>
        <v>2557</v>
      </c>
      <c r="H269" s="577">
        <f t="shared" si="13"/>
        <v>255700</v>
      </c>
    </row>
    <row r="270" spans="2:8" s="1" customFormat="1" hidden="1" outlineLevel="2">
      <c r="B270" s="545" t="s">
        <v>1350</v>
      </c>
      <c r="C270" s="1331">
        <v>22474</v>
      </c>
      <c r="D270" s="1331">
        <v>100</v>
      </c>
      <c r="E270" s="1331">
        <v>50</v>
      </c>
      <c r="F270" s="36">
        <f t="shared" ref="F270:F313" si="15">E270*D270/10000</f>
        <v>0.5</v>
      </c>
      <c r="G270" s="201">
        <f t="shared" si="14"/>
        <v>11237</v>
      </c>
      <c r="H270" s="577">
        <f t="shared" si="13"/>
        <v>1123700</v>
      </c>
    </row>
    <row r="271" spans="2:8" s="1" customFormat="1" hidden="1" outlineLevel="2">
      <c r="B271" s="545" t="s">
        <v>1351</v>
      </c>
      <c r="C271" s="1331">
        <v>18</v>
      </c>
      <c r="D271" s="1331">
        <v>100</v>
      </c>
      <c r="E271" s="1331">
        <v>50</v>
      </c>
      <c r="F271" s="36">
        <f t="shared" si="15"/>
        <v>0.5</v>
      </c>
      <c r="G271" s="201">
        <f t="shared" si="14"/>
        <v>9</v>
      </c>
      <c r="H271" s="577">
        <f t="shared" si="13"/>
        <v>900</v>
      </c>
    </row>
    <row r="272" spans="2:8" s="1" customFormat="1" hidden="1" outlineLevel="2">
      <c r="B272" s="545" t="s">
        <v>1352</v>
      </c>
      <c r="C272" s="1331">
        <v>26571</v>
      </c>
      <c r="D272" s="1331">
        <v>100</v>
      </c>
      <c r="E272" s="1331">
        <v>50</v>
      </c>
      <c r="F272" s="36">
        <f t="shared" si="15"/>
        <v>0.5</v>
      </c>
      <c r="G272" s="201">
        <f t="shared" si="14"/>
        <v>13285.5</v>
      </c>
      <c r="H272" s="577">
        <f t="shared" si="13"/>
        <v>1328550</v>
      </c>
    </row>
    <row r="273" spans="2:8" s="1" customFormat="1" hidden="1" outlineLevel="2">
      <c r="B273" s="545" t="s">
        <v>1353</v>
      </c>
      <c r="C273" s="1331">
        <v>11995</v>
      </c>
      <c r="D273" s="1331">
        <v>100</v>
      </c>
      <c r="E273" s="1331">
        <v>50</v>
      </c>
      <c r="F273" s="36">
        <f t="shared" si="15"/>
        <v>0.5</v>
      </c>
      <c r="G273" s="201">
        <f t="shared" si="14"/>
        <v>5997.5</v>
      </c>
      <c r="H273" s="577">
        <f t="shared" si="13"/>
        <v>599750</v>
      </c>
    </row>
    <row r="274" spans="2:8" s="1" customFormat="1" hidden="1" outlineLevel="2">
      <c r="B274" s="545" t="s">
        <v>1354</v>
      </c>
      <c r="C274" s="1331">
        <v>961</v>
      </c>
      <c r="D274" s="1331">
        <v>100</v>
      </c>
      <c r="E274" s="1331">
        <v>50</v>
      </c>
      <c r="F274" s="36">
        <f t="shared" si="15"/>
        <v>0.5</v>
      </c>
      <c r="G274" s="201">
        <f t="shared" si="14"/>
        <v>480.5</v>
      </c>
      <c r="H274" s="577">
        <f t="shared" si="13"/>
        <v>48050</v>
      </c>
    </row>
    <row r="275" spans="2:8" s="1" customFormat="1" hidden="1" outlineLevel="2">
      <c r="B275" s="545" t="s">
        <v>1355</v>
      </c>
      <c r="C275" s="1331">
        <v>343</v>
      </c>
      <c r="D275" s="1331">
        <v>100</v>
      </c>
      <c r="E275" s="1331">
        <v>50</v>
      </c>
      <c r="F275" s="36">
        <f t="shared" si="15"/>
        <v>0.5</v>
      </c>
      <c r="G275" s="201">
        <f t="shared" si="14"/>
        <v>171.5</v>
      </c>
      <c r="H275" s="577">
        <f t="shared" si="13"/>
        <v>17150</v>
      </c>
    </row>
    <row r="276" spans="2:8" s="1" customFormat="1" hidden="1" outlineLevel="2">
      <c r="B276" s="545" t="s">
        <v>1356</v>
      </c>
      <c r="C276" s="1331">
        <v>2484</v>
      </c>
      <c r="D276" s="1331">
        <v>100</v>
      </c>
      <c r="E276" s="1331">
        <v>50</v>
      </c>
      <c r="F276" s="36">
        <f t="shared" si="15"/>
        <v>0.5</v>
      </c>
      <c r="G276" s="201">
        <f t="shared" si="14"/>
        <v>1242</v>
      </c>
      <c r="H276" s="577">
        <f t="shared" si="13"/>
        <v>124200</v>
      </c>
    </row>
    <row r="277" spans="2:8" s="1" customFormat="1" hidden="1" outlineLevel="2">
      <c r="B277" s="545" t="s">
        <v>1357</v>
      </c>
      <c r="C277" s="1331">
        <v>26286</v>
      </c>
      <c r="D277" s="1331">
        <v>100</v>
      </c>
      <c r="E277" s="1331">
        <v>50</v>
      </c>
      <c r="F277" s="36">
        <f t="shared" si="15"/>
        <v>0.5</v>
      </c>
      <c r="G277" s="201">
        <f t="shared" si="14"/>
        <v>13143</v>
      </c>
      <c r="H277" s="577">
        <f t="shared" si="13"/>
        <v>1314300</v>
      </c>
    </row>
    <row r="278" spans="2:8" s="1" customFormat="1" hidden="1" outlineLevel="2">
      <c r="B278" s="545" t="s">
        <v>1358</v>
      </c>
      <c r="C278" s="1331">
        <v>694</v>
      </c>
      <c r="D278" s="1331">
        <v>100</v>
      </c>
      <c r="E278" s="1331">
        <v>50</v>
      </c>
      <c r="F278" s="36">
        <f t="shared" si="15"/>
        <v>0.5</v>
      </c>
      <c r="G278" s="201">
        <f t="shared" si="14"/>
        <v>347</v>
      </c>
      <c r="H278" s="577">
        <f t="shared" si="13"/>
        <v>34700</v>
      </c>
    </row>
    <row r="279" spans="2:8" s="1" customFormat="1" hidden="1" outlineLevel="2">
      <c r="B279" s="545" t="s">
        <v>1359</v>
      </c>
      <c r="C279" s="1331">
        <v>10766</v>
      </c>
      <c r="D279" s="1331">
        <v>100</v>
      </c>
      <c r="E279" s="1331">
        <v>50</v>
      </c>
      <c r="F279" s="36">
        <f t="shared" si="15"/>
        <v>0.5</v>
      </c>
      <c r="G279" s="201">
        <f t="shared" si="14"/>
        <v>5383</v>
      </c>
      <c r="H279" s="577">
        <f t="shared" si="13"/>
        <v>538300</v>
      </c>
    </row>
    <row r="280" spans="2:8" s="1" customFormat="1" hidden="1" outlineLevel="2">
      <c r="B280" s="545" t="s">
        <v>1360</v>
      </c>
      <c r="C280" s="1331">
        <v>10778</v>
      </c>
      <c r="D280" s="1331">
        <v>100</v>
      </c>
      <c r="E280" s="1331">
        <v>100</v>
      </c>
      <c r="F280" s="36">
        <f t="shared" si="15"/>
        <v>1</v>
      </c>
      <c r="G280" s="201">
        <f t="shared" si="14"/>
        <v>10778</v>
      </c>
      <c r="H280" s="577">
        <f t="shared" si="13"/>
        <v>1077800</v>
      </c>
    </row>
    <row r="281" spans="2:8" s="1" customFormat="1" hidden="1" outlineLevel="2">
      <c r="B281" s="545" t="s">
        <v>1361</v>
      </c>
      <c r="C281" s="1331">
        <v>20687</v>
      </c>
      <c r="D281" s="1331">
        <v>100</v>
      </c>
      <c r="E281" s="1331">
        <v>100</v>
      </c>
      <c r="F281" s="36">
        <f t="shared" si="15"/>
        <v>1</v>
      </c>
      <c r="G281" s="201">
        <f t="shared" si="14"/>
        <v>20687</v>
      </c>
      <c r="H281" s="577">
        <f t="shared" si="13"/>
        <v>2068700</v>
      </c>
    </row>
    <row r="282" spans="2:8" s="1" customFormat="1" hidden="1" outlineLevel="2">
      <c r="B282" s="545" t="s">
        <v>1362</v>
      </c>
      <c r="C282" s="1331">
        <v>70492</v>
      </c>
      <c r="D282" s="1331">
        <v>100</v>
      </c>
      <c r="E282" s="1331">
        <v>100</v>
      </c>
      <c r="F282" s="36">
        <f t="shared" si="15"/>
        <v>1</v>
      </c>
      <c r="G282" s="201">
        <f t="shared" si="14"/>
        <v>70492</v>
      </c>
      <c r="H282" s="577">
        <f t="shared" si="13"/>
        <v>7049200</v>
      </c>
    </row>
    <row r="283" spans="2:8" s="1" customFormat="1" hidden="1" outlineLevel="2">
      <c r="B283" s="545" t="s">
        <v>1363</v>
      </c>
      <c r="C283" s="1331">
        <v>337177</v>
      </c>
      <c r="D283" s="1331">
        <v>100</v>
      </c>
      <c r="E283" s="1331">
        <v>100</v>
      </c>
      <c r="F283" s="36">
        <f t="shared" si="15"/>
        <v>1</v>
      </c>
      <c r="G283" s="817">
        <f t="shared" si="14"/>
        <v>337177</v>
      </c>
      <c r="H283" s="577">
        <f t="shared" si="13"/>
        <v>33717700</v>
      </c>
    </row>
    <row r="284" spans="2:8" s="1" customFormat="1" hidden="1" outlineLevel="2">
      <c r="B284" s="545" t="s">
        <v>1364</v>
      </c>
      <c r="C284" s="1331">
        <v>119</v>
      </c>
      <c r="D284" s="1331">
        <v>100</v>
      </c>
      <c r="E284" s="1331">
        <v>100</v>
      </c>
      <c r="F284" s="36">
        <f t="shared" si="15"/>
        <v>1</v>
      </c>
      <c r="G284" s="201">
        <f t="shared" si="14"/>
        <v>119</v>
      </c>
      <c r="H284" s="577">
        <f t="shared" si="13"/>
        <v>11900</v>
      </c>
    </row>
    <row r="285" spans="2:8" s="1" customFormat="1" hidden="1" outlineLevel="2">
      <c r="B285" s="545" t="s">
        <v>1365</v>
      </c>
      <c r="C285" s="1331">
        <v>179027</v>
      </c>
      <c r="D285" s="1331">
        <v>100</v>
      </c>
      <c r="E285" s="1331">
        <v>100</v>
      </c>
      <c r="F285" s="36">
        <f t="shared" si="15"/>
        <v>1</v>
      </c>
      <c r="G285" s="201">
        <f t="shared" si="14"/>
        <v>179027</v>
      </c>
      <c r="H285" s="577">
        <f t="shared" si="13"/>
        <v>17902700</v>
      </c>
    </row>
    <row r="286" spans="2:8" s="1" customFormat="1" hidden="1" outlineLevel="2">
      <c r="B286" s="545" t="s">
        <v>1366</v>
      </c>
      <c r="C286" s="1331">
        <v>124108</v>
      </c>
      <c r="D286" s="1331">
        <v>100</v>
      </c>
      <c r="E286" s="1331">
        <v>100</v>
      </c>
      <c r="F286" s="36">
        <f t="shared" si="15"/>
        <v>1</v>
      </c>
      <c r="G286" s="201">
        <f t="shared" si="14"/>
        <v>124108</v>
      </c>
      <c r="H286" s="577">
        <f t="shared" si="13"/>
        <v>12410800</v>
      </c>
    </row>
    <row r="287" spans="2:8" s="1" customFormat="1" hidden="1" outlineLevel="2">
      <c r="B287" s="545" t="s">
        <v>1367</v>
      </c>
      <c r="C287" s="1331">
        <v>70</v>
      </c>
      <c r="D287" s="1331">
        <v>100</v>
      </c>
      <c r="E287" s="1331">
        <v>100</v>
      </c>
      <c r="F287" s="36">
        <f t="shared" si="15"/>
        <v>1</v>
      </c>
      <c r="G287" s="201">
        <f t="shared" si="14"/>
        <v>70</v>
      </c>
      <c r="H287" s="577">
        <f t="shared" si="13"/>
        <v>7000</v>
      </c>
    </row>
    <row r="288" spans="2:8" s="1" customFormat="1" hidden="1" outlineLevel="2">
      <c r="B288" s="545" t="s">
        <v>1368</v>
      </c>
      <c r="C288" s="1331">
        <v>414</v>
      </c>
      <c r="D288" s="1331">
        <v>100</v>
      </c>
      <c r="E288" s="1331">
        <v>100</v>
      </c>
      <c r="F288" s="36">
        <f t="shared" si="15"/>
        <v>1</v>
      </c>
      <c r="G288" s="201">
        <f t="shared" si="14"/>
        <v>414</v>
      </c>
      <c r="H288" s="577">
        <f t="shared" si="13"/>
        <v>41400</v>
      </c>
    </row>
    <row r="289" spans="2:8" s="1" customFormat="1" hidden="1" outlineLevel="2">
      <c r="B289" s="545" t="s">
        <v>1369</v>
      </c>
      <c r="C289" s="1331">
        <v>8221</v>
      </c>
      <c r="D289" s="1331">
        <v>100</v>
      </c>
      <c r="E289" s="1331">
        <v>100</v>
      </c>
      <c r="F289" s="36">
        <f t="shared" si="15"/>
        <v>1</v>
      </c>
      <c r="G289" s="201">
        <f t="shared" si="14"/>
        <v>8221</v>
      </c>
      <c r="H289" s="577">
        <f t="shared" si="13"/>
        <v>822100</v>
      </c>
    </row>
    <row r="290" spans="2:8" s="1" customFormat="1" hidden="1" outlineLevel="2">
      <c r="B290" s="545" t="s">
        <v>1370</v>
      </c>
      <c r="C290" s="1331">
        <v>21631</v>
      </c>
      <c r="D290" s="1331">
        <v>100</v>
      </c>
      <c r="E290" s="1331">
        <v>100</v>
      </c>
      <c r="F290" s="36">
        <f t="shared" si="15"/>
        <v>1</v>
      </c>
      <c r="G290" s="201">
        <f t="shared" si="14"/>
        <v>21631</v>
      </c>
      <c r="H290" s="577">
        <f t="shared" ref="H290:H313" si="16">E290*C290</f>
        <v>2163100</v>
      </c>
    </row>
    <row r="291" spans="2:8" s="1" customFormat="1" hidden="1" outlineLevel="2">
      <c r="B291" s="545" t="s">
        <v>1371</v>
      </c>
      <c r="C291" s="1331">
        <v>27655</v>
      </c>
      <c r="D291" s="1331">
        <v>100</v>
      </c>
      <c r="E291" s="1331">
        <v>100</v>
      </c>
      <c r="F291" s="36">
        <f t="shared" si="15"/>
        <v>1</v>
      </c>
      <c r="G291" s="201">
        <f t="shared" ref="G291:G313" si="17">F291*C291</f>
        <v>27655</v>
      </c>
      <c r="H291" s="577">
        <f t="shared" si="16"/>
        <v>2765500</v>
      </c>
    </row>
    <row r="292" spans="2:8" s="1" customFormat="1" hidden="1" outlineLevel="2">
      <c r="B292" s="545" t="s">
        <v>1372</v>
      </c>
      <c r="C292" s="1331">
        <v>212685</v>
      </c>
      <c r="D292" s="1331">
        <v>100</v>
      </c>
      <c r="E292" s="1331">
        <v>100</v>
      </c>
      <c r="F292" s="36">
        <f t="shared" si="15"/>
        <v>1</v>
      </c>
      <c r="G292" s="201">
        <f t="shared" si="17"/>
        <v>212685</v>
      </c>
      <c r="H292" s="577">
        <f t="shared" si="16"/>
        <v>21268500</v>
      </c>
    </row>
    <row r="293" spans="2:8" s="1" customFormat="1" hidden="1" outlineLevel="2">
      <c r="B293" s="545" t="s">
        <v>1373</v>
      </c>
      <c r="C293" s="1331">
        <v>5768</v>
      </c>
      <c r="D293" s="1331">
        <v>100</v>
      </c>
      <c r="E293" s="1331">
        <v>100</v>
      </c>
      <c r="F293" s="36">
        <f t="shared" si="15"/>
        <v>1</v>
      </c>
      <c r="G293" s="201">
        <f t="shared" si="17"/>
        <v>5768</v>
      </c>
      <c r="H293" s="577">
        <f t="shared" si="16"/>
        <v>576800</v>
      </c>
    </row>
    <row r="294" spans="2:8" s="1" customFormat="1" hidden="1" outlineLevel="2">
      <c r="B294" s="545" t="s">
        <v>1374</v>
      </c>
      <c r="C294" s="1331">
        <v>120755</v>
      </c>
      <c r="D294" s="1331">
        <v>100</v>
      </c>
      <c r="E294" s="1331">
        <v>100</v>
      </c>
      <c r="F294" s="36">
        <f t="shared" si="15"/>
        <v>1</v>
      </c>
      <c r="G294" s="201">
        <f t="shared" si="17"/>
        <v>120755</v>
      </c>
      <c r="H294" s="577">
        <f t="shared" si="16"/>
        <v>12075500</v>
      </c>
    </row>
    <row r="295" spans="2:8" s="1" customFormat="1" hidden="1" outlineLevel="2">
      <c r="B295" s="545" t="s">
        <v>1375</v>
      </c>
      <c r="C295" s="1331">
        <v>172</v>
      </c>
      <c r="D295" s="1331">
        <v>100</v>
      </c>
      <c r="E295" s="1331">
        <v>20</v>
      </c>
      <c r="F295" s="36">
        <f t="shared" si="15"/>
        <v>0.2</v>
      </c>
      <c r="G295" s="201">
        <f t="shared" si="17"/>
        <v>34.4</v>
      </c>
      <c r="H295" s="577">
        <f t="shared" si="16"/>
        <v>3440</v>
      </c>
    </row>
    <row r="296" spans="2:8" s="1" customFormat="1" hidden="1" outlineLevel="2">
      <c r="B296" s="545" t="s">
        <v>1376</v>
      </c>
      <c r="C296" s="1331">
        <v>7847</v>
      </c>
      <c r="D296" s="1331">
        <v>100</v>
      </c>
      <c r="E296" s="1331">
        <v>20</v>
      </c>
      <c r="F296" s="36">
        <f t="shared" si="15"/>
        <v>0.2</v>
      </c>
      <c r="G296" s="201">
        <f t="shared" si="17"/>
        <v>1569.4</v>
      </c>
      <c r="H296" s="577">
        <f t="shared" si="16"/>
        <v>156940</v>
      </c>
    </row>
    <row r="297" spans="2:8" s="1" customFormat="1" hidden="1" outlineLevel="2">
      <c r="B297" s="545" t="s">
        <v>1377</v>
      </c>
      <c r="C297" s="1331">
        <v>11984</v>
      </c>
      <c r="D297" s="1331">
        <v>100</v>
      </c>
      <c r="E297" s="1331">
        <v>20</v>
      </c>
      <c r="F297" s="36">
        <f t="shared" si="15"/>
        <v>0.2</v>
      </c>
      <c r="G297" s="201">
        <f t="shared" si="17"/>
        <v>2396.8000000000002</v>
      </c>
      <c r="H297" s="577">
        <f t="shared" si="16"/>
        <v>239680</v>
      </c>
    </row>
    <row r="298" spans="2:8" s="1" customFormat="1" hidden="1" outlineLevel="2">
      <c r="B298" s="545" t="s">
        <v>1378</v>
      </c>
      <c r="C298" s="1331">
        <v>38597</v>
      </c>
      <c r="D298" s="1331">
        <v>100</v>
      </c>
      <c r="E298" s="1331">
        <v>20</v>
      </c>
      <c r="F298" s="36">
        <f t="shared" si="15"/>
        <v>0.2</v>
      </c>
      <c r="G298" s="201">
        <f t="shared" si="17"/>
        <v>7719.4000000000005</v>
      </c>
      <c r="H298" s="577">
        <f t="shared" si="16"/>
        <v>771940</v>
      </c>
    </row>
    <row r="299" spans="2:8" s="1" customFormat="1" hidden="1" outlineLevel="2">
      <c r="B299" s="545" t="s">
        <v>1379</v>
      </c>
      <c r="C299" s="1331">
        <v>27</v>
      </c>
      <c r="D299" s="1331">
        <v>100</v>
      </c>
      <c r="E299" s="1331">
        <v>20</v>
      </c>
      <c r="F299" s="36">
        <f t="shared" si="15"/>
        <v>0.2</v>
      </c>
      <c r="G299" s="201">
        <f t="shared" si="17"/>
        <v>5.4</v>
      </c>
      <c r="H299" s="577">
        <f t="shared" si="16"/>
        <v>540</v>
      </c>
    </row>
    <row r="300" spans="2:8" s="1" customFormat="1" hidden="1" outlineLevel="2">
      <c r="B300" s="545" t="s">
        <v>1380</v>
      </c>
      <c r="C300" s="1331">
        <v>227645</v>
      </c>
      <c r="D300" s="1331">
        <v>100</v>
      </c>
      <c r="E300" s="1331">
        <v>20</v>
      </c>
      <c r="F300" s="36">
        <f t="shared" si="15"/>
        <v>0.2</v>
      </c>
      <c r="G300" s="201">
        <f t="shared" si="17"/>
        <v>45529</v>
      </c>
      <c r="H300" s="577">
        <f t="shared" si="16"/>
        <v>4552900</v>
      </c>
    </row>
    <row r="301" spans="2:8" s="1" customFormat="1" hidden="1" outlineLevel="2">
      <c r="B301" s="545" t="s">
        <v>1381</v>
      </c>
      <c r="C301" s="1331">
        <v>41</v>
      </c>
      <c r="D301" s="1331">
        <v>100</v>
      </c>
      <c r="E301" s="1331">
        <v>20</v>
      </c>
      <c r="F301" s="36">
        <f t="shared" si="15"/>
        <v>0.2</v>
      </c>
      <c r="G301" s="201">
        <f t="shared" si="17"/>
        <v>8.2000000000000011</v>
      </c>
      <c r="H301" s="577">
        <f t="shared" si="16"/>
        <v>820</v>
      </c>
    </row>
    <row r="302" spans="2:8" s="1" customFormat="1" hidden="1" outlineLevel="2">
      <c r="B302" s="545" t="s">
        <v>1382</v>
      </c>
      <c r="C302" s="1331">
        <v>104016</v>
      </c>
      <c r="D302" s="1331">
        <v>100</v>
      </c>
      <c r="E302" s="1331">
        <v>20</v>
      </c>
      <c r="F302" s="36">
        <f t="shared" si="15"/>
        <v>0.2</v>
      </c>
      <c r="G302" s="201">
        <f t="shared" si="17"/>
        <v>20803.2</v>
      </c>
      <c r="H302" s="577">
        <f t="shared" si="16"/>
        <v>2080320</v>
      </c>
    </row>
    <row r="303" spans="2:8" s="1" customFormat="1" hidden="1" outlineLevel="2">
      <c r="B303" s="545" t="s">
        <v>1383</v>
      </c>
      <c r="C303" s="1331">
        <v>81915</v>
      </c>
      <c r="D303" s="1331">
        <v>100</v>
      </c>
      <c r="E303" s="1331">
        <v>20</v>
      </c>
      <c r="F303" s="36">
        <f t="shared" si="15"/>
        <v>0.2</v>
      </c>
      <c r="G303" s="201">
        <f t="shared" si="17"/>
        <v>16383</v>
      </c>
      <c r="H303" s="577">
        <f t="shared" si="16"/>
        <v>1638300</v>
      </c>
    </row>
    <row r="304" spans="2:8" s="1" customFormat="1" hidden="1" outlineLevel="2">
      <c r="B304" s="545" t="s">
        <v>1384</v>
      </c>
      <c r="C304" s="1331">
        <v>4786</v>
      </c>
      <c r="D304" s="1331">
        <v>100</v>
      </c>
      <c r="E304" s="1331">
        <v>20</v>
      </c>
      <c r="F304" s="36">
        <f t="shared" si="15"/>
        <v>0.2</v>
      </c>
      <c r="G304" s="201">
        <f t="shared" si="17"/>
        <v>957.2</v>
      </c>
      <c r="H304" s="577">
        <f t="shared" si="16"/>
        <v>95720</v>
      </c>
    </row>
    <row r="305" spans="2:8" s="1" customFormat="1" hidden="1" outlineLevel="2">
      <c r="B305" s="545" t="s">
        <v>1385</v>
      </c>
      <c r="C305" s="1331">
        <v>12947</v>
      </c>
      <c r="D305" s="1331">
        <v>100</v>
      </c>
      <c r="E305" s="1331">
        <v>20</v>
      </c>
      <c r="F305" s="36">
        <f t="shared" si="15"/>
        <v>0.2</v>
      </c>
      <c r="G305" s="201">
        <f t="shared" si="17"/>
        <v>2589.4</v>
      </c>
      <c r="H305" s="577">
        <f t="shared" si="16"/>
        <v>258940</v>
      </c>
    </row>
    <row r="306" spans="2:8" s="1" customFormat="1" hidden="1" outlineLevel="2">
      <c r="B306" s="545" t="s">
        <v>1386</v>
      </c>
      <c r="C306" s="1331">
        <v>19204</v>
      </c>
      <c r="D306" s="1331">
        <v>100</v>
      </c>
      <c r="E306" s="1331">
        <v>20</v>
      </c>
      <c r="F306" s="36">
        <f t="shared" si="15"/>
        <v>0.2</v>
      </c>
      <c r="G306" s="201">
        <f t="shared" si="17"/>
        <v>3840.8</v>
      </c>
      <c r="H306" s="577">
        <f t="shared" si="16"/>
        <v>384080</v>
      </c>
    </row>
    <row r="307" spans="2:8" s="1" customFormat="1" hidden="1" outlineLevel="2">
      <c r="B307" s="545" t="s">
        <v>1387</v>
      </c>
      <c r="C307" s="1331">
        <v>155842</v>
      </c>
      <c r="D307" s="1331">
        <v>100</v>
      </c>
      <c r="E307" s="1331">
        <v>20</v>
      </c>
      <c r="F307" s="36">
        <f t="shared" si="15"/>
        <v>0.2</v>
      </c>
      <c r="G307" s="201">
        <f t="shared" si="17"/>
        <v>31168.400000000001</v>
      </c>
      <c r="H307" s="577">
        <f t="shared" si="16"/>
        <v>3116840</v>
      </c>
    </row>
    <row r="308" spans="2:8" s="1" customFormat="1" hidden="1" outlineLevel="2">
      <c r="B308" s="545" t="s">
        <v>1388</v>
      </c>
      <c r="C308" s="1331">
        <v>7348</v>
      </c>
      <c r="D308" s="1331">
        <v>100</v>
      </c>
      <c r="E308" s="1331">
        <v>20</v>
      </c>
      <c r="F308" s="36">
        <f t="shared" si="15"/>
        <v>0.2</v>
      </c>
      <c r="G308" s="201">
        <f t="shared" si="17"/>
        <v>1469.6000000000001</v>
      </c>
      <c r="H308" s="577">
        <f t="shared" si="16"/>
        <v>146960</v>
      </c>
    </row>
    <row r="309" spans="2:8" s="1" customFormat="1" hidden="1" outlineLevel="2">
      <c r="B309" s="545" t="s">
        <v>1389</v>
      </c>
      <c r="C309" s="1331">
        <v>62200</v>
      </c>
      <c r="D309" s="1331">
        <v>100</v>
      </c>
      <c r="E309" s="1331">
        <v>20</v>
      </c>
      <c r="F309" s="36">
        <f t="shared" si="15"/>
        <v>0.2</v>
      </c>
      <c r="G309" s="201">
        <f t="shared" si="17"/>
        <v>12440</v>
      </c>
      <c r="H309" s="577">
        <f t="shared" si="16"/>
        <v>1244000</v>
      </c>
    </row>
    <row r="310" spans="2:8" hidden="1" outlineLevel="2">
      <c r="B310" s="545" t="s">
        <v>1390</v>
      </c>
      <c r="C310" s="1307">
        <v>77</v>
      </c>
      <c r="D310" s="1331">
        <v>100</v>
      </c>
      <c r="E310" s="1307">
        <v>100</v>
      </c>
      <c r="F310" s="36">
        <f t="shared" si="15"/>
        <v>1</v>
      </c>
      <c r="G310" s="201">
        <f t="shared" si="17"/>
        <v>77</v>
      </c>
      <c r="H310" s="577">
        <f t="shared" si="16"/>
        <v>7700</v>
      </c>
    </row>
    <row r="311" spans="2:8" hidden="1" outlineLevel="2">
      <c r="B311" s="545" t="s">
        <v>1391</v>
      </c>
      <c r="C311" s="1307">
        <v>23</v>
      </c>
      <c r="D311" s="1307">
        <v>56</v>
      </c>
      <c r="E311" s="1307">
        <v>100</v>
      </c>
      <c r="F311" s="36">
        <f t="shared" si="15"/>
        <v>0.56000000000000005</v>
      </c>
      <c r="G311" s="201">
        <f t="shared" si="17"/>
        <v>12.88</v>
      </c>
      <c r="H311" s="577">
        <f t="shared" si="16"/>
        <v>2300</v>
      </c>
    </row>
    <row r="312" spans="2:8" hidden="1" outlineLevel="2">
      <c r="B312" s="545" t="s">
        <v>1392</v>
      </c>
      <c r="C312" s="1307">
        <v>31</v>
      </c>
      <c r="D312" s="1307">
        <v>56</v>
      </c>
      <c r="E312" s="1307">
        <v>20</v>
      </c>
      <c r="F312" s="36">
        <f t="shared" si="15"/>
        <v>0.112</v>
      </c>
      <c r="G312" s="201">
        <f t="shared" si="17"/>
        <v>3.472</v>
      </c>
      <c r="H312" s="577">
        <f t="shared" si="16"/>
        <v>620</v>
      </c>
    </row>
    <row r="313" spans="2:8" ht="14.5" hidden="1" outlineLevel="2" thickBot="1">
      <c r="B313" s="545" t="s">
        <v>1393</v>
      </c>
      <c r="C313" s="1307">
        <v>464</v>
      </c>
      <c r="D313" s="1307">
        <v>100</v>
      </c>
      <c r="E313" s="1307">
        <v>20</v>
      </c>
      <c r="F313" s="36">
        <f t="shared" si="15"/>
        <v>0.2</v>
      </c>
      <c r="G313" s="201">
        <f t="shared" si="17"/>
        <v>92.800000000000011</v>
      </c>
      <c r="H313" s="577">
        <f t="shared" si="16"/>
        <v>9280</v>
      </c>
    </row>
    <row r="314" spans="2:8" ht="14.5" hidden="1" outlineLevel="1" collapsed="1" thickBot="1">
      <c r="B314" s="734" t="s">
        <v>1394</v>
      </c>
      <c r="C314" s="790">
        <f>SUM(C226:C313)</f>
        <v>3668176</v>
      </c>
      <c r="D314" s="790"/>
      <c r="E314" s="790"/>
      <c r="F314" s="790"/>
      <c r="G314" s="790">
        <f>SUM(G226:G313)</f>
        <v>1839479.5519999994</v>
      </c>
      <c r="H314" s="791">
        <f>SUM(H226:H313)</f>
        <v>222977570</v>
      </c>
    </row>
    <row r="315" spans="2:8" hidden="1" outlineLevel="2">
      <c r="B315" s="545" t="s">
        <v>1395</v>
      </c>
      <c r="C315" s="1307">
        <v>346</v>
      </c>
      <c r="D315" s="1307">
        <v>100</v>
      </c>
      <c r="E315" s="1307">
        <v>10</v>
      </c>
      <c r="F315" s="21">
        <f t="shared" ref="F315:F352" si="18">E315*D315/10000</f>
        <v>0.1</v>
      </c>
      <c r="G315" s="11">
        <f>F315*C315</f>
        <v>34.6</v>
      </c>
      <c r="H315" s="12">
        <f t="shared" ref="H315:H352" si="19">E315*C315</f>
        <v>3460</v>
      </c>
    </row>
    <row r="316" spans="2:8" hidden="1" outlineLevel="2">
      <c r="B316" s="545" t="s">
        <v>1396</v>
      </c>
      <c r="C316" s="1307">
        <v>1277</v>
      </c>
      <c r="D316" s="1307">
        <v>100</v>
      </c>
      <c r="E316" s="1307">
        <v>10</v>
      </c>
      <c r="F316" s="21">
        <f t="shared" si="18"/>
        <v>0.1</v>
      </c>
      <c r="G316" s="11">
        <f t="shared" ref="G316:G352" si="20">F316*C316</f>
        <v>127.7</v>
      </c>
      <c r="H316" s="12">
        <f t="shared" si="19"/>
        <v>12770</v>
      </c>
    </row>
    <row r="317" spans="2:8" hidden="1" outlineLevel="2">
      <c r="B317" s="545" t="s">
        <v>1397</v>
      </c>
      <c r="C317" s="1307">
        <v>61756</v>
      </c>
      <c r="D317" s="1307">
        <v>100</v>
      </c>
      <c r="E317" s="1307">
        <v>10</v>
      </c>
      <c r="F317" s="21">
        <f t="shared" si="18"/>
        <v>0.1</v>
      </c>
      <c r="G317" s="11">
        <f t="shared" si="20"/>
        <v>6175.6</v>
      </c>
      <c r="H317" s="12">
        <f t="shared" si="19"/>
        <v>617560</v>
      </c>
    </row>
    <row r="318" spans="2:8" hidden="1" outlineLevel="2">
      <c r="B318" s="545" t="s">
        <v>1398</v>
      </c>
      <c r="C318" s="1307">
        <v>175</v>
      </c>
      <c r="D318" s="1307">
        <v>100</v>
      </c>
      <c r="E318" s="1307">
        <v>10</v>
      </c>
      <c r="F318" s="21">
        <f t="shared" si="18"/>
        <v>0.1</v>
      </c>
      <c r="G318" s="11">
        <f t="shared" si="20"/>
        <v>17.5</v>
      </c>
      <c r="H318" s="12">
        <f t="shared" si="19"/>
        <v>1750</v>
      </c>
    </row>
    <row r="319" spans="2:8" hidden="1" outlineLevel="2">
      <c r="B319" s="545" t="s">
        <v>1399</v>
      </c>
      <c r="C319" s="1307">
        <v>10480</v>
      </c>
      <c r="D319" s="1307">
        <v>100</v>
      </c>
      <c r="E319" s="1307">
        <v>10</v>
      </c>
      <c r="F319" s="21">
        <f t="shared" si="18"/>
        <v>0.1</v>
      </c>
      <c r="G319" s="11">
        <f t="shared" si="20"/>
        <v>1048</v>
      </c>
      <c r="H319" s="12">
        <f t="shared" si="19"/>
        <v>104800</v>
      </c>
    </row>
    <row r="320" spans="2:8" hidden="1" outlineLevel="2">
      <c r="B320" s="545" t="s">
        <v>1400</v>
      </c>
      <c r="C320" s="1307">
        <v>9812</v>
      </c>
      <c r="D320" s="1307">
        <v>100</v>
      </c>
      <c r="E320" s="1307">
        <v>10</v>
      </c>
      <c r="F320" s="21">
        <f t="shared" si="18"/>
        <v>0.1</v>
      </c>
      <c r="G320" s="11">
        <f t="shared" si="20"/>
        <v>981.2</v>
      </c>
      <c r="H320" s="12">
        <f t="shared" si="19"/>
        <v>98120</v>
      </c>
    </row>
    <row r="321" spans="2:8" hidden="1" outlineLevel="2">
      <c r="B321" s="545" t="s">
        <v>1401</v>
      </c>
      <c r="C321" s="1307">
        <v>285</v>
      </c>
      <c r="D321" s="1307">
        <v>100</v>
      </c>
      <c r="E321" s="1307">
        <v>10</v>
      </c>
      <c r="F321" s="21">
        <f t="shared" si="18"/>
        <v>0.1</v>
      </c>
      <c r="G321" s="11">
        <f t="shared" si="20"/>
        <v>28.5</v>
      </c>
      <c r="H321" s="12">
        <f t="shared" si="19"/>
        <v>2850</v>
      </c>
    </row>
    <row r="322" spans="2:8" hidden="1" outlineLevel="2">
      <c r="B322" s="545" t="s">
        <v>1402</v>
      </c>
      <c r="C322" s="1307">
        <v>583</v>
      </c>
      <c r="D322" s="1307">
        <v>100</v>
      </c>
      <c r="E322" s="1307">
        <v>10</v>
      </c>
      <c r="F322" s="21">
        <f t="shared" si="18"/>
        <v>0.1</v>
      </c>
      <c r="G322" s="11">
        <f t="shared" si="20"/>
        <v>58.300000000000004</v>
      </c>
      <c r="H322" s="12">
        <f t="shared" si="19"/>
        <v>5830</v>
      </c>
    </row>
    <row r="323" spans="2:8" hidden="1" outlineLevel="2">
      <c r="B323" s="545" t="s">
        <v>1403</v>
      </c>
      <c r="C323" s="1307">
        <v>7954</v>
      </c>
      <c r="D323" s="1307">
        <v>100</v>
      </c>
      <c r="E323" s="1307">
        <v>10</v>
      </c>
      <c r="F323" s="21">
        <f t="shared" si="18"/>
        <v>0.1</v>
      </c>
      <c r="G323" s="11">
        <f t="shared" si="20"/>
        <v>795.40000000000009</v>
      </c>
      <c r="H323" s="12">
        <f t="shared" si="19"/>
        <v>79540</v>
      </c>
    </row>
    <row r="324" spans="2:8" hidden="1" outlineLevel="2">
      <c r="B324" s="545" t="s">
        <v>1404</v>
      </c>
      <c r="C324" s="1307">
        <v>502</v>
      </c>
      <c r="D324" s="1307">
        <v>100</v>
      </c>
      <c r="E324" s="1307">
        <v>10</v>
      </c>
      <c r="F324" s="21">
        <f t="shared" si="18"/>
        <v>0.1</v>
      </c>
      <c r="G324" s="11">
        <f t="shared" si="20"/>
        <v>50.2</v>
      </c>
      <c r="H324" s="12">
        <f t="shared" si="19"/>
        <v>5020</v>
      </c>
    </row>
    <row r="325" spans="2:8" hidden="1" outlineLevel="2">
      <c r="B325" s="545" t="s">
        <v>1405</v>
      </c>
      <c r="C325" s="1307">
        <v>779</v>
      </c>
      <c r="D325" s="1307">
        <v>200</v>
      </c>
      <c r="E325" s="1307">
        <v>10</v>
      </c>
      <c r="F325" s="21">
        <f t="shared" si="18"/>
        <v>0.2</v>
      </c>
      <c r="G325" s="11">
        <f t="shared" si="20"/>
        <v>155.80000000000001</v>
      </c>
      <c r="H325" s="12">
        <f t="shared" si="19"/>
        <v>7790</v>
      </c>
    </row>
    <row r="326" spans="2:8" hidden="1" outlineLevel="2">
      <c r="B326" s="545" t="s">
        <v>1406</v>
      </c>
      <c r="C326" s="1307">
        <v>456</v>
      </c>
      <c r="D326" s="1307">
        <v>200</v>
      </c>
      <c r="E326" s="1307">
        <v>10</v>
      </c>
      <c r="F326" s="21">
        <f t="shared" si="18"/>
        <v>0.2</v>
      </c>
      <c r="G326" s="11">
        <f t="shared" si="20"/>
        <v>91.2</v>
      </c>
      <c r="H326" s="12">
        <f t="shared" si="19"/>
        <v>4560</v>
      </c>
    </row>
    <row r="327" spans="2:8" hidden="1" outlineLevel="2">
      <c r="B327" s="545" t="s">
        <v>1407</v>
      </c>
      <c r="C327" s="1307">
        <v>1538</v>
      </c>
      <c r="D327" s="1307">
        <v>200</v>
      </c>
      <c r="E327" s="1307">
        <v>10</v>
      </c>
      <c r="F327" s="21">
        <f t="shared" si="18"/>
        <v>0.2</v>
      </c>
      <c r="G327" s="11">
        <f t="shared" si="20"/>
        <v>307.60000000000002</v>
      </c>
      <c r="H327" s="12">
        <f t="shared" si="19"/>
        <v>15380</v>
      </c>
    </row>
    <row r="328" spans="2:8" hidden="1" outlineLevel="2">
      <c r="B328" s="545" t="s">
        <v>1408</v>
      </c>
      <c r="C328" s="1307">
        <v>123486</v>
      </c>
      <c r="D328" s="1307">
        <v>200</v>
      </c>
      <c r="E328" s="1307">
        <v>10</v>
      </c>
      <c r="F328" s="21">
        <f t="shared" si="18"/>
        <v>0.2</v>
      </c>
      <c r="G328" s="11">
        <f t="shared" si="20"/>
        <v>24697.200000000001</v>
      </c>
      <c r="H328" s="12">
        <f t="shared" si="19"/>
        <v>1234860</v>
      </c>
    </row>
    <row r="329" spans="2:8" hidden="1" outlineLevel="2">
      <c r="B329" s="545" t="s">
        <v>1409</v>
      </c>
      <c r="C329" s="1307">
        <v>10681</v>
      </c>
      <c r="D329" s="1307">
        <v>200</v>
      </c>
      <c r="E329" s="1307">
        <v>10</v>
      </c>
      <c r="F329" s="21">
        <f t="shared" si="18"/>
        <v>0.2</v>
      </c>
      <c r="G329" s="11">
        <f t="shared" si="20"/>
        <v>2136.2000000000003</v>
      </c>
      <c r="H329" s="12">
        <f t="shared" si="19"/>
        <v>106810</v>
      </c>
    </row>
    <row r="330" spans="2:8" hidden="1" outlineLevel="2">
      <c r="B330" s="545" t="s">
        <v>1410</v>
      </c>
      <c r="C330" s="1307">
        <v>1790</v>
      </c>
      <c r="D330" s="1307">
        <v>200</v>
      </c>
      <c r="E330" s="1307">
        <v>10</v>
      </c>
      <c r="F330" s="21">
        <f t="shared" si="18"/>
        <v>0.2</v>
      </c>
      <c r="G330" s="11">
        <f t="shared" si="20"/>
        <v>358</v>
      </c>
      <c r="H330" s="12">
        <f t="shared" si="19"/>
        <v>17900</v>
      </c>
    </row>
    <row r="331" spans="2:8" hidden="1" outlineLevel="2">
      <c r="B331" s="545" t="s">
        <v>1411</v>
      </c>
      <c r="C331" s="1307">
        <v>1240</v>
      </c>
      <c r="D331" s="1307">
        <v>200</v>
      </c>
      <c r="E331" s="1307">
        <v>10</v>
      </c>
      <c r="F331" s="21">
        <f t="shared" si="18"/>
        <v>0.2</v>
      </c>
      <c r="G331" s="11">
        <f t="shared" si="20"/>
        <v>248</v>
      </c>
      <c r="H331" s="12">
        <f t="shared" si="19"/>
        <v>12400</v>
      </c>
    </row>
    <row r="332" spans="2:8" hidden="1" outlineLevel="2">
      <c r="B332" s="545" t="s">
        <v>1412</v>
      </c>
      <c r="C332" s="1307">
        <v>16470</v>
      </c>
      <c r="D332" s="1307">
        <v>200</v>
      </c>
      <c r="E332" s="1307">
        <v>10</v>
      </c>
      <c r="F332" s="21">
        <f t="shared" si="18"/>
        <v>0.2</v>
      </c>
      <c r="G332" s="11">
        <f t="shared" si="20"/>
        <v>3294</v>
      </c>
      <c r="H332" s="12">
        <f t="shared" si="19"/>
        <v>164700</v>
      </c>
    </row>
    <row r="333" spans="2:8" hidden="1" outlineLevel="2">
      <c r="B333" s="545" t="s">
        <v>1413</v>
      </c>
      <c r="C333" s="1307">
        <v>1152</v>
      </c>
      <c r="D333" s="1307">
        <v>200</v>
      </c>
      <c r="E333" s="1307">
        <v>10</v>
      </c>
      <c r="F333" s="21">
        <f t="shared" si="18"/>
        <v>0.2</v>
      </c>
      <c r="G333" s="11">
        <f t="shared" si="20"/>
        <v>230.4</v>
      </c>
      <c r="H333" s="12">
        <f t="shared" si="19"/>
        <v>11520</v>
      </c>
    </row>
    <row r="334" spans="2:8" hidden="1" outlineLevel="2">
      <c r="B334" s="545" t="s">
        <v>1414</v>
      </c>
      <c r="C334" s="1307">
        <v>1501</v>
      </c>
      <c r="D334" s="1307">
        <v>300</v>
      </c>
      <c r="E334" s="1307">
        <v>10</v>
      </c>
      <c r="F334" s="21">
        <f t="shared" si="18"/>
        <v>0.3</v>
      </c>
      <c r="G334" s="11">
        <f t="shared" si="20"/>
        <v>450.3</v>
      </c>
      <c r="H334" s="12">
        <f t="shared" si="19"/>
        <v>15010</v>
      </c>
    </row>
    <row r="335" spans="2:8" hidden="1" outlineLevel="2">
      <c r="B335" s="545" t="s">
        <v>1415</v>
      </c>
      <c r="C335" s="1307">
        <v>934</v>
      </c>
      <c r="D335" s="1307">
        <v>300</v>
      </c>
      <c r="E335" s="1307">
        <v>10</v>
      </c>
      <c r="F335" s="21">
        <f t="shared" si="18"/>
        <v>0.3</v>
      </c>
      <c r="G335" s="11">
        <f t="shared" si="20"/>
        <v>280.2</v>
      </c>
      <c r="H335" s="12">
        <f t="shared" si="19"/>
        <v>9340</v>
      </c>
    </row>
    <row r="336" spans="2:8" hidden="1" outlineLevel="2">
      <c r="B336" s="545" t="s">
        <v>1416</v>
      </c>
      <c r="C336" s="1307">
        <v>4854</v>
      </c>
      <c r="D336" s="1307">
        <v>300</v>
      </c>
      <c r="E336" s="1307">
        <v>10</v>
      </c>
      <c r="F336" s="21">
        <f t="shared" si="18"/>
        <v>0.3</v>
      </c>
      <c r="G336" s="11">
        <f t="shared" si="20"/>
        <v>1456.2</v>
      </c>
      <c r="H336" s="12">
        <f t="shared" si="19"/>
        <v>48540</v>
      </c>
    </row>
    <row r="337" spans="2:8" hidden="1" outlineLevel="2">
      <c r="B337" s="545" t="s">
        <v>1417</v>
      </c>
      <c r="C337" s="1307">
        <v>144837</v>
      </c>
      <c r="D337" s="1307">
        <v>300</v>
      </c>
      <c r="E337" s="1307">
        <v>10</v>
      </c>
      <c r="F337" s="21">
        <f t="shared" si="18"/>
        <v>0.3</v>
      </c>
      <c r="G337" s="11">
        <f t="shared" si="20"/>
        <v>43451.1</v>
      </c>
      <c r="H337" s="12">
        <f t="shared" si="19"/>
        <v>1448370</v>
      </c>
    </row>
    <row r="338" spans="2:8" hidden="1" outlineLevel="2">
      <c r="B338" s="545" t="s">
        <v>1418</v>
      </c>
      <c r="C338" s="1307">
        <v>32450</v>
      </c>
      <c r="D338" s="1307">
        <v>300</v>
      </c>
      <c r="E338" s="1307">
        <v>10</v>
      </c>
      <c r="F338" s="21">
        <f t="shared" si="18"/>
        <v>0.3</v>
      </c>
      <c r="G338" s="11">
        <f t="shared" si="20"/>
        <v>9735</v>
      </c>
      <c r="H338" s="12">
        <f t="shared" si="19"/>
        <v>324500</v>
      </c>
    </row>
    <row r="339" spans="2:8" hidden="1" outlineLevel="2">
      <c r="B339" s="545" t="s">
        <v>1419</v>
      </c>
      <c r="C339" s="1307">
        <v>13856</v>
      </c>
      <c r="D339" s="1307">
        <v>300</v>
      </c>
      <c r="E339" s="1307">
        <v>10</v>
      </c>
      <c r="F339" s="21">
        <f t="shared" si="18"/>
        <v>0.3</v>
      </c>
      <c r="G339" s="11">
        <f t="shared" si="20"/>
        <v>4156.8</v>
      </c>
      <c r="H339" s="12">
        <f t="shared" si="19"/>
        <v>138560</v>
      </c>
    </row>
    <row r="340" spans="2:8" hidden="1" outlineLevel="2">
      <c r="B340" s="545" t="s">
        <v>1420</v>
      </c>
      <c r="C340" s="1307">
        <v>485</v>
      </c>
      <c r="D340" s="1307">
        <v>300</v>
      </c>
      <c r="E340" s="1307">
        <v>10</v>
      </c>
      <c r="F340" s="21">
        <f t="shared" si="18"/>
        <v>0.3</v>
      </c>
      <c r="G340" s="11">
        <f t="shared" si="20"/>
        <v>145.5</v>
      </c>
      <c r="H340" s="12">
        <f t="shared" si="19"/>
        <v>4850</v>
      </c>
    </row>
    <row r="341" spans="2:8" hidden="1" outlineLevel="2">
      <c r="B341" s="545" t="s">
        <v>1421</v>
      </c>
      <c r="C341" s="1307">
        <v>2246</v>
      </c>
      <c r="D341" s="1307">
        <v>300</v>
      </c>
      <c r="E341" s="1307">
        <v>10</v>
      </c>
      <c r="F341" s="21">
        <f t="shared" si="18"/>
        <v>0.3</v>
      </c>
      <c r="G341" s="11">
        <f t="shared" si="20"/>
        <v>673.8</v>
      </c>
      <c r="H341" s="12">
        <f t="shared" si="19"/>
        <v>22460</v>
      </c>
    </row>
    <row r="342" spans="2:8" hidden="1" outlineLevel="2">
      <c r="B342" s="545" t="s">
        <v>1422</v>
      </c>
      <c r="C342" s="1307">
        <v>20563</v>
      </c>
      <c r="D342" s="1307">
        <v>300</v>
      </c>
      <c r="E342" s="1307">
        <v>10</v>
      </c>
      <c r="F342" s="21">
        <f t="shared" si="18"/>
        <v>0.3</v>
      </c>
      <c r="G342" s="11">
        <f t="shared" si="20"/>
        <v>6168.9</v>
      </c>
      <c r="H342" s="12">
        <f t="shared" si="19"/>
        <v>205630</v>
      </c>
    </row>
    <row r="343" spans="2:8" hidden="1" outlineLevel="2">
      <c r="B343" s="545" t="s">
        <v>1423</v>
      </c>
      <c r="C343" s="1307">
        <v>1558</v>
      </c>
      <c r="D343" s="1307">
        <v>300</v>
      </c>
      <c r="E343" s="1307">
        <v>10</v>
      </c>
      <c r="F343" s="21">
        <f t="shared" si="18"/>
        <v>0.3</v>
      </c>
      <c r="G343" s="11">
        <f t="shared" si="20"/>
        <v>467.4</v>
      </c>
      <c r="H343" s="12">
        <f t="shared" si="19"/>
        <v>15580</v>
      </c>
    </row>
    <row r="344" spans="2:8" hidden="1" outlineLevel="2">
      <c r="B344" s="545" t="s">
        <v>1424</v>
      </c>
      <c r="C344" s="1307">
        <v>1367</v>
      </c>
      <c r="D344" s="1307">
        <v>500</v>
      </c>
      <c r="E344" s="1307">
        <v>10</v>
      </c>
      <c r="F344" s="21">
        <f t="shared" si="18"/>
        <v>0.5</v>
      </c>
      <c r="G344" s="11">
        <f t="shared" si="20"/>
        <v>683.5</v>
      </c>
      <c r="H344" s="12">
        <f t="shared" si="19"/>
        <v>13670</v>
      </c>
    </row>
    <row r="345" spans="2:8" hidden="1" outlineLevel="2">
      <c r="B345" s="545" t="s">
        <v>1425</v>
      </c>
      <c r="C345" s="1307">
        <v>3242</v>
      </c>
      <c r="D345" s="1307">
        <v>500</v>
      </c>
      <c r="E345" s="1307">
        <v>10</v>
      </c>
      <c r="F345" s="21">
        <f t="shared" si="18"/>
        <v>0.5</v>
      </c>
      <c r="G345" s="11">
        <f t="shared" si="20"/>
        <v>1621</v>
      </c>
      <c r="H345" s="12">
        <f t="shared" si="19"/>
        <v>32420</v>
      </c>
    </row>
    <row r="346" spans="2:8" hidden="1" outlineLevel="2">
      <c r="B346" s="545" t="s">
        <v>1426</v>
      </c>
      <c r="C346" s="1307">
        <v>101289</v>
      </c>
      <c r="D346" s="1307">
        <v>500</v>
      </c>
      <c r="E346" s="1307">
        <v>10</v>
      </c>
      <c r="F346" s="21">
        <f t="shared" si="18"/>
        <v>0.5</v>
      </c>
      <c r="G346" s="257">
        <f t="shared" si="20"/>
        <v>50644.5</v>
      </c>
      <c r="H346" s="12">
        <f t="shared" si="19"/>
        <v>1012890</v>
      </c>
    </row>
    <row r="347" spans="2:8" hidden="1" outlineLevel="2">
      <c r="B347" s="545" t="s">
        <v>1427</v>
      </c>
      <c r="C347" s="1307">
        <v>18945</v>
      </c>
      <c r="D347" s="1307">
        <v>500</v>
      </c>
      <c r="E347" s="1307">
        <v>10</v>
      </c>
      <c r="F347" s="21">
        <f t="shared" si="18"/>
        <v>0.5</v>
      </c>
      <c r="G347" s="11">
        <f t="shared" si="20"/>
        <v>9472.5</v>
      </c>
      <c r="H347" s="12">
        <f t="shared" si="19"/>
        <v>189450</v>
      </c>
    </row>
    <row r="348" spans="2:8" hidden="1" outlineLevel="2">
      <c r="B348" s="545" t="s">
        <v>1428</v>
      </c>
      <c r="C348" s="1307">
        <v>11254</v>
      </c>
      <c r="D348" s="1307">
        <v>500</v>
      </c>
      <c r="E348" s="1307">
        <v>10</v>
      </c>
      <c r="F348" s="21">
        <f t="shared" si="18"/>
        <v>0.5</v>
      </c>
      <c r="G348" s="11">
        <f t="shared" si="20"/>
        <v>5627</v>
      </c>
      <c r="H348" s="12">
        <f t="shared" si="19"/>
        <v>112540</v>
      </c>
    </row>
    <row r="349" spans="2:8" hidden="1" outlineLevel="2">
      <c r="B349" s="545" t="s">
        <v>1429</v>
      </c>
      <c r="C349" s="1307">
        <v>636</v>
      </c>
      <c r="D349" s="1307">
        <v>500</v>
      </c>
      <c r="E349" s="1307">
        <v>10</v>
      </c>
      <c r="F349" s="21">
        <f t="shared" si="18"/>
        <v>0.5</v>
      </c>
      <c r="G349" s="11">
        <f t="shared" si="20"/>
        <v>318</v>
      </c>
      <c r="H349" s="12">
        <f t="shared" si="19"/>
        <v>6360</v>
      </c>
    </row>
    <row r="350" spans="2:8" hidden="1" outlineLevel="2">
      <c r="B350" s="545" t="s">
        <v>1430</v>
      </c>
      <c r="C350" s="1307">
        <v>1750</v>
      </c>
      <c r="D350" s="1307">
        <v>500</v>
      </c>
      <c r="E350" s="1307">
        <v>10</v>
      </c>
      <c r="F350" s="21">
        <f t="shared" si="18"/>
        <v>0.5</v>
      </c>
      <c r="G350" s="11">
        <f t="shared" si="20"/>
        <v>875</v>
      </c>
      <c r="H350" s="12">
        <f t="shared" si="19"/>
        <v>17500</v>
      </c>
    </row>
    <row r="351" spans="2:8" hidden="1" outlineLevel="2">
      <c r="B351" s="545" t="s">
        <v>1431</v>
      </c>
      <c r="C351" s="1307">
        <v>18869</v>
      </c>
      <c r="D351" s="1307">
        <v>500</v>
      </c>
      <c r="E351" s="1307">
        <v>10</v>
      </c>
      <c r="F351" s="21">
        <f t="shared" si="18"/>
        <v>0.5</v>
      </c>
      <c r="G351" s="11">
        <f t="shared" si="20"/>
        <v>9434.5</v>
      </c>
      <c r="H351" s="12">
        <f t="shared" si="19"/>
        <v>188690</v>
      </c>
    </row>
    <row r="352" spans="2:8" ht="14.5" hidden="1" outlineLevel="2" thickBot="1">
      <c r="B352" s="545" t="s">
        <v>1432</v>
      </c>
      <c r="C352" s="1307">
        <v>1888</v>
      </c>
      <c r="D352" s="1307">
        <v>500</v>
      </c>
      <c r="E352" s="1307">
        <v>10</v>
      </c>
      <c r="F352" s="21">
        <f t="shared" si="18"/>
        <v>0.5</v>
      </c>
      <c r="G352" s="11">
        <f t="shared" si="20"/>
        <v>944</v>
      </c>
      <c r="H352" s="12">
        <f t="shared" si="19"/>
        <v>18880</v>
      </c>
    </row>
    <row r="353" spans="2:8" ht="14.5" hidden="1" outlineLevel="1" collapsed="1" thickBot="1">
      <c r="B353" s="734" t="s">
        <v>1433</v>
      </c>
      <c r="C353" s="790">
        <f>SUM(C315:C352)</f>
        <v>633286</v>
      </c>
      <c r="D353" s="790"/>
      <c r="E353" s="790"/>
      <c r="F353" s="790"/>
      <c r="G353" s="790">
        <f>SUM(G315:G352)</f>
        <v>187440.59999999998</v>
      </c>
      <c r="H353" s="791">
        <f>SUM(H315:H352)</f>
        <v>6332860</v>
      </c>
    </row>
    <row r="354" spans="2:8" ht="14.5" hidden="1" outlineLevel="1" thickBot="1">
      <c r="B354" s="734" t="s">
        <v>1434</v>
      </c>
      <c r="C354" s="799">
        <f>C353+C314+C225+C205</f>
        <v>16977949</v>
      </c>
      <c r="D354" s="799"/>
      <c r="E354" s="799"/>
      <c r="F354" s="799"/>
      <c r="G354" s="800">
        <f>G353+G314+G225+G205</f>
        <v>9263730.0720000006</v>
      </c>
      <c r="H354" s="801">
        <f>H353+H314+H225+H205</f>
        <v>1120614130</v>
      </c>
    </row>
    <row r="355" spans="2:8" hidden="1" outlineLevel="1">
      <c r="B355" s="166"/>
    </row>
    <row r="356" spans="2:8" ht="14.5" hidden="1" outlineLevel="1" thickBot="1">
      <c r="B356" s="1289" t="s">
        <v>1435</v>
      </c>
    </row>
    <row r="357" spans="2:8" ht="28" hidden="1" outlineLevel="1">
      <c r="B357" s="543"/>
      <c r="C357" s="671" t="s">
        <v>685</v>
      </c>
      <c r="D357" s="671" t="s">
        <v>1165</v>
      </c>
      <c r="E357" s="671" t="s">
        <v>1166</v>
      </c>
      <c r="F357" s="671" t="s">
        <v>1167</v>
      </c>
      <c r="G357" s="671" t="s">
        <v>1168</v>
      </c>
      <c r="H357" s="672" t="s">
        <v>1169</v>
      </c>
    </row>
    <row r="358" spans="2:8" hidden="1" outlineLevel="1">
      <c r="B358" s="545" t="s">
        <v>1436</v>
      </c>
      <c r="C358" s="11">
        <v>4117959.7710000006</v>
      </c>
      <c r="D358" s="21"/>
      <c r="E358" s="21"/>
      <c r="F358" s="21"/>
      <c r="G358" s="11">
        <f>G205*$C358/$C205</f>
        <v>2208644.3889540681</v>
      </c>
      <c r="H358" s="12">
        <f>H205*$C358/$C205</f>
        <v>278159036.34844583</v>
      </c>
    </row>
    <row r="359" spans="2:8" hidden="1" outlineLevel="1">
      <c r="B359" s="545" t="s">
        <v>1437</v>
      </c>
      <c r="C359" s="11">
        <v>68808.489300000001</v>
      </c>
      <c r="D359" s="21"/>
      <c r="E359" s="21"/>
      <c r="F359" s="21"/>
      <c r="G359" s="11">
        <f>G225*$C359/$C225</f>
        <v>64811.563449778536</v>
      </c>
      <c r="H359" s="12">
        <f>H225*$C359/$C225</f>
        <v>6880848.9300000006</v>
      </c>
    </row>
    <row r="360" spans="2:8" hidden="1" outlineLevel="1">
      <c r="B360" s="545" t="s">
        <v>1438</v>
      </c>
      <c r="C360" s="11">
        <v>897329.90240000037</v>
      </c>
      <c r="D360" s="21"/>
      <c r="E360" s="21"/>
      <c r="F360" s="21"/>
      <c r="G360" s="11">
        <f>G314*$C360/$C314</f>
        <v>449983.86305972119</v>
      </c>
      <c r="H360" s="12">
        <f>H314*$C360/$C314</f>
        <v>54546030.813540369</v>
      </c>
    </row>
    <row r="361" spans="2:8" ht="14.5" hidden="1" outlineLevel="1" thickBot="1">
      <c r="B361" s="546" t="s">
        <v>1439</v>
      </c>
      <c r="C361" s="37">
        <f>SUM(C358:C360)</f>
        <v>5084098.1627000012</v>
      </c>
      <c r="D361" s="22"/>
      <c r="E361" s="22"/>
      <c r="F361" s="22"/>
      <c r="G361" s="198">
        <f>SUM(G358:G360)</f>
        <v>2723439.8154635681</v>
      </c>
      <c r="H361" s="199">
        <f>SUM(H358:H360)</f>
        <v>339585916.09198618</v>
      </c>
    </row>
    <row r="362" spans="2:8" hidden="1" outlineLevel="1"/>
    <row r="363" spans="2:8" collapsed="1"/>
    <row r="364" spans="2:8" ht="18">
      <c r="B364" s="258" t="s">
        <v>1440</v>
      </c>
    </row>
    <row r="366" spans="2:8" ht="14.5" hidden="1" outlineLevel="1" thickBot="1">
      <c r="B366" s="1251" t="s">
        <v>1441</v>
      </c>
    </row>
    <row r="367" spans="2:8" ht="28.5" hidden="1" outlineLevel="1" thickBot="1">
      <c r="B367" s="670" t="s">
        <v>684</v>
      </c>
      <c r="C367" s="671" t="s">
        <v>685</v>
      </c>
      <c r="D367" s="671" t="s">
        <v>1165</v>
      </c>
      <c r="E367" s="671" t="s">
        <v>1442</v>
      </c>
      <c r="F367" s="671" t="s">
        <v>1167</v>
      </c>
      <c r="G367" s="671" t="s">
        <v>1168</v>
      </c>
      <c r="H367" s="672" t="s">
        <v>1443</v>
      </c>
    </row>
    <row r="368" spans="2:8" hidden="1" outlineLevel="2">
      <c r="B368" s="276" t="s">
        <v>1444</v>
      </c>
      <c r="C368" s="81">
        <v>19608</v>
      </c>
      <c r="D368" s="81">
        <v>156</v>
      </c>
      <c r="E368" s="21">
        <v>16</v>
      </c>
      <c r="F368" s="36">
        <f>E368*D368/10000</f>
        <v>0.24959999999999999</v>
      </c>
      <c r="G368" s="201">
        <f>F368*C368</f>
        <v>4894.1567999999997</v>
      </c>
      <c r="H368" s="577">
        <f>E368*C368</f>
        <v>313728</v>
      </c>
    </row>
    <row r="369" spans="2:8" hidden="1" outlineLevel="2">
      <c r="B369" s="276" t="s">
        <v>1445</v>
      </c>
      <c r="C369" s="81">
        <v>27627</v>
      </c>
      <c r="D369" s="81">
        <v>169</v>
      </c>
      <c r="E369" s="21">
        <v>16</v>
      </c>
      <c r="F369" s="36">
        <f t="shared" ref="F369:F432" si="21">E369*D369/10000</f>
        <v>0.27039999999999997</v>
      </c>
      <c r="G369" s="201">
        <f t="shared" ref="G369:G432" si="22">F369*C369</f>
        <v>7470.340799999999</v>
      </c>
      <c r="H369" s="577">
        <f t="shared" ref="H369:H432" si="23">E369*C369</f>
        <v>442032</v>
      </c>
    </row>
    <row r="370" spans="2:8" hidden="1" outlineLevel="2">
      <c r="B370" s="276" t="s">
        <v>1446</v>
      </c>
      <c r="C370" s="81">
        <v>2143</v>
      </c>
      <c r="D370" s="81">
        <v>228</v>
      </c>
      <c r="E370" s="21">
        <v>16</v>
      </c>
      <c r="F370" s="36">
        <f t="shared" si="21"/>
        <v>0.36480000000000001</v>
      </c>
      <c r="G370" s="201">
        <f t="shared" si="22"/>
        <v>781.76639999999998</v>
      </c>
      <c r="H370" s="577">
        <f t="shared" si="23"/>
        <v>34288</v>
      </c>
    </row>
    <row r="371" spans="2:8" hidden="1" outlineLevel="2">
      <c r="B371" s="276" t="s">
        <v>1447</v>
      </c>
      <c r="C371" s="81">
        <v>9300</v>
      </c>
      <c r="D371" s="81">
        <v>300</v>
      </c>
      <c r="E371" s="21">
        <v>16</v>
      </c>
      <c r="F371" s="36">
        <f t="shared" si="21"/>
        <v>0.48</v>
      </c>
      <c r="G371" s="201">
        <f t="shared" si="22"/>
        <v>4464</v>
      </c>
      <c r="H371" s="577">
        <f t="shared" si="23"/>
        <v>148800</v>
      </c>
    </row>
    <row r="372" spans="2:8" hidden="1" outlineLevel="2">
      <c r="B372" s="276" t="s">
        <v>1448</v>
      </c>
      <c r="C372" s="81">
        <v>8876</v>
      </c>
      <c r="D372" s="81">
        <v>300</v>
      </c>
      <c r="E372" s="21">
        <v>16</v>
      </c>
      <c r="F372" s="36">
        <f t="shared" si="21"/>
        <v>0.48</v>
      </c>
      <c r="G372" s="201">
        <f t="shared" si="22"/>
        <v>4260.4799999999996</v>
      </c>
      <c r="H372" s="577">
        <f t="shared" si="23"/>
        <v>142016</v>
      </c>
    </row>
    <row r="373" spans="2:8" hidden="1" outlineLevel="2">
      <c r="B373" s="276" t="s">
        <v>1449</v>
      </c>
      <c r="C373" s="81">
        <v>5253</v>
      </c>
      <c r="D373" s="81">
        <v>400</v>
      </c>
      <c r="E373" s="21">
        <v>16</v>
      </c>
      <c r="F373" s="36">
        <f t="shared" si="21"/>
        <v>0.64</v>
      </c>
      <c r="G373" s="201">
        <f t="shared" si="22"/>
        <v>3361.92</v>
      </c>
      <c r="H373" s="577">
        <f t="shared" si="23"/>
        <v>84048</v>
      </c>
    </row>
    <row r="374" spans="2:8" ht="14.5" hidden="1" outlineLevel="2" thickBot="1">
      <c r="B374" s="515" t="s">
        <v>1450</v>
      </c>
      <c r="C374" s="793">
        <v>57564</v>
      </c>
      <c r="D374" s="793">
        <v>64</v>
      </c>
      <c r="E374" s="357">
        <v>16</v>
      </c>
      <c r="F374" s="781">
        <f t="shared" si="21"/>
        <v>0.1024</v>
      </c>
      <c r="G374" s="204">
        <f t="shared" si="22"/>
        <v>5894.5536000000002</v>
      </c>
      <c r="H374" s="733">
        <f t="shared" si="23"/>
        <v>921024</v>
      </c>
    </row>
    <row r="375" spans="2:8" ht="14.5" hidden="1" outlineLevel="1" collapsed="1" thickBot="1">
      <c r="B375" s="282" t="s">
        <v>1451</v>
      </c>
      <c r="C375" s="799">
        <f>SUM(C368:C374)</f>
        <v>130371</v>
      </c>
      <c r="D375" s="799"/>
      <c r="E375" s="799"/>
      <c r="F375" s="799"/>
      <c r="G375" s="799">
        <f>SUM(G368:G374)</f>
        <v>31127.217599999996</v>
      </c>
      <c r="H375" s="469">
        <f>SUM(H368:H374)</f>
        <v>2085936</v>
      </c>
    </row>
    <row r="376" spans="2:8" hidden="1" outlineLevel="2">
      <c r="B376" s="794" t="s">
        <v>1452</v>
      </c>
      <c r="C376" s="795">
        <v>55067</v>
      </c>
      <c r="D376" s="352">
        <v>198</v>
      </c>
      <c r="E376" s="352">
        <v>10</v>
      </c>
      <c r="F376" s="796">
        <f t="shared" si="21"/>
        <v>0.19800000000000001</v>
      </c>
      <c r="G376" s="797">
        <f t="shared" si="22"/>
        <v>10903.266</v>
      </c>
      <c r="H376" s="798">
        <f t="shared" si="23"/>
        <v>550670</v>
      </c>
    </row>
    <row r="377" spans="2:8" hidden="1" outlineLevel="2">
      <c r="B377" s="276" t="s">
        <v>1453</v>
      </c>
      <c r="C377" s="81">
        <v>21735</v>
      </c>
      <c r="D377" s="21">
        <v>210</v>
      </c>
      <c r="E377" s="21">
        <v>10</v>
      </c>
      <c r="F377" s="36">
        <f t="shared" si="21"/>
        <v>0.21</v>
      </c>
      <c r="G377" s="201">
        <f t="shared" si="22"/>
        <v>4564.3499999999995</v>
      </c>
      <c r="H377" s="577">
        <f t="shared" si="23"/>
        <v>217350</v>
      </c>
    </row>
    <row r="378" spans="2:8" hidden="1" outlineLevel="2">
      <c r="B378" s="276" t="s">
        <v>1454</v>
      </c>
      <c r="C378" s="81">
        <v>2251</v>
      </c>
      <c r="D378" s="21">
        <v>234</v>
      </c>
      <c r="E378" s="21">
        <v>10</v>
      </c>
      <c r="F378" s="36">
        <f t="shared" si="21"/>
        <v>0.23400000000000001</v>
      </c>
      <c r="G378" s="201">
        <f t="shared" si="22"/>
        <v>526.73400000000004</v>
      </c>
      <c r="H378" s="577">
        <f t="shared" si="23"/>
        <v>22510</v>
      </c>
    </row>
    <row r="379" spans="2:8" hidden="1" outlineLevel="2">
      <c r="B379" s="276" t="s">
        <v>1455</v>
      </c>
      <c r="C379" s="81">
        <v>69393</v>
      </c>
      <c r="D379" s="81">
        <v>234</v>
      </c>
      <c r="E379" s="21">
        <v>10</v>
      </c>
      <c r="F379" s="36">
        <f t="shared" si="21"/>
        <v>0.23400000000000001</v>
      </c>
      <c r="G379" s="201">
        <f t="shared" si="22"/>
        <v>16237.962000000001</v>
      </c>
      <c r="H379" s="577">
        <f t="shared" si="23"/>
        <v>693930</v>
      </c>
    </row>
    <row r="380" spans="2:8" hidden="1" outlineLevel="2">
      <c r="B380" s="276" t="s">
        <v>1456</v>
      </c>
      <c r="C380" s="81">
        <v>10355</v>
      </c>
      <c r="D380" s="21">
        <v>255</v>
      </c>
      <c r="E380" s="21">
        <v>10</v>
      </c>
      <c r="F380" s="36">
        <f t="shared" si="21"/>
        <v>0.255</v>
      </c>
      <c r="G380" s="201">
        <f t="shared" si="22"/>
        <v>2640.5250000000001</v>
      </c>
      <c r="H380" s="577">
        <f t="shared" si="23"/>
        <v>103550</v>
      </c>
    </row>
    <row r="381" spans="2:8" hidden="1" outlineLevel="2">
      <c r="B381" s="276" t="s">
        <v>1457</v>
      </c>
      <c r="C381" s="81">
        <v>497</v>
      </c>
      <c r="D381" s="21">
        <v>302</v>
      </c>
      <c r="E381" s="21">
        <v>10</v>
      </c>
      <c r="F381" s="36">
        <f t="shared" si="21"/>
        <v>0.30199999999999999</v>
      </c>
      <c r="G381" s="201">
        <f t="shared" si="22"/>
        <v>150.09399999999999</v>
      </c>
      <c r="H381" s="577">
        <f t="shared" si="23"/>
        <v>4970</v>
      </c>
    </row>
    <row r="382" spans="2:8" hidden="1" outlineLevel="2">
      <c r="B382" s="276" t="s">
        <v>1458</v>
      </c>
      <c r="C382" s="81">
        <v>40786</v>
      </c>
      <c r="D382" s="21">
        <v>385</v>
      </c>
      <c r="E382" s="21">
        <v>10</v>
      </c>
      <c r="F382" s="36">
        <f t="shared" si="21"/>
        <v>0.38500000000000001</v>
      </c>
      <c r="G382" s="201">
        <f t="shared" si="22"/>
        <v>15702.61</v>
      </c>
      <c r="H382" s="577">
        <f t="shared" si="23"/>
        <v>407860</v>
      </c>
    </row>
    <row r="383" spans="2:8" hidden="1" outlineLevel="2">
      <c r="B383" s="276" t="s">
        <v>1459</v>
      </c>
      <c r="C383" s="81">
        <v>11549</v>
      </c>
      <c r="D383" s="81">
        <v>545</v>
      </c>
      <c r="E383" s="21">
        <v>10</v>
      </c>
      <c r="F383" s="36">
        <f t="shared" si="21"/>
        <v>0.54500000000000004</v>
      </c>
      <c r="G383" s="201">
        <f t="shared" si="22"/>
        <v>6294.2050000000008</v>
      </c>
      <c r="H383" s="577">
        <f t="shared" si="23"/>
        <v>115490</v>
      </c>
    </row>
    <row r="384" spans="2:8" hidden="1" outlineLevel="2">
      <c r="B384" s="276" t="s">
        <v>1460</v>
      </c>
      <c r="C384" s="81">
        <v>82</v>
      </c>
      <c r="D384" s="21">
        <v>200</v>
      </c>
      <c r="E384" s="21">
        <v>10</v>
      </c>
      <c r="F384" s="36">
        <f t="shared" si="21"/>
        <v>0.2</v>
      </c>
      <c r="G384" s="201">
        <f t="shared" si="22"/>
        <v>16.400000000000002</v>
      </c>
      <c r="H384" s="577">
        <f t="shared" si="23"/>
        <v>820</v>
      </c>
    </row>
    <row r="385" spans="2:8" hidden="1" outlineLevel="2">
      <c r="B385" s="276" t="s">
        <v>1461</v>
      </c>
      <c r="C385" s="81">
        <v>25729</v>
      </c>
      <c r="D385" s="21">
        <v>220</v>
      </c>
      <c r="E385" s="21">
        <v>10</v>
      </c>
      <c r="F385" s="36">
        <f t="shared" si="21"/>
        <v>0.22</v>
      </c>
      <c r="G385" s="201">
        <f t="shared" si="22"/>
        <v>5660.38</v>
      </c>
      <c r="H385" s="577">
        <f t="shared" si="23"/>
        <v>257290</v>
      </c>
    </row>
    <row r="386" spans="2:8" hidden="1" outlineLevel="2">
      <c r="B386" s="276" t="s">
        <v>1462</v>
      </c>
      <c r="C386" s="81">
        <v>149520</v>
      </c>
      <c r="D386" s="81">
        <v>223</v>
      </c>
      <c r="E386" s="21">
        <v>10</v>
      </c>
      <c r="F386" s="36">
        <f t="shared" si="21"/>
        <v>0.223</v>
      </c>
      <c r="G386" s="201">
        <f t="shared" si="22"/>
        <v>33342.959999999999</v>
      </c>
      <c r="H386" s="577">
        <f t="shared" si="23"/>
        <v>1495200</v>
      </c>
    </row>
    <row r="387" spans="2:8" hidden="1" outlineLevel="2">
      <c r="B387" s="276" t="s">
        <v>1463</v>
      </c>
      <c r="C387" s="81">
        <v>2355</v>
      </c>
      <c r="D387" s="21">
        <v>226</v>
      </c>
      <c r="E387" s="21">
        <v>10</v>
      </c>
      <c r="F387" s="36">
        <f t="shared" si="21"/>
        <v>0.22600000000000001</v>
      </c>
      <c r="G387" s="201">
        <f t="shared" si="22"/>
        <v>532.23</v>
      </c>
      <c r="H387" s="577">
        <f t="shared" si="23"/>
        <v>23550</v>
      </c>
    </row>
    <row r="388" spans="2:8" hidden="1" outlineLevel="2">
      <c r="B388" s="276" t="s">
        <v>1464</v>
      </c>
      <c r="C388" s="81">
        <v>14254</v>
      </c>
      <c r="D388" s="21">
        <v>247</v>
      </c>
      <c r="E388" s="21">
        <v>10</v>
      </c>
      <c r="F388" s="36">
        <f t="shared" si="21"/>
        <v>0.247</v>
      </c>
      <c r="G388" s="201">
        <f t="shared" si="22"/>
        <v>3520.7379999999998</v>
      </c>
      <c r="H388" s="577">
        <f t="shared" si="23"/>
        <v>142540</v>
      </c>
    </row>
    <row r="389" spans="2:8" hidden="1" outlineLevel="2">
      <c r="B389" s="276" t="s">
        <v>1465</v>
      </c>
      <c r="C389" s="81">
        <v>19722</v>
      </c>
      <c r="D389" s="81">
        <v>282</v>
      </c>
      <c r="E389" s="21">
        <v>10</v>
      </c>
      <c r="F389" s="36">
        <f t="shared" si="21"/>
        <v>0.28199999999999997</v>
      </c>
      <c r="G389" s="201">
        <f t="shared" si="22"/>
        <v>5561.6039999999994</v>
      </c>
      <c r="H389" s="577">
        <f t="shared" si="23"/>
        <v>197220</v>
      </c>
    </row>
    <row r="390" spans="2:8" hidden="1" outlineLevel="2">
      <c r="B390" s="276" t="s">
        <v>1466</v>
      </c>
      <c r="C390" s="81">
        <v>155</v>
      </c>
      <c r="D390" s="21">
        <v>302</v>
      </c>
      <c r="E390" s="21">
        <v>10</v>
      </c>
      <c r="F390" s="36">
        <f t="shared" si="21"/>
        <v>0.30199999999999999</v>
      </c>
      <c r="G390" s="201">
        <f t="shared" si="22"/>
        <v>46.809999999999995</v>
      </c>
      <c r="H390" s="577">
        <f t="shared" si="23"/>
        <v>1550</v>
      </c>
    </row>
    <row r="391" spans="2:8" ht="15" hidden="1" customHeight="1" outlineLevel="2">
      <c r="B391" s="276" t="s">
        <v>1467</v>
      </c>
      <c r="C391" s="81">
        <v>5944</v>
      </c>
      <c r="D391" s="21">
        <v>325</v>
      </c>
      <c r="E391" s="21">
        <v>10</v>
      </c>
      <c r="F391" s="36">
        <f t="shared" si="21"/>
        <v>0.32500000000000001</v>
      </c>
      <c r="G391" s="201">
        <f t="shared" si="22"/>
        <v>1931.8</v>
      </c>
      <c r="H391" s="577">
        <f t="shared" si="23"/>
        <v>59440</v>
      </c>
    </row>
    <row r="392" spans="2:8" hidden="1" outlineLevel="2">
      <c r="B392" s="276" t="s">
        <v>1468</v>
      </c>
      <c r="C392" s="81">
        <v>1900</v>
      </c>
      <c r="D392" s="21">
        <v>336</v>
      </c>
      <c r="E392" s="21">
        <v>10</v>
      </c>
      <c r="F392" s="36">
        <f t="shared" si="21"/>
        <v>0.33600000000000002</v>
      </c>
      <c r="G392" s="201">
        <f t="shared" si="22"/>
        <v>638.40000000000009</v>
      </c>
      <c r="H392" s="577">
        <f t="shared" si="23"/>
        <v>19000</v>
      </c>
    </row>
    <row r="393" spans="2:8" hidden="1" outlineLevel="2">
      <c r="B393" s="276" t="s">
        <v>1469</v>
      </c>
      <c r="C393" s="81">
        <v>152458</v>
      </c>
      <c r="D393" s="81">
        <v>380</v>
      </c>
      <c r="E393" s="21">
        <v>10</v>
      </c>
      <c r="F393" s="36">
        <f t="shared" si="21"/>
        <v>0.38</v>
      </c>
      <c r="G393" s="201">
        <f t="shared" si="22"/>
        <v>57934.04</v>
      </c>
      <c r="H393" s="577">
        <f t="shared" si="23"/>
        <v>1524580</v>
      </c>
    </row>
    <row r="394" spans="2:8" hidden="1" outlineLevel="2">
      <c r="B394" s="276" t="s">
        <v>1470</v>
      </c>
      <c r="C394" s="81">
        <v>78507</v>
      </c>
      <c r="D394" s="81">
        <v>398</v>
      </c>
      <c r="E394" s="21">
        <v>10</v>
      </c>
      <c r="F394" s="36">
        <f t="shared" si="21"/>
        <v>0.39800000000000002</v>
      </c>
      <c r="G394" s="201">
        <f t="shared" si="22"/>
        <v>31245.786</v>
      </c>
      <c r="H394" s="577">
        <f t="shared" si="23"/>
        <v>785070</v>
      </c>
    </row>
    <row r="395" spans="2:8" hidden="1" outlineLevel="2">
      <c r="B395" s="276" t="s">
        <v>1471</v>
      </c>
      <c r="C395" s="81">
        <v>5664</v>
      </c>
      <c r="D395" s="21">
        <v>402</v>
      </c>
      <c r="E395" s="21">
        <v>5</v>
      </c>
      <c r="F395" s="36">
        <f t="shared" si="21"/>
        <v>0.20100000000000001</v>
      </c>
      <c r="G395" s="201">
        <f t="shared" si="22"/>
        <v>1138.4640000000002</v>
      </c>
      <c r="H395" s="577">
        <f t="shared" si="23"/>
        <v>28320</v>
      </c>
    </row>
    <row r="396" spans="2:8" hidden="1" outlineLevel="2">
      <c r="B396" s="276" t="s">
        <v>1472</v>
      </c>
      <c r="C396" s="81">
        <v>15480</v>
      </c>
      <c r="D396" s="21">
        <v>434</v>
      </c>
      <c r="E396" s="21">
        <v>10</v>
      </c>
      <c r="F396" s="36">
        <f t="shared" si="21"/>
        <v>0.434</v>
      </c>
      <c r="G396" s="201">
        <f t="shared" si="22"/>
        <v>6718.32</v>
      </c>
      <c r="H396" s="577">
        <f t="shared" si="23"/>
        <v>154800</v>
      </c>
    </row>
    <row r="397" spans="2:8" hidden="1" outlineLevel="2">
      <c r="B397" s="276" t="s">
        <v>1473</v>
      </c>
      <c r="C397" s="81">
        <v>8897</v>
      </c>
      <c r="D397" s="81">
        <v>460</v>
      </c>
      <c r="E397" s="21">
        <v>10</v>
      </c>
      <c r="F397" s="36">
        <f t="shared" si="21"/>
        <v>0.46</v>
      </c>
      <c r="G397" s="201">
        <f t="shared" si="22"/>
        <v>4092.6200000000003</v>
      </c>
      <c r="H397" s="577">
        <f t="shared" si="23"/>
        <v>88970</v>
      </c>
    </row>
    <row r="398" spans="2:8" hidden="1" outlineLevel="2">
      <c r="B398" s="276" t="s">
        <v>1474</v>
      </c>
      <c r="C398" s="81">
        <v>5910</v>
      </c>
      <c r="D398" s="21">
        <v>465</v>
      </c>
      <c r="E398" s="21">
        <v>5</v>
      </c>
      <c r="F398" s="36">
        <f t="shared" si="21"/>
        <v>0.23250000000000001</v>
      </c>
      <c r="G398" s="201">
        <f t="shared" si="22"/>
        <v>1374.075</v>
      </c>
      <c r="H398" s="577">
        <f t="shared" si="23"/>
        <v>29550</v>
      </c>
    </row>
    <row r="399" spans="2:8" hidden="1" outlineLevel="2">
      <c r="B399" s="276" t="s">
        <v>1475</v>
      </c>
      <c r="C399" s="81">
        <v>53534</v>
      </c>
      <c r="D399" s="21">
        <v>156</v>
      </c>
      <c r="E399" s="21">
        <v>16</v>
      </c>
      <c r="F399" s="36">
        <f t="shared" si="21"/>
        <v>0.24959999999999999</v>
      </c>
      <c r="G399" s="201">
        <f t="shared" si="22"/>
        <v>13362.0864</v>
      </c>
      <c r="H399" s="577">
        <f t="shared" si="23"/>
        <v>856544</v>
      </c>
    </row>
    <row r="400" spans="2:8" hidden="1" outlineLevel="2">
      <c r="B400" s="276" t="s">
        <v>1476</v>
      </c>
      <c r="C400" s="81">
        <v>104819</v>
      </c>
      <c r="D400" s="21">
        <v>169</v>
      </c>
      <c r="E400" s="21">
        <v>16</v>
      </c>
      <c r="F400" s="36">
        <f t="shared" si="21"/>
        <v>0.27039999999999997</v>
      </c>
      <c r="G400" s="201">
        <f t="shared" si="22"/>
        <v>28343.057599999996</v>
      </c>
      <c r="H400" s="577">
        <f t="shared" si="23"/>
        <v>1677104</v>
      </c>
    </row>
    <row r="401" spans="2:8" hidden="1" outlineLevel="2">
      <c r="B401" s="276" t="s">
        <v>1477</v>
      </c>
      <c r="C401" s="81">
        <v>3538</v>
      </c>
      <c r="D401" s="21">
        <v>300</v>
      </c>
      <c r="E401" s="21">
        <v>16</v>
      </c>
      <c r="F401" s="36">
        <f t="shared" si="21"/>
        <v>0.48</v>
      </c>
      <c r="G401" s="201">
        <f t="shared" si="22"/>
        <v>1698.24</v>
      </c>
      <c r="H401" s="577">
        <f t="shared" si="23"/>
        <v>56608</v>
      </c>
    </row>
    <row r="402" spans="2:8" hidden="1" outlineLevel="2">
      <c r="B402" s="276" t="s">
        <v>1478</v>
      </c>
      <c r="C402" s="81">
        <v>30986</v>
      </c>
      <c r="D402" s="21">
        <v>300</v>
      </c>
      <c r="E402" s="21">
        <v>16</v>
      </c>
      <c r="F402" s="36">
        <f t="shared" si="21"/>
        <v>0.48</v>
      </c>
      <c r="G402" s="201">
        <f t="shared" si="22"/>
        <v>14873.279999999999</v>
      </c>
      <c r="H402" s="577">
        <f t="shared" si="23"/>
        <v>495776</v>
      </c>
    </row>
    <row r="403" spans="2:8" hidden="1" outlineLevel="2">
      <c r="B403" s="276" t="s">
        <v>1479</v>
      </c>
      <c r="C403" s="81">
        <v>25277</v>
      </c>
      <c r="D403" s="21">
        <v>300</v>
      </c>
      <c r="E403" s="21">
        <v>16</v>
      </c>
      <c r="F403" s="36">
        <f t="shared" si="21"/>
        <v>0.48</v>
      </c>
      <c r="G403" s="201">
        <f t="shared" si="22"/>
        <v>12132.96</v>
      </c>
      <c r="H403" s="577">
        <f t="shared" si="23"/>
        <v>404432</v>
      </c>
    </row>
    <row r="404" spans="2:8" hidden="1" outlineLevel="2">
      <c r="B404" s="276" t="s">
        <v>1480</v>
      </c>
      <c r="C404" s="81">
        <v>25</v>
      </c>
      <c r="D404" s="81">
        <v>36</v>
      </c>
      <c r="E404" s="21">
        <v>10</v>
      </c>
      <c r="F404" s="36">
        <f t="shared" si="21"/>
        <v>3.5999999999999997E-2</v>
      </c>
      <c r="G404" s="201">
        <f t="shared" si="22"/>
        <v>0.89999999999999991</v>
      </c>
      <c r="H404" s="577">
        <f t="shared" si="23"/>
        <v>250</v>
      </c>
    </row>
    <row r="405" spans="2:8" hidden="1" outlineLevel="2">
      <c r="B405" s="276" t="s">
        <v>1481</v>
      </c>
      <c r="C405" s="81">
        <v>54804</v>
      </c>
      <c r="D405" s="81">
        <v>36</v>
      </c>
      <c r="E405" s="21">
        <v>16</v>
      </c>
      <c r="F405" s="36">
        <f t="shared" si="21"/>
        <v>5.7599999999999998E-2</v>
      </c>
      <c r="G405" s="201">
        <f t="shared" si="22"/>
        <v>3156.7103999999999</v>
      </c>
      <c r="H405" s="577">
        <f t="shared" si="23"/>
        <v>876864</v>
      </c>
    </row>
    <row r="406" spans="2:8" hidden="1" outlineLevel="2">
      <c r="B406" s="276" t="s">
        <v>1482</v>
      </c>
      <c r="C406" s="81">
        <v>10713</v>
      </c>
      <c r="D406" s="21">
        <v>400</v>
      </c>
      <c r="E406" s="21">
        <v>16</v>
      </c>
      <c r="F406" s="36">
        <f t="shared" si="21"/>
        <v>0.64</v>
      </c>
      <c r="G406" s="201">
        <f t="shared" si="22"/>
        <v>6856.32</v>
      </c>
      <c r="H406" s="577">
        <f t="shared" si="23"/>
        <v>171408</v>
      </c>
    </row>
    <row r="407" spans="2:8" hidden="1" outlineLevel="2">
      <c r="B407" s="276" t="s">
        <v>1483</v>
      </c>
      <c r="C407" s="81">
        <v>217316</v>
      </c>
      <c r="D407" s="81">
        <v>64</v>
      </c>
      <c r="E407" s="21">
        <v>16</v>
      </c>
      <c r="F407" s="36">
        <f t="shared" si="21"/>
        <v>0.1024</v>
      </c>
      <c r="G407" s="201">
        <f t="shared" si="22"/>
        <v>22253.1584</v>
      </c>
      <c r="H407" s="577">
        <f t="shared" si="23"/>
        <v>3477056</v>
      </c>
    </row>
    <row r="408" spans="2:8" hidden="1" outlineLevel="2">
      <c r="B408" s="276" t="s">
        <v>1484</v>
      </c>
      <c r="C408" s="81">
        <v>3806</v>
      </c>
      <c r="D408" s="21">
        <v>242</v>
      </c>
      <c r="E408" s="21">
        <v>10</v>
      </c>
      <c r="F408" s="36">
        <f t="shared" si="21"/>
        <v>0.24199999999999999</v>
      </c>
      <c r="G408" s="201">
        <f t="shared" si="22"/>
        <v>921.05200000000002</v>
      </c>
      <c r="H408" s="577">
        <f t="shared" si="23"/>
        <v>38060</v>
      </c>
    </row>
    <row r="409" spans="2:8" hidden="1" outlineLevel="2">
      <c r="B409" s="276" t="s">
        <v>1485</v>
      </c>
      <c r="C409" s="81">
        <v>3156</v>
      </c>
      <c r="D409" s="21">
        <v>433</v>
      </c>
      <c r="E409" s="21">
        <v>10</v>
      </c>
      <c r="F409" s="36">
        <f t="shared" si="21"/>
        <v>0.433</v>
      </c>
      <c r="G409" s="201">
        <f t="shared" si="22"/>
        <v>1366.548</v>
      </c>
      <c r="H409" s="577">
        <f t="shared" si="23"/>
        <v>31560</v>
      </c>
    </row>
    <row r="410" spans="2:8" hidden="1" outlineLevel="2">
      <c r="B410" s="276" t="s">
        <v>1486</v>
      </c>
      <c r="C410" s="81">
        <v>39715</v>
      </c>
      <c r="D410" s="81">
        <v>229</v>
      </c>
      <c r="E410" s="21">
        <v>5</v>
      </c>
      <c r="F410" s="36">
        <f t="shared" si="21"/>
        <v>0.1145</v>
      </c>
      <c r="G410" s="201">
        <f t="shared" si="22"/>
        <v>4547.3675000000003</v>
      </c>
      <c r="H410" s="577">
        <f t="shared" si="23"/>
        <v>198575</v>
      </c>
    </row>
    <row r="411" spans="2:8" hidden="1" outlineLevel="2">
      <c r="B411" s="276" t="s">
        <v>1487</v>
      </c>
      <c r="C411" s="81">
        <v>18398</v>
      </c>
      <c r="D411" s="81">
        <v>293</v>
      </c>
      <c r="E411" s="21">
        <v>5</v>
      </c>
      <c r="F411" s="36">
        <f t="shared" si="21"/>
        <v>0.14649999999999999</v>
      </c>
      <c r="G411" s="201">
        <f t="shared" si="22"/>
        <v>2695.3069999999998</v>
      </c>
      <c r="H411" s="577">
        <f t="shared" si="23"/>
        <v>91990</v>
      </c>
    </row>
    <row r="412" spans="2:8" hidden="1" outlineLevel="2">
      <c r="B412" s="276" t="s">
        <v>1488</v>
      </c>
      <c r="C412" s="81">
        <v>29099</v>
      </c>
      <c r="D412" s="81">
        <v>485</v>
      </c>
      <c r="E412" s="21">
        <v>5</v>
      </c>
      <c r="F412" s="36">
        <f t="shared" si="21"/>
        <v>0.24249999999999999</v>
      </c>
      <c r="G412" s="201">
        <f t="shared" si="22"/>
        <v>7056.5074999999997</v>
      </c>
      <c r="H412" s="577">
        <f t="shared" si="23"/>
        <v>145495</v>
      </c>
    </row>
    <row r="413" spans="2:8" hidden="1" outlineLevel="2">
      <c r="B413" s="276" t="s">
        <v>1489</v>
      </c>
      <c r="C413" s="81">
        <v>27249</v>
      </c>
      <c r="D413" s="81">
        <v>215</v>
      </c>
      <c r="E413" s="21">
        <v>5</v>
      </c>
      <c r="F413" s="36">
        <f t="shared" si="21"/>
        <v>0.1075</v>
      </c>
      <c r="G413" s="201">
        <f t="shared" si="22"/>
        <v>2929.2674999999999</v>
      </c>
      <c r="H413" s="577">
        <f t="shared" si="23"/>
        <v>136245</v>
      </c>
    </row>
    <row r="414" spans="2:8" hidden="1" outlineLevel="2">
      <c r="B414" s="276" t="s">
        <v>1490</v>
      </c>
      <c r="C414" s="81">
        <v>14461</v>
      </c>
      <c r="D414" s="21">
        <v>247</v>
      </c>
      <c r="E414" s="21">
        <v>10</v>
      </c>
      <c r="F414" s="36">
        <f t="shared" si="21"/>
        <v>0.247</v>
      </c>
      <c r="G414" s="201">
        <f t="shared" si="22"/>
        <v>3571.8669999999997</v>
      </c>
      <c r="H414" s="577">
        <f t="shared" si="23"/>
        <v>144610</v>
      </c>
    </row>
    <row r="415" spans="2:8" hidden="1" outlineLevel="2">
      <c r="B415" s="276" t="s">
        <v>1491</v>
      </c>
      <c r="C415" s="81">
        <v>16163</v>
      </c>
      <c r="D415" s="21">
        <v>282</v>
      </c>
      <c r="E415" s="21">
        <v>5</v>
      </c>
      <c r="F415" s="36">
        <f t="shared" si="21"/>
        <v>0.14099999999999999</v>
      </c>
      <c r="G415" s="201">
        <f t="shared" si="22"/>
        <v>2278.9829999999997</v>
      </c>
      <c r="H415" s="577">
        <f t="shared" si="23"/>
        <v>80815</v>
      </c>
    </row>
    <row r="416" spans="2:8" ht="14.5" hidden="1" outlineLevel="2" thickBot="1">
      <c r="B416" s="276" t="s">
        <v>1492</v>
      </c>
      <c r="C416" s="81">
        <v>11620</v>
      </c>
      <c r="D416" s="21">
        <v>434</v>
      </c>
      <c r="E416" s="21">
        <v>5</v>
      </c>
      <c r="F416" s="36">
        <f t="shared" si="21"/>
        <v>0.217</v>
      </c>
      <c r="G416" s="201">
        <f t="shared" si="22"/>
        <v>2521.54</v>
      </c>
      <c r="H416" s="577">
        <f t="shared" si="23"/>
        <v>58100</v>
      </c>
    </row>
    <row r="417" spans="2:9" ht="14.5" hidden="1" outlineLevel="1" collapsed="1" thickBot="1">
      <c r="B417" s="282" t="s">
        <v>1493</v>
      </c>
      <c r="C417" s="799">
        <f>SUM(C376:C416)</f>
        <v>1362889</v>
      </c>
      <c r="D417" s="799"/>
      <c r="E417" s="799"/>
      <c r="F417" s="799"/>
      <c r="G417" s="799">
        <f>SUM(G376:G416)</f>
        <v>341339.5253000001</v>
      </c>
      <c r="H417" s="469">
        <f>SUM(H376:H416)</f>
        <v>15865722</v>
      </c>
      <c r="I417" t="s">
        <v>1494</v>
      </c>
    </row>
    <row r="418" spans="2:9" hidden="1" outlineLevel="2">
      <c r="B418" s="276" t="s">
        <v>1495</v>
      </c>
      <c r="C418" s="81">
        <v>633</v>
      </c>
      <c r="D418" s="21">
        <v>225</v>
      </c>
      <c r="E418" s="21">
        <v>10</v>
      </c>
      <c r="F418" s="36">
        <f t="shared" si="21"/>
        <v>0.22500000000000001</v>
      </c>
      <c r="G418" s="201">
        <f t="shared" si="22"/>
        <v>142.42500000000001</v>
      </c>
      <c r="H418" s="577">
        <f t="shared" si="23"/>
        <v>6330</v>
      </c>
    </row>
    <row r="419" spans="2:9" hidden="1" outlineLevel="2">
      <c r="B419" s="276" t="s">
        <v>1496</v>
      </c>
      <c r="C419" s="81">
        <v>231</v>
      </c>
      <c r="D419" s="21">
        <v>226</v>
      </c>
      <c r="E419" s="21">
        <v>10</v>
      </c>
      <c r="F419" s="36">
        <f t="shared" si="21"/>
        <v>0.22600000000000001</v>
      </c>
      <c r="G419" s="201">
        <f t="shared" si="22"/>
        <v>52.206000000000003</v>
      </c>
      <c r="H419" s="577">
        <f t="shared" si="23"/>
        <v>2310</v>
      </c>
    </row>
    <row r="420" spans="2:9" hidden="1" outlineLevel="2">
      <c r="B420" s="276" t="s">
        <v>1497</v>
      </c>
      <c r="C420" s="81">
        <v>281186</v>
      </c>
      <c r="D420" s="81">
        <v>47</v>
      </c>
      <c r="E420" s="21">
        <v>10</v>
      </c>
      <c r="F420" s="36">
        <f t="shared" si="21"/>
        <v>4.7E-2</v>
      </c>
      <c r="G420" s="201">
        <f t="shared" si="22"/>
        <v>13215.742</v>
      </c>
      <c r="H420" s="577">
        <f t="shared" si="23"/>
        <v>2811860</v>
      </c>
    </row>
    <row r="421" spans="2:9" ht="14.5" hidden="1" outlineLevel="2" thickBot="1">
      <c r="B421" s="276" t="s">
        <v>1498</v>
      </c>
      <c r="C421" s="81">
        <v>123</v>
      </c>
      <c r="D421" s="21">
        <v>433</v>
      </c>
      <c r="E421" s="21">
        <v>10</v>
      </c>
      <c r="F421" s="36">
        <f t="shared" si="21"/>
        <v>0.433</v>
      </c>
      <c r="G421" s="201">
        <f t="shared" si="22"/>
        <v>53.259</v>
      </c>
      <c r="H421" s="577">
        <f t="shared" si="23"/>
        <v>1230</v>
      </c>
    </row>
    <row r="422" spans="2:9" ht="14.5" hidden="1" outlineLevel="1" collapsed="1" thickBot="1">
      <c r="B422" s="282" t="s">
        <v>1499</v>
      </c>
      <c r="C422" s="799">
        <f>SUM(C418:C421)</f>
        <v>282173</v>
      </c>
      <c r="D422" s="799"/>
      <c r="E422" s="799"/>
      <c r="F422" s="799"/>
      <c r="G422" s="799">
        <f>SUM(G418:G421)</f>
        <v>13463.632</v>
      </c>
      <c r="H422" s="469">
        <f>SUM(H418:H421)</f>
        <v>2821730</v>
      </c>
    </row>
    <row r="423" spans="2:9" hidden="1" outlineLevel="2">
      <c r="B423" s="276" t="s">
        <v>1500</v>
      </c>
      <c r="C423" s="81">
        <v>1809</v>
      </c>
      <c r="D423" s="81">
        <f t="shared" ref="D423:D428" si="24" xml:space="preserve"> 25</f>
        <v>25</v>
      </c>
      <c r="E423" s="21">
        <v>10</v>
      </c>
      <c r="F423" s="36">
        <f t="shared" si="21"/>
        <v>2.5000000000000001E-2</v>
      </c>
      <c r="G423" s="201">
        <f t="shared" si="22"/>
        <v>45.225000000000001</v>
      </c>
      <c r="H423" s="577">
        <f t="shared" si="23"/>
        <v>18090</v>
      </c>
    </row>
    <row r="424" spans="2:9" hidden="1" outlineLevel="2">
      <c r="B424" s="276" t="s">
        <v>1501</v>
      </c>
      <c r="C424" s="81">
        <v>33483</v>
      </c>
      <c r="D424" s="81">
        <f t="shared" si="24"/>
        <v>25</v>
      </c>
      <c r="E424" s="21">
        <v>10</v>
      </c>
      <c r="F424" s="36">
        <f t="shared" si="21"/>
        <v>2.5000000000000001E-2</v>
      </c>
      <c r="G424" s="201">
        <f t="shared" si="22"/>
        <v>837.07500000000005</v>
      </c>
      <c r="H424" s="577">
        <f t="shared" si="23"/>
        <v>334830</v>
      </c>
    </row>
    <row r="425" spans="2:9" hidden="1" outlineLevel="2">
      <c r="B425" s="276" t="s">
        <v>1502</v>
      </c>
      <c r="C425" s="81">
        <v>121147</v>
      </c>
      <c r="D425" s="81">
        <f t="shared" si="24"/>
        <v>25</v>
      </c>
      <c r="E425" s="21">
        <v>10</v>
      </c>
      <c r="F425" s="36">
        <f t="shared" si="21"/>
        <v>2.5000000000000001E-2</v>
      </c>
      <c r="G425" s="201">
        <f t="shared" si="22"/>
        <v>3028.6750000000002</v>
      </c>
      <c r="H425" s="577">
        <f t="shared" si="23"/>
        <v>1211470</v>
      </c>
    </row>
    <row r="426" spans="2:9" hidden="1" outlineLevel="2">
      <c r="B426" s="276" t="s">
        <v>1503</v>
      </c>
      <c r="C426" s="81">
        <v>94551</v>
      </c>
      <c r="D426" s="81">
        <f t="shared" si="24"/>
        <v>25</v>
      </c>
      <c r="E426" s="21">
        <v>10</v>
      </c>
      <c r="F426" s="36">
        <f t="shared" si="21"/>
        <v>2.5000000000000001E-2</v>
      </c>
      <c r="G426" s="201">
        <f t="shared" si="22"/>
        <v>2363.7750000000001</v>
      </c>
      <c r="H426" s="577">
        <f t="shared" si="23"/>
        <v>945510</v>
      </c>
    </row>
    <row r="427" spans="2:9" hidden="1" outlineLevel="2">
      <c r="B427" s="276" t="s">
        <v>1504</v>
      </c>
      <c r="C427" s="792">
        <v>1586139</v>
      </c>
      <c r="D427" s="81">
        <f t="shared" si="24"/>
        <v>25</v>
      </c>
      <c r="E427" s="21">
        <v>10</v>
      </c>
      <c r="F427" s="36">
        <f t="shared" si="21"/>
        <v>2.5000000000000001E-2</v>
      </c>
      <c r="G427" s="201">
        <f t="shared" si="22"/>
        <v>39653.475000000006</v>
      </c>
      <c r="H427" s="577">
        <f t="shared" si="23"/>
        <v>15861390</v>
      </c>
    </row>
    <row r="428" spans="2:9" hidden="1" outlineLevel="2">
      <c r="B428" s="276" t="s">
        <v>1505</v>
      </c>
      <c r="C428" s="81">
        <v>38765</v>
      </c>
      <c r="D428" s="81">
        <f t="shared" si="24"/>
        <v>25</v>
      </c>
      <c r="E428" s="21">
        <v>10</v>
      </c>
      <c r="F428" s="36">
        <f t="shared" si="21"/>
        <v>2.5000000000000001E-2</v>
      </c>
      <c r="G428" s="201">
        <f t="shared" si="22"/>
        <v>969.125</v>
      </c>
      <c r="H428" s="577">
        <f t="shared" si="23"/>
        <v>387650</v>
      </c>
    </row>
    <row r="429" spans="2:9" hidden="1" outlineLevel="2">
      <c r="B429" s="276" t="s">
        <v>1506</v>
      </c>
      <c r="C429" s="81">
        <v>5685</v>
      </c>
      <c r="D429" s="21">
        <v>100</v>
      </c>
      <c r="E429" s="21">
        <v>10</v>
      </c>
      <c r="F429" s="36">
        <f t="shared" si="21"/>
        <v>0.1</v>
      </c>
      <c r="G429" s="201">
        <f t="shared" si="22"/>
        <v>568.5</v>
      </c>
      <c r="H429" s="577">
        <f t="shared" si="23"/>
        <v>56850</v>
      </c>
    </row>
    <row r="430" spans="2:9" hidden="1" outlineLevel="2">
      <c r="B430" s="276" t="s">
        <v>1507</v>
      </c>
      <c r="C430" s="81">
        <v>23295</v>
      </c>
      <c r="D430" s="21">
        <v>100</v>
      </c>
      <c r="E430" s="21">
        <v>10</v>
      </c>
      <c r="F430" s="36">
        <f t="shared" si="21"/>
        <v>0.1</v>
      </c>
      <c r="G430" s="201">
        <f t="shared" si="22"/>
        <v>2329.5</v>
      </c>
      <c r="H430" s="577">
        <f t="shared" si="23"/>
        <v>232950</v>
      </c>
    </row>
    <row r="431" spans="2:9" hidden="1" outlineLevel="2">
      <c r="B431" s="276" t="s">
        <v>1508</v>
      </c>
      <c r="C431" s="81">
        <v>124588</v>
      </c>
      <c r="D431" s="21">
        <v>100</v>
      </c>
      <c r="E431" s="21">
        <v>10</v>
      </c>
      <c r="F431" s="36">
        <f t="shared" si="21"/>
        <v>0.1</v>
      </c>
      <c r="G431" s="201">
        <f t="shared" si="22"/>
        <v>12458.800000000001</v>
      </c>
      <c r="H431" s="577">
        <f t="shared" si="23"/>
        <v>1245880</v>
      </c>
    </row>
    <row r="432" spans="2:9" hidden="1" outlineLevel="2">
      <c r="B432" s="276" t="s">
        <v>1509</v>
      </c>
      <c r="C432" s="81">
        <v>18559</v>
      </c>
      <c r="D432" s="21">
        <v>120</v>
      </c>
      <c r="E432" s="21">
        <v>10</v>
      </c>
      <c r="F432" s="36">
        <f t="shared" si="21"/>
        <v>0.12</v>
      </c>
      <c r="G432" s="201">
        <f t="shared" si="22"/>
        <v>2227.08</v>
      </c>
      <c r="H432" s="577">
        <f t="shared" si="23"/>
        <v>185590</v>
      </c>
    </row>
    <row r="433" spans="2:8" hidden="1" outlineLevel="2">
      <c r="B433" s="276" t="s">
        <v>1510</v>
      </c>
      <c r="C433" s="81">
        <v>5951</v>
      </c>
      <c r="D433" s="21">
        <v>120</v>
      </c>
      <c r="E433" s="21">
        <v>10</v>
      </c>
      <c r="F433" s="36">
        <f t="shared" ref="F433:F496" si="25">E433*D433/10000</f>
        <v>0.12</v>
      </c>
      <c r="G433" s="201">
        <f t="shared" ref="G433:G496" si="26">F433*C433</f>
        <v>714.12</v>
      </c>
      <c r="H433" s="577">
        <f t="shared" ref="H433:H496" si="27">E433*C433</f>
        <v>59510</v>
      </c>
    </row>
    <row r="434" spans="2:8" hidden="1" outlineLevel="2">
      <c r="B434" s="276" t="s">
        <v>1511</v>
      </c>
      <c r="C434" s="81">
        <v>13028</v>
      </c>
      <c r="D434" s="21">
        <v>120</v>
      </c>
      <c r="E434" s="21">
        <v>10</v>
      </c>
      <c r="F434" s="36">
        <f t="shared" si="25"/>
        <v>0.12</v>
      </c>
      <c r="G434" s="201">
        <f t="shared" si="26"/>
        <v>1563.36</v>
      </c>
      <c r="H434" s="577">
        <f t="shared" si="27"/>
        <v>130280</v>
      </c>
    </row>
    <row r="435" spans="2:8" hidden="1" outlineLevel="2">
      <c r="B435" s="276" t="s">
        <v>1512</v>
      </c>
      <c r="C435" s="81">
        <v>38466</v>
      </c>
      <c r="D435" s="21">
        <v>120</v>
      </c>
      <c r="E435" s="21">
        <v>10</v>
      </c>
      <c r="F435" s="36">
        <f t="shared" si="25"/>
        <v>0.12</v>
      </c>
      <c r="G435" s="201">
        <f t="shared" si="26"/>
        <v>4615.92</v>
      </c>
      <c r="H435" s="577">
        <f t="shared" si="27"/>
        <v>384660</v>
      </c>
    </row>
    <row r="436" spans="2:8" hidden="1" outlineLevel="2">
      <c r="B436" s="276" t="s">
        <v>1513</v>
      </c>
      <c r="C436" s="81">
        <v>22768</v>
      </c>
      <c r="D436" s="21">
        <v>120</v>
      </c>
      <c r="E436" s="21">
        <v>10</v>
      </c>
      <c r="F436" s="36">
        <f t="shared" si="25"/>
        <v>0.12</v>
      </c>
      <c r="G436" s="201">
        <f t="shared" si="26"/>
        <v>2732.16</v>
      </c>
      <c r="H436" s="577">
        <f t="shared" si="27"/>
        <v>227680</v>
      </c>
    </row>
    <row r="437" spans="2:8" hidden="1" outlineLevel="2">
      <c r="B437" s="276" t="s">
        <v>1514</v>
      </c>
      <c r="C437" s="81">
        <v>329593</v>
      </c>
      <c r="D437" s="21">
        <v>120</v>
      </c>
      <c r="E437" s="21">
        <v>10</v>
      </c>
      <c r="F437" s="36">
        <f t="shared" si="25"/>
        <v>0.12</v>
      </c>
      <c r="G437" s="201">
        <f t="shared" si="26"/>
        <v>39551.159999999996</v>
      </c>
      <c r="H437" s="577">
        <f t="shared" si="27"/>
        <v>3295930</v>
      </c>
    </row>
    <row r="438" spans="2:8" hidden="1" outlineLevel="2">
      <c r="B438" s="276" t="s">
        <v>1515</v>
      </c>
      <c r="C438" s="81">
        <v>99717</v>
      </c>
      <c r="D438" s="21">
        <v>120</v>
      </c>
      <c r="E438" s="21">
        <v>10</v>
      </c>
      <c r="F438" s="36">
        <f t="shared" si="25"/>
        <v>0.12</v>
      </c>
      <c r="G438" s="201">
        <f t="shared" si="26"/>
        <v>11966.039999999999</v>
      </c>
      <c r="H438" s="577">
        <f t="shared" si="27"/>
        <v>997170</v>
      </c>
    </row>
    <row r="439" spans="2:8" hidden="1" outlineLevel="2">
      <c r="B439" s="276" t="s">
        <v>1516</v>
      </c>
      <c r="C439" s="81">
        <v>12160</v>
      </c>
      <c r="D439" s="21">
        <v>120</v>
      </c>
      <c r="E439" s="21">
        <v>10</v>
      </c>
      <c r="F439" s="36">
        <f t="shared" si="25"/>
        <v>0.12</v>
      </c>
      <c r="G439" s="201">
        <f t="shared" si="26"/>
        <v>1459.2</v>
      </c>
      <c r="H439" s="577">
        <f t="shared" si="27"/>
        <v>121600</v>
      </c>
    </row>
    <row r="440" spans="2:8" hidden="1" outlineLevel="2">
      <c r="B440" s="276" t="s">
        <v>1517</v>
      </c>
      <c r="C440" s="81">
        <v>28</v>
      </c>
      <c r="D440" s="21">
        <v>200</v>
      </c>
      <c r="E440" s="21">
        <v>10</v>
      </c>
      <c r="F440" s="36">
        <f t="shared" si="25"/>
        <v>0.2</v>
      </c>
      <c r="G440" s="201">
        <f t="shared" si="26"/>
        <v>5.6000000000000005</v>
      </c>
      <c r="H440" s="577">
        <f t="shared" si="27"/>
        <v>280</v>
      </c>
    </row>
    <row r="441" spans="2:8" hidden="1" outlineLevel="2">
      <c r="B441" s="276" t="s">
        <v>1518</v>
      </c>
      <c r="C441" s="81">
        <v>5695</v>
      </c>
      <c r="D441" s="21">
        <v>200</v>
      </c>
      <c r="E441" s="21">
        <v>10</v>
      </c>
      <c r="F441" s="36">
        <f t="shared" si="25"/>
        <v>0.2</v>
      </c>
      <c r="G441" s="201">
        <f t="shared" si="26"/>
        <v>1139</v>
      </c>
      <c r="H441" s="577">
        <f t="shared" si="27"/>
        <v>56950</v>
      </c>
    </row>
    <row r="442" spans="2:8" hidden="1" outlineLevel="2">
      <c r="B442" s="276" t="s">
        <v>1519</v>
      </c>
      <c r="C442" s="81">
        <v>6310</v>
      </c>
      <c r="D442" s="21">
        <v>200</v>
      </c>
      <c r="E442" s="21">
        <v>10</v>
      </c>
      <c r="F442" s="36">
        <f t="shared" si="25"/>
        <v>0.2</v>
      </c>
      <c r="G442" s="201">
        <f t="shared" si="26"/>
        <v>1262</v>
      </c>
      <c r="H442" s="577">
        <f t="shared" si="27"/>
        <v>63100</v>
      </c>
    </row>
    <row r="443" spans="2:8" hidden="1" outlineLevel="2">
      <c r="B443" s="276" t="s">
        <v>1520</v>
      </c>
      <c r="C443" s="81">
        <v>1702</v>
      </c>
      <c r="D443" s="21">
        <v>200</v>
      </c>
      <c r="E443" s="21">
        <v>10</v>
      </c>
      <c r="F443" s="36">
        <f t="shared" si="25"/>
        <v>0.2</v>
      </c>
      <c r="G443" s="201">
        <f t="shared" si="26"/>
        <v>340.40000000000003</v>
      </c>
      <c r="H443" s="577">
        <f t="shared" si="27"/>
        <v>17020</v>
      </c>
    </row>
    <row r="444" spans="2:8" hidden="1" outlineLevel="2">
      <c r="B444" s="276" t="s">
        <v>1521</v>
      </c>
      <c r="C444" s="81">
        <v>30309</v>
      </c>
      <c r="D444" s="21">
        <v>200</v>
      </c>
      <c r="E444" s="21">
        <v>10</v>
      </c>
      <c r="F444" s="36">
        <f t="shared" si="25"/>
        <v>0.2</v>
      </c>
      <c r="G444" s="201">
        <f t="shared" si="26"/>
        <v>6061.8</v>
      </c>
      <c r="H444" s="577">
        <f t="shared" si="27"/>
        <v>303090</v>
      </c>
    </row>
    <row r="445" spans="2:8" hidden="1" outlineLevel="2">
      <c r="B445" s="276" t="s">
        <v>1522</v>
      </c>
      <c r="C445" s="81">
        <v>20549</v>
      </c>
      <c r="D445" s="21">
        <v>200</v>
      </c>
      <c r="E445" s="21">
        <v>10</v>
      </c>
      <c r="F445" s="36">
        <f t="shared" si="25"/>
        <v>0.2</v>
      </c>
      <c r="G445" s="201">
        <f t="shared" si="26"/>
        <v>4109.8</v>
      </c>
      <c r="H445" s="577">
        <f t="shared" si="27"/>
        <v>205490</v>
      </c>
    </row>
    <row r="446" spans="2:8" hidden="1" outlineLevel="2">
      <c r="B446" s="276" t="s">
        <v>1523</v>
      </c>
      <c r="C446" s="792">
        <v>324767</v>
      </c>
      <c r="D446" s="21">
        <v>200</v>
      </c>
      <c r="E446" s="21">
        <v>10</v>
      </c>
      <c r="F446" s="36">
        <f t="shared" si="25"/>
        <v>0.2</v>
      </c>
      <c r="G446" s="201">
        <f t="shared" si="26"/>
        <v>64953.4</v>
      </c>
      <c r="H446" s="577">
        <f t="shared" si="27"/>
        <v>3247670</v>
      </c>
    </row>
    <row r="447" spans="2:8" hidden="1" outlineLevel="2">
      <c r="B447" s="276" t="s">
        <v>1524</v>
      </c>
      <c r="C447" s="81">
        <v>98874</v>
      </c>
      <c r="D447" s="21">
        <v>200</v>
      </c>
      <c r="E447" s="21">
        <v>10</v>
      </c>
      <c r="F447" s="36">
        <f t="shared" si="25"/>
        <v>0.2</v>
      </c>
      <c r="G447" s="201">
        <f t="shared" si="26"/>
        <v>19774.800000000003</v>
      </c>
      <c r="H447" s="577">
        <f t="shared" si="27"/>
        <v>988740</v>
      </c>
    </row>
    <row r="448" spans="2:8" hidden="1" outlineLevel="2">
      <c r="B448" s="276" t="s">
        <v>1525</v>
      </c>
      <c r="C448" s="81">
        <v>9675</v>
      </c>
      <c r="D448" s="21">
        <v>200</v>
      </c>
      <c r="E448" s="21">
        <v>10</v>
      </c>
      <c r="F448" s="36">
        <f t="shared" si="25"/>
        <v>0.2</v>
      </c>
      <c r="G448" s="201">
        <f t="shared" si="26"/>
        <v>1935</v>
      </c>
      <c r="H448" s="577">
        <f t="shared" si="27"/>
        <v>96750</v>
      </c>
    </row>
    <row r="449" spans="2:8" hidden="1" outlineLevel="2">
      <c r="B449" s="276" t="s">
        <v>1526</v>
      </c>
      <c r="C449" s="81">
        <v>11010</v>
      </c>
      <c r="D449" s="21">
        <v>225</v>
      </c>
      <c r="E449" s="21">
        <v>10</v>
      </c>
      <c r="F449" s="36">
        <f t="shared" si="25"/>
        <v>0.22500000000000001</v>
      </c>
      <c r="G449" s="201">
        <f t="shared" si="26"/>
        <v>2477.25</v>
      </c>
      <c r="H449" s="577">
        <f t="shared" si="27"/>
        <v>110100</v>
      </c>
    </row>
    <row r="450" spans="2:8" hidden="1" outlineLevel="2">
      <c r="B450" s="276" t="s">
        <v>1527</v>
      </c>
      <c r="C450" s="81">
        <v>3334</v>
      </c>
      <c r="D450" s="21">
        <v>225</v>
      </c>
      <c r="E450" s="21">
        <v>10</v>
      </c>
      <c r="F450" s="36">
        <f t="shared" si="25"/>
        <v>0.22500000000000001</v>
      </c>
      <c r="G450" s="201">
        <f t="shared" si="26"/>
        <v>750.15</v>
      </c>
      <c r="H450" s="577">
        <f t="shared" si="27"/>
        <v>33340</v>
      </c>
    </row>
    <row r="451" spans="2:8" hidden="1" outlineLevel="2">
      <c r="B451" s="276" t="s">
        <v>1528</v>
      </c>
      <c r="C451" s="81">
        <v>1760</v>
      </c>
      <c r="D451" s="21">
        <v>225</v>
      </c>
      <c r="E451" s="21">
        <v>10</v>
      </c>
      <c r="F451" s="36">
        <f t="shared" si="25"/>
        <v>0.22500000000000001</v>
      </c>
      <c r="G451" s="201">
        <f t="shared" si="26"/>
        <v>396</v>
      </c>
      <c r="H451" s="577">
        <f t="shared" si="27"/>
        <v>17600</v>
      </c>
    </row>
    <row r="452" spans="2:8" hidden="1" outlineLevel="2">
      <c r="B452" s="276" t="s">
        <v>1529</v>
      </c>
      <c r="C452" s="81">
        <v>28680</v>
      </c>
      <c r="D452" s="21">
        <v>225</v>
      </c>
      <c r="E452" s="21">
        <v>10</v>
      </c>
      <c r="F452" s="36">
        <f t="shared" si="25"/>
        <v>0.22500000000000001</v>
      </c>
      <c r="G452" s="201">
        <f t="shared" si="26"/>
        <v>6453</v>
      </c>
      <c r="H452" s="577">
        <f t="shared" si="27"/>
        <v>286800</v>
      </c>
    </row>
    <row r="453" spans="2:8" hidden="1" outlineLevel="2">
      <c r="B453" s="276" t="s">
        <v>1530</v>
      </c>
      <c r="C453" s="81">
        <v>1301</v>
      </c>
      <c r="D453" s="21">
        <v>300</v>
      </c>
      <c r="E453" s="21">
        <v>10</v>
      </c>
      <c r="F453" s="36">
        <f t="shared" si="25"/>
        <v>0.3</v>
      </c>
      <c r="G453" s="201">
        <f t="shared" si="26"/>
        <v>390.3</v>
      </c>
      <c r="H453" s="577">
        <f t="shared" si="27"/>
        <v>13010</v>
      </c>
    </row>
    <row r="454" spans="2:8" hidden="1" outlineLevel="2">
      <c r="B454" s="276" t="s">
        <v>1531</v>
      </c>
      <c r="C454" s="81">
        <v>2747</v>
      </c>
      <c r="D454" s="21">
        <v>300</v>
      </c>
      <c r="E454" s="21">
        <v>10</v>
      </c>
      <c r="F454" s="36">
        <f t="shared" si="25"/>
        <v>0.3</v>
      </c>
      <c r="G454" s="201">
        <f t="shared" si="26"/>
        <v>824.1</v>
      </c>
      <c r="H454" s="577">
        <f t="shared" si="27"/>
        <v>27470</v>
      </c>
    </row>
    <row r="455" spans="2:8" hidden="1" outlineLevel="2">
      <c r="B455" s="276" t="s">
        <v>1532</v>
      </c>
      <c r="C455" s="81">
        <v>19</v>
      </c>
      <c r="D455" s="81">
        <f xml:space="preserve"> 63</f>
        <v>63</v>
      </c>
      <c r="E455" s="21">
        <v>10</v>
      </c>
      <c r="F455" s="36">
        <f t="shared" si="25"/>
        <v>6.3E-2</v>
      </c>
      <c r="G455" s="201">
        <f t="shared" si="26"/>
        <v>1.1970000000000001</v>
      </c>
      <c r="H455" s="577">
        <f t="shared" si="27"/>
        <v>190</v>
      </c>
    </row>
    <row r="456" spans="2:8" hidden="1" outlineLevel="2">
      <c r="B456" s="276" t="s">
        <v>1533</v>
      </c>
      <c r="C456" s="81">
        <v>729</v>
      </c>
      <c r="D456" s="81">
        <f xml:space="preserve"> 63</f>
        <v>63</v>
      </c>
      <c r="E456" s="21">
        <v>10</v>
      </c>
      <c r="F456" s="36">
        <f t="shared" si="25"/>
        <v>6.3E-2</v>
      </c>
      <c r="G456" s="201">
        <f t="shared" si="26"/>
        <v>45.927</v>
      </c>
      <c r="H456" s="577">
        <f t="shared" si="27"/>
        <v>7290</v>
      </c>
    </row>
    <row r="457" spans="2:8" hidden="1" outlineLevel="2">
      <c r="B457" s="276" t="s">
        <v>1534</v>
      </c>
      <c r="C457" s="81">
        <v>17695</v>
      </c>
      <c r="D457" s="81">
        <f t="shared" ref="D457:D464" si="28" xml:space="preserve"> 63</f>
        <v>63</v>
      </c>
      <c r="E457" s="21">
        <v>10</v>
      </c>
      <c r="F457" s="36">
        <f t="shared" si="25"/>
        <v>6.3E-2</v>
      </c>
      <c r="G457" s="201">
        <f t="shared" si="26"/>
        <v>1114.7850000000001</v>
      </c>
      <c r="H457" s="577">
        <f t="shared" si="27"/>
        <v>176950</v>
      </c>
    </row>
    <row r="458" spans="2:8" hidden="1" outlineLevel="2">
      <c r="B458" s="276" t="s">
        <v>1535</v>
      </c>
      <c r="C458" s="81">
        <v>28016</v>
      </c>
      <c r="D458" s="81">
        <f t="shared" si="28"/>
        <v>63</v>
      </c>
      <c r="E458" s="21">
        <v>10</v>
      </c>
      <c r="F458" s="36">
        <f t="shared" si="25"/>
        <v>6.3E-2</v>
      </c>
      <c r="G458" s="201">
        <f t="shared" si="26"/>
        <v>1765.008</v>
      </c>
      <c r="H458" s="577">
        <f t="shared" si="27"/>
        <v>280160</v>
      </c>
    </row>
    <row r="459" spans="2:8" hidden="1" outlineLevel="2">
      <c r="B459" s="276" t="s">
        <v>1536</v>
      </c>
      <c r="C459" s="81">
        <v>29173</v>
      </c>
      <c r="D459" s="81">
        <f t="shared" si="28"/>
        <v>63</v>
      </c>
      <c r="E459" s="21">
        <v>10</v>
      </c>
      <c r="F459" s="36">
        <f t="shared" si="25"/>
        <v>6.3E-2</v>
      </c>
      <c r="G459" s="201">
        <f t="shared" si="26"/>
        <v>1837.8990000000001</v>
      </c>
      <c r="H459" s="577">
        <f t="shared" si="27"/>
        <v>291730</v>
      </c>
    </row>
    <row r="460" spans="2:8" hidden="1" outlineLevel="2">
      <c r="B460" s="276" t="s">
        <v>1537</v>
      </c>
      <c r="C460" s="81">
        <v>86936</v>
      </c>
      <c r="D460" s="81">
        <f t="shared" si="28"/>
        <v>63</v>
      </c>
      <c r="E460" s="21">
        <v>10</v>
      </c>
      <c r="F460" s="36">
        <f t="shared" si="25"/>
        <v>6.3E-2</v>
      </c>
      <c r="G460" s="201">
        <f t="shared" si="26"/>
        <v>5476.9679999999998</v>
      </c>
      <c r="H460" s="577">
        <f t="shared" si="27"/>
        <v>869360</v>
      </c>
    </row>
    <row r="461" spans="2:8" hidden="1" outlineLevel="2">
      <c r="B461" s="276" t="s">
        <v>1538</v>
      </c>
      <c r="C461" s="81">
        <v>61387</v>
      </c>
      <c r="D461" s="81">
        <f t="shared" si="28"/>
        <v>63</v>
      </c>
      <c r="E461" s="21">
        <v>10</v>
      </c>
      <c r="F461" s="36">
        <f t="shared" si="25"/>
        <v>6.3E-2</v>
      </c>
      <c r="G461" s="201">
        <f t="shared" si="26"/>
        <v>3867.3809999999999</v>
      </c>
      <c r="H461" s="577">
        <f t="shared" si="27"/>
        <v>613870</v>
      </c>
    </row>
    <row r="462" spans="2:8" hidden="1" outlineLevel="2">
      <c r="B462" s="276" t="s">
        <v>1539</v>
      </c>
      <c r="C462" s="81">
        <v>666851</v>
      </c>
      <c r="D462" s="81">
        <f t="shared" si="28"/>
        <v>63</v>
      </c>
      <c r="E462" s="21">
        <v>10</v>
      </c>
      <c r="F462" s="36">
        <f t="shared" si="25"/>
        <v>6.3E-2</v>
      </c>
      <c r="G462" s="201">
        <f t="shared" si="26"/>
        <v>42011.612999999998</v>
      </c>
      <c r="H462" s="577">
        <f t="shared" si="27"/>
        <v>6668510</v>
      </c>
    </row>
    <row r="463" spans="2:8" hidden="1" outlineLevel="2">
      <c r="B463" s="276" t="s">
        <v>1540</v>
      </c>
      <c r="C463" s="81">
        <v>300592</v>
      </c>
      <c r="D463" s="81">
        <f t="shared" si="28"/>
        <v>63</v>
      </c>
      <c r="E463" s="21">
        <v>10</v>
      </c>
      <c r="F463" s="36">
        <f t="shared" si="25"/>
        <v>6.3E-2</v>
      </c>
      <c r="G463" s="201">
        <f t="shared" si="26"/>
        <v>18937.295999999998</v>
      </c>
      <c r="H463" s="577">
        <f t="shared" si="27"/>
        <v>3005920</v>
      </c>
    </row>
    <row r="464" spans="2:8" hidden="1" outlineLevel="2">
      <c r="B464" s="276" t="s">
        <v>1541</v>
      </c>
      <c r="C464" s="81">
        <v>14976</v>
      </c>
      <c r="D464" s="81">
        <f t="shared" si="28"/>
        <v>63</v>
      </c>
      <c r="E464" s="21">
        <v>10</v>
      </c>
      <c r="F464" s="36">
        <f t="shared" si="25"/>
        <v>6.3E-2</v>
      </c>
      <c r="G464" s="201">
        <f t="shared" si="26"/>
        <v>943.48800000000006</v>
      </c>
      <c r="H464" s="577">
        <f t="shared" si="27"/>
        <v>149760</v>
      </c>
    </row>
    <row r="465" spans="2:8" hidden="1" outlineLevel="2">
      <c r="B465" s="276" t="s">
        <v>1542</v>
      </c>
      <c r="C465" s="81">
        <v>1292</v>
      </c>
      <c r="D465" s="21">
        <v>120</v>
      </c>
      <c r="E465" s="21">
        <v>10</v>
      </c>
      <c r="F465" s="36">
        <f t="shared" si="25"/>
        <v>0.12</v>
      </c>
      <c r="G465" s="201">
        <f t="shared" si="26"/>
        <v>155.04</v>
      </c>
      <c r="H465" s="577">
        <f t="shared" si="27"/>
        <v>12920</v>
      </c>
    </row>
    <row r="466" spans="2:8" hidden="1" outlineLevel="2">
      <c r="B466" s="276" t="s">
        <v>1543</v>
      </c>
      <c r="C466" s="81">
        <v>3643</v>
      </c>
      <c r="D466" s="21">
        <v>156</v>
      </c>
      <c r="E466" s="21">
        <v>10</v>
      </c>
      <c r="F466" s="36">
        <f t="shared" si="25"/>
        <v>0.156</v>
      </c>
      <c r="G466" s="201">
        <f t="shared" si="26"/>
        <v>568.30799999999999</v>
      </c>
      <c r="H466" s="577">
        <f t="shared" si="27"/>
        <v>36430</v>
      </c>
    </row>
    <row r="467" spans="2:8" hidden="1" outlineLevel="2">
      <c r="B467" s="276" t="s">
        <v>1544</v>
      </c>
      <c r="C467" s="81">
        <v>1073</v>
      </c>
      <c r="D467" s="21">
        <v>200</v>
      </c>
      <c r="E467" s="21">
        <v>10</v>
      </c>
      <c r="F467" s="36">
        <f t="shared" si="25"/>
        <v>0.2</v>
      </c>
      <c r="G467" s="201">
        <f t="shared" si="26"/>
        <v>214.60000000000002</v>
      </c>
      <c r="H467" s="577">
        <f t="shared" si="27"/>
        <v>10730</v>
      </c>
    </row>
    <row r="468" spans="2:8" hidden="1" outlineLevel="2">
      <c r="B468" s="276" t="s">
        <v>1545</v>
      </c>
      <c r="C468" s="81">
        <v>69741</v>
      </c>
      <c r="D468" s="21">
        <v>200</v>
      </c>
      <c r="E468" s="21">
        <v>10</v>
      </c>
      <c r="F468" s="36">
        <f t="shared" si="25"/>
        <v>0.2</v>
      </c>
      <c r="G468" s="201">
        <f t="shared" si="26"/>
        <v>13948.2</v>
      </c>
      <c r="H468" s="577">
        <f t="shared" si="27"/>
        <v>697410</v>
      </c>
    </row>
    <row r="469" spans="2:8" hidden="1" outlineLevel="2">
      <c r="B469" s="276" t="s">
        <v>1546</v>
      </c>
      <c r="C469" s="81">
        <v>4604</v>
      </c>
      <c r="D469" s="21">
        <v>300</v>
      </c>
      <c r="E469" s="21">
        <v>10</v>
      </c>
      <c r="F469" s="36">
        <f t="shared" si="25"/>
        <v>0.3</v>
      </c>
      <c r="G469" s="201">
        <f t="shared" si="26"/>
        <v>1381.2</v>
      </c>
      <c r="H469" s="577">
        <f t="shared" si="27"/>
        <v>46040</v>
      </c>
    </row>
    <row r="470" spans="2:8" hidden="1" outlineLevel="2">
      <c r="B470" s="276" t="s">
        <v>1547</v>
      </c>
      <c r="C470" s="81">
        <v>82570</v>
      </c>
      <c r="D470" s="21">
        <v>300</v>
      </c>
      <c r="E470" s="21">
        <v>10</v>
      </c>
      <c r="F470" s="36">
        <f t="shared" si="25"/>
        <v>0.3</v>
      </c>
      <c r="G470" s="201">
        <f t="shared" si="26"/>
        <v>24771</v>
      </c>
      <c r="H470" s="577">
        <f t="shared" si="27"/>
        <v>825700</v>
      </c>
    </row>
    <row r="471" spans="2:8" hidden="1" outlineLevel="2">
      <c r="B471" s="276" t="s">
        <v>1548</v>
      </c>
      <c r="C471" s="81">
        <v>59288</v>
      </c>
      <c r="D471" s="81">
        <f>156</f>
        <v>156</v>
      </c>
      <c r="E471" s="21">
        <v>10</v>
      </c>
      <c r="F471" s="36">
        <f t="shared" si="25"/>
        <v>0.156</v>
      </c>
      <c r="G471" s="201">
        <f t="shared" si="26"/>
        <v>9248.9279999999999</v>
      </c>
      <c r="H471" s="577">
        <f t="shared" si="27"/>
        <v>592880</v>
      </c>
    </row>
    <row r="472" spans="2:8" hidden="1" outlineLevel="2">
      <c r="B472" s="276" t="s">
        <v>1549</v>
      </c>
      <c r="C472" s="81">
        <v>66695</v>
      </c>
      <c r="D472" s="81">
        <f>156</f>
        <v>156</v>
      </c>
      <c r="E472" s="21">
        <v>10</v>
      </c>
      <c r="F472" s="36">
        <f t="shared" si="25"/>
        <v>0.156</v>
      </c>
      <c r="G472" s="201">
        <f t="shared" si="26"/>
        <v>10404.42</v>
      </c>
      <c r="H472" s="577">
        <f t="shared" si="27"/>
        <v>666950</v>
      </c>
    </row>
    <row r="473" spans="2:8" hidden="1" outlineLevel="2">
      <c r="B473" s="276" t="s">
        <v>1550</v>
      </c>
      <c r="C473" s="81">
        <v>27</v>
      </c>
      <c r="D473" s="81">
        <v>100</v>
      </c>
      <c r="E473" s="21">
        <v>10</v>
      </c>
      <c r="F473" s="36">
        <f t="shared" si="25"/>
        <v>0.1</v>
      </c>
      <c r="G473" s="201">
        <f t="shared" si="26"/>
        <v>2.7</v>
      </c>
      <c r="H473" s="577">
        <f t="shared" si="27"/>
        <v>270</v>
      </c>
    </row>
    <row r="474" spans="2:8" hidden="1" outlineLevel="2">
      <c r="B474" s="276" t="s">
        <v>1551</v>
      </c>
      <c r="C474" s="81">
        <v>74</v>
      </c>
      <c r="D474" s="81">
        <f xml:space="preserve"> 63</f>
        <v>63</v>
      </c>
      <c r="E474" s="21">
        <v>10</v>
      </c>
      <c r="F474" s="36">
        <f t="shared" si="25"/>
        <v>6.3E-2</v>
      </c>
      <c r="G474" s="201">
        <f t="shared" si="26"/>
        <v>4.6619999999999999</v>
      </c>
      <c r="H474" s="577">
        <f t="shared" si="27"/>
        <v>740</v>
      </c>
    </row>
    <row r="475" spans="2:8" hidden="1" outlineLevel="2">
      <c r="B475" s="276" t="s">
        <v>1552</v>
      </c>
      <c r="C475" s="81">
        <v>2801</v>
      </c>
      <c r="D475" s="81">
        <f xml:space="preserve"> 63</f>
        <v>63</v>
      </c>
      <c r="E475" s="21">
        <v>10</v>
      </c>
      <c r="F475" s="36">
        <f t="shared" si="25"/>
        <v>6.3E-2</v>
      </c>
      <c r="G475" s="201">
        <f t="shared" si="26"/>
        <v>176.46299999999999</v>
      </c>
      <c r="H475" s="577">
        <f t="shared" si="27"/>
        <v>28010</v>
      </c>
    </row>
    <row r="476" spans="2:8" hidden="1" outlineLevel="2">
      <c r="B476" s="276" t="s">
        <v>1553</v>
      </c>
      <c r="C476" s="81">
        <v>234029</v>
      </c>
      <c r="D476" s="81">
        <f xml:space="preserve"> 63</f>
        <v>63</v>
      </c>
      <c r="E476" s="21">
        <v>10</v>
      </c>
      <c r="F476" s="36">
        <f t="shared" si="25"/>
        <v>6.3E-2</v>
      </c>
      <c r="G476" s="201">
        <f t="shared" si="26"/>
        <v>14743.826999999999</v>
      </c>
      <c r="H476" s="577">
        <f t="shared" si="27"/>
        <v>2340290</v>
      </c>
    </row>
    <row r="477" spans="2:8" hidden="1" outlineLevel="2">
      <c r="B477" s="276" t="s">
        <v>1554</v>
      </c>
      <c r="C477" s="81">
        <v>105953</v>
      </c>
      <c r="D477" s="81">
        <v>25</v>
      </c>
      <c r="E477" s="21">
        <v>5</v>
      </c>
      <c r="F477" s="36">
        <f t="shared" si="25"/>
        <v>1.2500000000000001E-2</v>
      </c>
      <c r="G477" s="201">
        <f t="shared" si="26"/>
        <v>1324.4125000000001</v>
      </c>
      <c r="H477" s="577">
        <f t="shared" si="27"/>
        <v>529765</v>
      </c>
    </row>
    <row r="478" spans="2:8" hidden="1" outlineLevel="2">
      <c r="B478" s="276" t="s">
        <v>1555</v>
      </c>
      <c r="C478" s="81">
        <v>195098</v>
      </c>
      <c r="D478" s="81">
        <v>50</v>
      </c>
      <c r="E478" s="21">
        <v>10</v>
      </c>
      <c r="F478" s="36">
        <f t="shared" si="25"/>
        <v>0.05</v>
      </c>
      <c r="G478" s="201">
        <f t="shared" si="26"/>
        <v>9754.9</v>
      </c>
      <c r="H478" s="577">
        <f t="shared" si="27"/>
        <v>1950980</v>
      </c>
    </row>
    <row r="479" spans="2:8" hidden="1" outlineLevel="2">
      <c r="B479" s="276" t="s">
        <v>1556</v>
      </c>
      <c r="C479" s="81">
        <v>24691</v>
      </c>
      <c r="D479" s="81">
        <v>50</v>
      </c>
      <c r="E479" s="21">
        <v>10</v>
      </c>
      <c r="F479" s="36">
        <f t="shared" si="25"/>
        <v>0.05</v>
      </c>
      <c r="G479" s="201">
        <f t="shared" si="26"/>
        <v>1234.5500000000002</v>
      </c>
      <c r="H479" s="577">
        <f t="shared" si="27"/>
        <v>246910</v>
      </c>
    </row>
    <row r="480" spans="2:8" hidden="1" outlineLevel="2">
      <c r="B480" s="276" t="s">
        <v>1557</v>
      </c>
      <c r="C480" s="81">
        <v>355650</v>
      </c>
      <c r="D480" s="81">
        <v>50</v>
      </c>
      <c r="E480" s="21">
        <v>10</v>
      </c>
      <c r="F480" s="36">
        <f t="shared" si="25"/>
        <v>0.05</v>
      </c>
      <c r="G480" s="201">
        <f t="shared" si="26"/>
        <v>17782.5</v>
      </c>
      <c r="H480" s="577">
        <f t="shared" si="27"/>
        <v>3556500</v>
      </c>
    </row>
    <row r="481" spans="2:9" ht="14.5" hidden="1" outlineLevel="2" thickBot="1">
      <c r="B481" s="276" t="s">
        <v>1558</v>
      </c>
      <c r="C481" s="81">
        <v>15</v>
      </c>
      <c r="D481" s="81">
        <v>63</v>
      </c>
      <c r="E481" s="21">
        <v>10</v>
      </c>
      <c r="F481" s="36">
        <f t="shared" si="25"/>
        <v>6.3E-2</v>
      </c>
      <c r="G481" s="201">
        <f t="shared" si="26"/>
        <v>0.94500000000000006</v>
      </c>
      <c r="H481" s="577">
        <f t="shared" si="27"/>
        <v>150</v>
      </c>
    </row>
    <row r="482" spans="2:9" ht="14.5" hidden="1" outlineLevel="1" collapsed="1" thickBot="1">
      <c r="B482" s="282" t="s">
        <v>1559</v>
      </c>
      <c r="C482" s="799">
        <f>SUM(C423:C481)</f>
        <v>5530063</v>
      </c>
      <c r="D482" s="799"/>
      <c r="E482" s="799"/>
      <c r="F482" s="799"/>
      <c r="G482" s="799">
        <f>SUM(G423:G481)</f>
        <v>419674.00749999995</v>
      </c>
      <c r="H482" s="469">
        <f>SUM(H423:H481)</f>
        <v>54770865</v>
      </c>
      <c r="I482" t="s">
        <v>1560</v>
      </c>
    </row>
    <row r="483" spans="2:9" hidden="1" outlineLevel="2">
      <c r="B483" s="276" t="s">
        <v>1561</v>
      </c>
      <c r="C483" s="81">
        <v>357</v>
      </c>
      <c r="D483" s="81">
        <f>120</f>
        <v>120</v>
      </c>
      <c r="E483" s="21">
        <v>10</v>
      </c>
      <c r="F483" s="36">
        <f t="shared" si="25"/>
        <v>0.12</v>
      </c>
      <c r="G483" s="201">
        <f t="shared" si="26"/>
        <v>42.839999999999996</v>
      </c>
      <c r="H483" s="577">
        <f t="shared" si="27"/>
        <v>3570</v>
      </c>
    </row>
    <row r="484" spans="2:9" hidden="1" outlineLevel="2">
      <c r="B484" s="276" t="s">
        <v>1562</v>
      </c>
      <c r="C484" s="81">
        <v>12073</v>
      </c>
      <c r="D484" s="81">
        <f>120</f>
        <v>120</v>
      </c>
      <c r="E484" s="21">
        <v>10</v>
      </c>
      <c r="F484" s="36">
        <f t="shared" si="25"/>
        <v>0.12</v>
      </c>
      <c r="G484" s="201">
        <f t="shared" si="26"/>
        <v>1448.76</v>
      </c>
      <c r="H484" s="577">
        <f t="shared" si="27"/>
        <v>120730</v>
      </c>
    </row>
    <row r="485" spans="2:9" hidden="1" outlineLevel="2">
      <c r="B485" s="276" t="s">
        <v>1563</v>
      </c>
      <c r="C485" s="81">
        <v>20023</v>
      </c>
      <c r="D485" s="81">
        <f>120</f>
        <v>120</v>
      </c>
      <c r="E485" s="21">
        <v>10</v>
      </c>
      <c r="F485" s="36">
        <f t="shared" si="25"/>
        <v>0.12</v>
      </c>
      <c r="G485" s="201">
        <f t="shared" si="26"/>
        <v>2402.7599999999998</v>
      </c>
      <c r="H485" s="577">
        <f t="shared" si="27"/>
        <v>200230</v>
      </c>
    </row>
    <row r="486" spans="2:9" hidden="1" outlineLevel="2">
      <c r="B486" s="276" t="s">
        <v>1564</v>
      </c>
      <c r="C486" s="81">
        <v>964</v>
      </c>
      <c r="D486" s="81">
        <v>200</v>
      </c>
      <c r="E486" s="21">
        <v>16</v>
      </c>
      <c r="F486" s="36">
        <f t="shared" si="25"/>
        <v>0.32</v>
      </c>
      <c r="G486" s="201">
        <f t="shared" si="26"/>
        <v>308.48</v>
      </c>
      <c r="H486" s="577">
        <f t="shared" si="27"/>
        <v>15424</v>
      </c>
    </row>
    <row r="487" spans="2:9" hidden="1" outlineLevel="2">
      <c r="B487" s="276" t="s">
        <v>1565</v>
      </c>
      <c r="C487" s="81">
        <v>22274</v>
      </c>
      <c r="D487" s="81">
        <v>200</v>
      </c>
      <c r="E487" s="21">
        <v>16</v>
      </c>
      <c r="F487" s="36">
        <f t="shared" si="25"/>
        <v>0.32</v>
      </c>
      <c r="G487" s="201">
        <f t="shared" si="26"/>
        <v>7127.68</v>
      </c>
      <c r="H487" s="577">
        <f t="shared" si="27"/>
        <v>356384</v>
      </c>
    </row>
    <row r="488" spans="2:9" hidden="1" outlineLevel="2">
      <c r="B488" s="276" t="s">
        <v>1566</v>
      </c>
      <c r="C488" s="792">
        <v>459108</v>
      </c>
      <c r="D488" s="81">
        <v>200</v>
      </c>
      <c r="E488" s="21">
        <v>16</v>
      </c>
      <c r="F488" s="36">
        <f t="shared" si="25"/>
        <v>0.32</v>
      </c>
      <c r="G488" s="201">
        <f t="shared" si="26"/>
        <v>146914.56</v>
      </c>
      <c r="H488" s="577">
        <f t="shared" si="27"/>
        <v>7345728</v>
      </c>
    </row>
    <row r="489" spans="2:9" hidden="1" outlineLevel="2">
      <c r="B489" s="276" t="s">
        <v>1567</v>
      </c>
      <c r="C489" s="81">
        <v>11276</v>
      </c>
      <c r="D489" s="81">
        <v>200</v>
      </c>
      <c r="E489" s="21">
        <v>16</v>
      </c>
      <c r="F489" s="36">
        <f t="shared" si="25"/>
        <v>0.32</v>
      </c>
      <c r="G489" s="201">
        <f t="shared" si="26"/>
        <v>3608.32</v>
      </c>
      <c r="H489" s="577">
        <f t="shared" si="27"/>
        <v>180416</v>
      </c>
    </row>
    <row r="490" spans="2:9" hidden="1" outlineLevel="2">
      <c r="B490" s="276" t="s">
        <v>1568</v>
      </c>
      <c r="C490" s="81">
        <v>8044</v>
      </c>
      <c r="D490" s="81">
        <v>200</v>
      </c>
      <c r="E490" s="21">
        <v>16</v>
      </c>
      <c r="F490" s="36">
        <f t="shared" si="25"/>
        <v>0.32</v>
      </c>
      <c r="G490" s="201">
        <f t="shared" si="26"/>
        <v>2574.08</v>
      </c>
      <c r="H490" s="577">
        <f t="shared" si="27"/>
        <v>128704</v>
      </c>
    </row>
    <row r="491" spans="2:9" hidden="1" outlineLevel="2">
      <c r="B491" s="276" t="s">
        <v>1569</v>
      </c>
      <c r="C491" s="81">
        <v>133</v>
      </c>
      <c r="D491" s="81">
        <v>225</v>
      </c>
      <c r="E491" s="21">
        <v>10</v>
      </c>
      <c r="F491" s="36">
        <f t="shared" si="25"/>
        <v>0.22500000000000001</v>
      </c>
      <c r="G491" s="201">
        <f t="shared" si="26"/>
        <v>29.925000000000001</v>
      </c>
      <c r="H491" s="577">
        <f t="shared" si="27"/>
        <v>1330</v>
      </c>
    </row>
    <row r="492" spans="2:9" hidden="1" outlineLevel="2">
      <c r="B492" s="276" t="s">
        <v>1570</v>
      </c>
      <c r="C492" s="81">
        <v>1264</v>
      </c>
      <c r="D492" s="81">
        <v>225</v>
      </c>
      <c r="E492" s="21">
        <v>10</v>
      </c>
      <c r="F492" s="36">
        <f t="shared" si="25"/>
        <v>0.22500000000000001</v>
      </c>
      <c r="G492" s="201">
        <f t="shared" si="26"/>
        <v>284.40000000000003</v>
      </c>
      <c r="H492" s="577">
        <f t="shared" si="27"/>
        <v>12640</v>
      </c>
    </row>
    <row r="493" spans="2:9" hidden="1" outlineLevel="2">
      <c r="B493" s="276" t="s">
        <v>1571</v>
      </c>
      <c r="C493" s="81">
        <v>99</v>
      </c>
      <c r="D493" s="81">
        <v>225</v>
      </c>
      <c r="E493" s="21">
        <v>10</v>
      </c>
      <c r="F493" s="36">
        <f t="shared" si="25"/>
        <v>0.22500000000000001</v>
      </c>
      <c r="G493" s="201">
        <f t="shared" si="26"/>
        <v>22.275000000000002</v>
      </c>
      <c r="H493" s="577">
        <f t="shared" si="27"/>
        <v>990</v>
      </c>
    </row>
    <row r="494" spans="2:9" hidden="1" outlineLevel="2">
      <c r="B494" s="276" t="s">
        <v>1572</v>
      </c>
      <c r="C494" s="81">
        <v>5902</v>
      </c>
      <c r="D494" s="81">
        <v>225</v>
      </c>
      <c r="E494" s="21">
        <v>10</v>
      </c>
      <c r="F494" s="36">
        <f t="shared" si="25"/>
        <v>0.22500000000000001</v>
      </c>
      <c r="G494" s="201">
        <f t="shared" si="26"/>
        <v>1327.95</v>
      </c>
      <c r="H494" s="577">
        <f t="shared" si="27"/>
        <v>59020</v>
      </c>
    </row>
    <row r="495" spans="2:9" hidden="1" outlineLevel="2">
      <c r="B495" s="276" t="s">
        <v>1573</v>
      </c>
      <c r="C495" s="81">
        <v>10043</v>
      </c>
      <c r="D495" s="81">
        <v>225</v>
      </c>
      <c r="E495" s="21">
        <v>10</v>
      </c>
      <c r="F495" s="36">
        <f t="shared" si="25"/>
        <v>0.22500000000000001</v>
      </c>
      <c r="G495" s="201">
        <f t="shared" si="26"/>
        <v>2259.6750000000002</v>
      </c>
      <c r="H495" s="577">
        <f t="shared" si="27"/>
        <v>100430</v>
      </c>
    </row>
    <row r="496" spans="2:9" hidden="1" outlineLevel="2">
      <c r="B496" s="276" t="s">
        <v>1574</v>
      </c>
      <c r="C496" s="81">
        <v>10478</v>
      </c>
      <c r="D496" s="81">
        <v>225</v>
      </c>
      <c r="E496" s="21">
        <v>10</v>
      </c>
      <c r="F496" s="36">
        <f t="shared" si="25"/>
        <v>0.22500000000000001</v>
      </c>
      <c r="G496" s="201">
        <f t="shared" si="26"/>
        <v>2357.5500000000002</v>
      </c>
      <c r="H496" s="577">
        <f t="shared" si="27"/>
        <v>104780</v>
      </c>
    </row>
    <row r="497" spans="2:8" hidden="1" outlineLevel="2">
      <c r="B497" s="276" t="s">
        <v>1575</v>
      </c>
      <c r="C497" s="81">
        <v>10553</v>
      </c>
      <c r="D497" s="81">
        <v>225</v>
      </c>
      <c r="E497" s="21">
        <v>10</v>
      </c>
      <c r="F497" s="36">
        <f t="shared" ref="F497:F560" si="29">E497*D497/10000</f>
        <v>0.22500000000000001</v>
      </c>
      <c r="G497" s="201">
        <f t="shared" ref="G497:G560" si="30">F497*C497</f>
        <v>2374.4250000000002</v>
      </c>
      <c r="H497" s="577">
        <f t="shared" ref="H497:H560" si="31">E497*C497</f>
        <v>105530</v>
      </c>
    </row>
    <row r="498" spans="2:8" hidden="1" outlineLevel="2">
      <c r="B498" s="276" t="s">
        <v>1576</v>
      </c>
      <c r="C498" s="792">
        <v>128882</v>
      </c>
      <c r="D498" s="81">
        <v>225</v>
      </c>
      <c r="E498" s="21">
        <v>10</v>
      </c>
      <c r="F498" s="36">
        <f t="shared" si="29"/>
        <v>0.22500000000000001</v>
      </c>
      <c r="G498" s="201">
        <f t="shared" si="30"/>
        <v>28998.45</v>
      </c>
      <c r="H498" s="577">
        <f t="shared" si="31"/>
        <v>1288820</v>
      </c>
    </row>
    <row r="499" spans="2:8" hidden="1" outlineLevel="2">
      <c r="B499" s="276" t="s">
        <v>1577</v>
      </c>
      <c r="C499" s="81">
        <v>1016</v>
      </c>
      <c r="D499" s="81">
        <v>225</v>
      </c>
      <c r="E499" s="21">
        <v>10</v>
      </c>
      <c r="F499" s="36">
        <f t="shared" si="29"/>
        <v>0.22500000000000001</v>
      </c>
      <c r="G499" s="201">
        <f t="shared" si="30"/>
        <v>228.6</v>
      </c>
      <c r="H499" s="577">
        <f t="shared" si="31"/>
        <v>10160</v>
      </c>
    </row>
    <row r="500" spans="2:8" hidden="1" outlineLevel="2">
      <c r="B500" s="276" t="s">
        <v>1578</v>
      </c>
      <c r="C500" s="81">
        <v>710</v>
      </c>
      <c r="D500" s="81">
        <v>120</v>
      </c>
      <c r="E500" s="21">
        <v>16</v>
      </c>
      <c r="F500" s="36">
        <f t="shared" si="29"/>
        <v>0.192</v>
      </c>
      <c r="G500" s="201">
        <f t="shared" si="30"/>
        <v>136.32</v>
      </c>
      <c r="H500" s="577">
        <f t="shared" si="31"/>
        <v>11360</v>
      </c>
    </row>
    <row r="501" spans="2:8" hidden="1" outlineLevel="2">
      <c r="B501" s="276" t="s">
        <v>1579</v>
      </c>
      <c r="C501" s="81">
        <v>12729</v>
      </c>
      <c r="D501" s="81">
        <v>120</v>
      </c>
      <c r="E501" s="21">
        <v>16</v>
      </c>
      <c r="F501" s="36">
        <f t="shared" si="29"/>
        <v>0.192</v>
      </c>
      <c r="G501" s="201">
        <f t="shared" si="30"/>
        <v>2443.9679999999998</v>
      </c>
      <c r="H501" s="577">
        <f t="shared" si="31"/>
        <v>203664</v>
      </c>
    </row>
    <row r="502" spans="2:8" hidden="1" outlineLevel="2">
      <c r="B502" s="276" t="s">
        <v>1580</v>
      </c>
      <c r="C502" s="81">
        <v>36194</v>
      </c>
      <c r="D502" s="81">
        <v>120</v>
      </c>
      <c r="E502" s="21">
        <v>16</v>
      </c>
      <c r="F502" s="36">
        <f t="shared" si="29"/>
        <v>0.192</v>
      </c>
      <c r="G502" s="201">
        <f t="shared" si="30"/>
        <v>6949.2480000000005</v>
      </c>
      <c r="H502" s="577">
        <f t="shared" si="31"/>
        <v>579104</v>
      </c>
    </row>
    <row r="503" spans="2:8" hidden="1" outlineLevel="2">
      <c r="B503" s="276" t="s">
        <v>1581</v>
      </c>
      <c r="C503" s="792">
        <v>627764</v>
      </c>
      <c r="D503" s="81">
        <v>120</v>
      </c>
      <c r="E503" s="21">
        <v>16</v>
      </c>
      <c r="F503" s="36">
        <f t="shared" si="29"/>
        <v>0.192</v>
      </c>
      <c r="G503" s="201">
        <f t="shared" si="30"/>
        <v>120530.68800000001</v>
      </c>
      <c r="H503" s="577">
        <f t="shared" si="31"/>
        <v>10044224</v>
      </c>
    </row>
    <row r="504" spans="2:8" hidden="1" outlineLevel="2">
      <c r="B504" s="276" t="s">
        <v>1582</v>
      </c>
      <c r="C504" s="81">
        <v>7963</v>
      </c>
      <c r="D504" s="81">
        <v>120</v>
      </c>
      <c r="E504" s="21">
        <v>16</v>
      </c>
      <c r="F504" s="36">
        <f t="shared" si="29"/>
        <v>0.192</v>
      </c>
      <c r="G504" s="201">
        <f t="shared" si="30"/>
        <v>1528.896</v>
      </c>
      <c r="H504" s="577">
        <f t="shared" si="31"/>
        <v>127408</v>
      </c>
    </row>
    <row r="505" spans="2:8" hidden="1" outlineLevel="2">
      <c r="B505" s="276" t="s">
        <v>1583</v>
      </c>
      <c r="C505" s="81">
        <v>432</v>
      </c>
      <c r="D505" s="81">
        <v>50</v>
      </c>
      <c r="E505" s="21">
        <v>10</v>
      </c>
      <c r="F505" s="36">
        <f t="shared" si="29"/>
        <v>0.05</v>
      </c>
      <c r="G505" s="201">
        <f t="shared" si="30"/>
        <v>21.6</v>
      </c>
      <c r="H505" s="577">
        <f t="shared" si="31"/>
        <v>4320</v>
      </c>
    </row>
    <row r="506" spans="2:8" hidden="1" outlineLevel="2">
      <c r="B506" s="276" t="s">
        <v>1584</v>
      </c>
      <c r="C506" s="81">
        <v>38</v>
      </c>
      <c r="D506" s="81">
        <v>50</v>
      </c>
      <c r="E506" s="21">
        <v>10</v>
      </c>
      <c r="F506" s="36">
        <f t="shared" si="29"/>
        <v>0.05</v>
      </c>
      <c r="G506" s="201">
        <f t="shared" si="30"/>
        <v>1.9000000000000001</v>
      </c>
      <c r="H506" s="577">
        <f t="shared" si="31"/>
        <v>380</v>
      </c>
    </row>
    <row r="507" spans="2:8" hidden="1" outlineLevel="2">
      <c r="B507" s="276" t="s">
        <v>1585</v>
      </c>
      <c r="C507" s="81">
        <v>75229</v>
      </c>
      <c r="D507" s="81">
        <v>50</v>
      </c>
      <c r="E507" s="21">
        <v>10</v>
      </c>
      <c r="F507" s="36">
        <f t="shared" si="29"/>
        <v>0.05</v>
      </c>
      <c r="G507" s="201">
        <f t="shared" si="30"/>
        <v>3761.4500000000003</v>
      </c>
      <c r="H507" s="577">
        <f t="shared" si="31"/>
        <v>752290</v>
      </c>
    </row>
    <row r="508" spans="2:8" hidden="1" outlineLevel="2">
      <c r="B508" s="276" t="s">
        <v>1586</v>
      </c>
      <c r="C508" s="81">
        <v>1267</v>
      </c>
      <c r="D508" s="81">
        <v>50</v>
      </c>
      <c r="E508" s="21">
        <v>10</v>
      </c>
      <c r="F508" s="36">
        <f t="shared" si="29"/>
        <v>0.05</v>
      </c>
      <c r="G508" s="201">
        <f t="shared" si="30"/>
        <v>63.35</v>
      </c>
      <c r="H508" s="577">
        <f t="shared" si="31"/>
        <v>12670</v>
      </c>
    </row>
    <row r="509" spans="2:8" hidden="1" outlineLevel="2">
      <c r="B509" s="276" t="s">
        <v>1587</v>
      </c>
      <c r="C509" s="81">
        <v>762</v>
      </c>
      <c r="D509" s="81">
        <v>50</v>
      </c>
      <c r="E509" s="21">
        <v>10</v>
      </c>
      <c r="F509" s="36">
        <f t="shared" si="29"/>
        <v>0.05</v>
      </c>
      <c r="G509" s="201">
        <f t="shared" si="30"/>
        <v>38.1</v>
      </c>
      <c r="H509" s="577">
        <f t="shared" si="31"/>
        <v>7620</v>
      </c>
    </row>
    <row r="510" spans="2:8" hidden="1" outlineLevel="2">
      <c r="B510" s="276" t="s">
        <v>1588</v>
      </c>
      <c r="C510" s="81">
        <v>382</v>
      </c>
      <c r="D510" s="81">
        <v>100</v>
      </c>
      <c r="E510" s="21">
        <v>10</v>
      </c>
      <c r="F510" s="36">
        <f t="shared" si="29"/>
        <v>0.1</v>
      </c>
      <c r="G510" s="201">
        <f t="shared" si="30"/>
        <v>38.200000000000003</v>
      </c>
      <c r="H510" s="577">
        <f t="shared" si="31"/>
        <v>3820</v>
      </c>
    </row>
    <row r="511" spans="2:8" hidden="1" outlineLevel="2">
      <c r="B511" s="276" t="s">
        <v>1589</v>
      </c>
      <c r="C511" s="81">
        <v>1600</v>
      </c>
      <c r="D511" s="81">
        <v>100</v>
      </c>
      <c r="E511" s="21">
        <v>10</v>
      </c>
      <c r="F511" s="36">
        <f t="shared" si="29"/>
        <v>0.1</v>
      </c>
      <c r="G511" s="201">
        <f t="shared" si="30"/>
        <v>160</v>
      </c>
      <c r="H511" s="577">
        <f t="shared" si="31"/>
        <v>16000</v>
      </c>
    </row>
    <row r="512" spans="2:8" hidden="1" outlineLevel="2">
      <c r="B512" s="276" t="s">
        <v>1590</v>
      </c>
      <c r="C512" s="81">
        <v>62451</v>
      </c>
      <c r="D512" s="81">
        <v>100</v>
      </c>
      <c r="E512" s="21">
        <v>10</v>
      </c>
      <c r="F512" s="36">
        <f t="shared" si="29"/>
        <v>0.1</v>
      </c>
      <c r="G512" s="201">
        <f t="shared" si="30"/>
        <v>6245.1</v>
      </c>
      <c r="H512" s="577">
        <f t="shared" si="31"/>
        <v>624510</v>
      </c>
    </row>
    <row r="513" spans="2:8" hidden="1" outlineLevel="2">
      <c r="B513" s="276" t="s">
        <v>1591</v>
      </c>
      <c r="C513" s="81">
        <v>69578</v>
      </c>
      <c r="D513" s="81">
        <v>100</v>
      </c>
      <c r="E513" s="21">
        <v>10</v>
      </c>
      <c r="F513" s="36">
        <f t="shared" si="29"/>
        <v>0.1</v>
      </c>
      <c r="G513" s="201">
        <f t="shared" si="30"/>
        <v>6957.8</v>
      </c>
      <c r="H513" s="577">
        <f t="shared" si="31"/>
        <v>695780</v>
      </c>
    </row>
    <row r="514" spans="2:8" hidden="1" outlineLevel="2">
      <c r="B514" s="276" t="s">
        <v>1592</v>
      </c>
      <c r="C514" s="81">
        <v>24381</v>
      </c>
      <c r="D514" s="81">
        <v>100</v>
      </c>
      <c r="E514" s="21">
        <v>10</v>
      </c>
      <c r="F514" s="36">
        <f t="shared" si="29"/>
        <v>0.1</v>
      </c>
      <c r="G514" s="201">
        <f t="shared" si="30"/>
        <v>2438.1</v>
      </c>
      <c r="H514" s="577">
        <f t="shared" si="31"/>
        <v>243810</v>
      </c>
    </row>
    <row r="515" spans="2:8" hidden="1" outlineLevel="2">
      <c r="B515" s="276" t="s">
        <v>1593</v>
      </c>
      <c r="C515" s="81">
        <v>720</v>
      </c>
      <c r="D515" s="81">
        <v>156</v>
      </c>
      <c r="E515" s="21">
        <v>10</v>
      </c>
      <c r="F515" s="36">
        <f t="shared" si="29"/>
        <v>0.156</v>
      </c>
      <c r="G515" s="201">
        <f t="shared" si="30"/>
        <v>112.32</v>
      </c>
      <c r="H515" s="577">
        <f t="shared" si="31"/>
        <v>7200</v>
      </c>
    </row>
    <row r="516" spans="2:8" hidden="1" outlineLevel="2">
      <c r="B516" s="276" t="s">
        <v>1594</v>
      </c>
      <c r="C516" s="81">
        <v>61920</v>
      </c>
      <c r="D516" s="81">
        <v>156</v>
      </c>
      <c r="E516" s="21">
        <v>10</v>
      </c>
      <c r="F516" s="36">
        <f t="shared" si="29"/>
        <v>0.156</v>
      </c>
      <c r="G516" s="201">
        <f t="shared" si="30"/>
        <v>9659.52</v>
      </c>
      <c r="H516" s="577">
        <f t="shared" si="31"/>
        <v>619200</v>
      </c>
    </row>
    <row r="517" spans="2:8" hidden="1" outlineLevel="2">
      <c r="B517" s="276" t="s">
        <v>1595</v>
      </c>
      <c r="C517" s="81">
        <v>63856</v>
      </c>
      <c r="D517" s="81">
        <v>156</v>
      </c>
      <c r="E517" s="21">
        <v>10</v>
      </c>
      <c r="F517" s="36">
        <f t="shared" si="29"/>
        <v>0.156</v>
      </c>
      <c r="G517" s="201">
        <f t="shared" si="30"/>
        <v>9961.5360000000001</v>
      </c>
      <c r="H517" s="577">
        <f t="shared" si="31"/>
        <v>638560</v>
      </c>
    </row>
    <row r="518" spans="2:8" hidden="1" outlineLevel="2">
      <c r="B518" s="276" t="s">
        <v>1596</v>
      </c>
      <c r="C518" s="81">
        <v>50802</v>
      </c>
      <c r="D518" s="81">
        <v>156</v>
      </c>
      <c r="E518" s="21">
        <v>10</v>
      </c>
      <c r="F518" s="36">
        <f t="shared" si="29"/>
        <v>0.156</v>
      </c>
      <c r="G518" s="201">
        <f t="shared" si="30"/>
        <v>7925.1120000000001</v>
      </c>
      <c r="H518" s="577">
        <f t="shared" si="31"/>
        <v>508020</v>
      </c>
    </row>
    <row r="519" spans="2:8" hidden="1" outlineLevel="2">
      <c r="B519" s="276" t="s">
        <v>1597</v>
      </c>
      <c r="C519" s="81">
        <v>2277</v>
      </c>
      <c r="D519" s="81">
        <v>63</v>
      </c>
      <c r="E519" s="21">
        <v>10</v>
      </c>
      <c r="F519" s="36">
        <f t="shared" si="29"/>
        <v>6.3E-2</v>
      </c>
      <c r="G519" s="201">
        <f t="shared" si="30"/>
        <v>143.45099999999999</v>
      </c>
      <c r="H519" s="577">
        <f t="shared" si="31"/>
        <v>22770</v>
      </c>
    </row>
    <row r="520" spans="2:8" hidden="1" outlineLevel="2">
      <c r="B520" s="276" t="s">
        <v>1598</v>
      </c>
      <c r="C520" s="81">
        <v>25</v>
      </c>
      <c r="D520" s="81">
        <v>63</v>
      </c>
      <c r="E520" s="21">
        <v>10</v>
      </c>
      <c r="F520" s="36">
        <f t="shared" si="29"/>
        <v>6.3E-2</v>
      </c>
      <c r="G520" s="201">
        <f t="shared" si="30"/>
        <v>1.575</v>
      </c>
      <c r="H520" s="577">
        <f t="shared" si="31"/>
        <v>250</v>
      </c>
    </row>
    <row r="521" spans="2:8" hidden="1" outlineLevel="2">
      <c r="B521" s="276" t="s">
        <v>1599</v>
      </c>
      <c r="C521" s="81">
        <v>3784</v>
      </c>
      <c r="D521" s="81">
        <v>63</v>
      </c>
      <c r="E521" s="21">
        <v>10</v>
      </c>
      <c r="F521" s="36">
        <f t="shared" si="29"/>
        <v>6.3E-2</v>
      </c>
      <c r="G521" s="201">
        <f t="shared" si="30"/>
        <v>238.392</v>
      </c>
      <c r="H521" s="577">
        <f t="shared" si="31"/>
        <v>37840</v>
      </c>
    </row>
    <row r="522" spans="2:8" hidden="1" outlineLevel="2">
      <c r="B522" s="276" t="s">
        <v>1600</v>
      </c>
      <c r="C522" s="81">
        <v>64391</v>
      </c>
      <c r="D522" s="81">
        <v>63</v>
      </c>
      <c r="E522" s="21">
        <v>10</v>
      </c>
      <c r="F522" s="36">
        <f t="shared" si="29"/>
        <v>6.3E-2</v>
      </c>
      <c r="G522" s="201">
        <f t="shared" si="30"/>
        <v>4056.6329999999998</v>
      </c>
      <c r="H522" s="577">
        <f t="shared" si="31"/>
        <v>643910</v>
      </c>
    </row>
    <row r="523" spans="2:8" hidden="1" outlineLevel="2">
      <c r="B523" s="276" t="s">
        <v>1601</v>
      </c>
      <c r="C523" s="81">
        <v>18</v>
      </c>
      <c r="D523" s="81">
        <v>63</v>
      </c>
      <c r="E523" s="21">
        <v>10</v>
      </c>
      <c r="F523" s="36">
        <f t="shared" si="29"/>
        <v>6.3E-2</v>
      </c>
      <c r="G523" s="201">
        <f t="shared" si="30"/>
        <v>1.1339999999999999</v>
      </c>
      <c r="H523" s="577">
        <f t="shared" si="31"/>
        <v>180</v>
      </c>
    </row>
    <row r="524" spans="2:8" hidden="1" outlineLevel="2">
      <c r="B524" s="276" t="s">
        <v>1602</v>
      </c>
      <c r="C524" s="81">
        <v>170156</v>
      </c>
      <c r="D524" s="81">
        <v>63</v>
      </c>
      <c r="E524" s="21">
        <v>10</v>
      </c>
      <c r="F524" s="36">
        <f t="shared" si="29"/>
        <v>6.3E-2</v>
      </c>
      <c r="G524" s="201">
        <f t="shared" si="30"/>
        <v>10719.828</v>
      </c>
      <c r="H524" s="577">
        <f t="shared" si="31"/>
        <v>1701560</v>
      </c>
    </row>
    <row r="525" spans="2:8" hidden="1" outlineLevel="2">
      <c r="B525" s="276" t="s">
        <v>1603</v>
      </c>
      <c r="C525" s="81">
        <v>36745</v>
      </c>
      <c r="D525" s="81">
        <v>63</v>
      </c>
      <c r="E525" s="21">
        <v>10</v>
      </c>
      <c r="F525" s="36">
        <f t="shared" si="29"/>
        <v>6.3E-2</v>
      </c>
      <c r="G525" s="201">
        <f t="shared" si="30"/>
        <v>2314.9349999999999</v>
      </c>
      <c r="H525" s="577">
        <f t="shared" si="31"/>
        <v>367450</v>
      </c>
    </row>
    <row r="526" spans="2:8" hidden="1" outlineLevel="2">
      <c r="B526" s="276" t="s">
        <v>1604</v>
      </c>
      <c r="C526" s="81">
        <v>114429</v>
      </c>
      <c r="D526" s="81">
        <v>63</v>
      </c>
      <c r="E526" s="21">
        <v>10</v>
      </c>
      <c r="F526" s="36">
        <f t="shared" si="29"/>
        <v>6.3E-2</v>
      </c>
      <c r="G526" s="201">
        <f t="shared" si="30"/>
        <v>7209.027</v>
      </c>
      <c r="H526" s="577">
        <f t="shared" si="31"/>
        <v>1144290</v>
      </c>
    </row>
    <row r="527" spans="2:8" hidden="1" outlineLevel="2">
      <c r="B527" s="276" t="s">
        <v>1605</v>
      </c>
      <c r="C527" s="81">
        <v>9128</v>
      </c>
      <c r="D527" s="81">
        <v>63</v>
      </c>
      <c r="E527" s="21">
        <v>10</v>
      </c>
      <c r="F527" s="36">
        <f t="shared" si="29"/>
        <v>6.3E-2</v>
      </c>
      <c r="G527" s="201">
        <f t="shared" si="30"/>
        <v>575.06399999999996</v>
      </c>
      <c r="H527" s="577">
        <f t="shared" si="31"/>
        <v>91280</v>
      </c>
    </row>
    <row r="528" spans="2:8" hidden="1" outlineLevel="2">
      <c r="B528" s="276" t="s">
        <v>1606</v>
      </c>
      <c r="C528" s="81">
        <v>5160</v>
      </c>
      <c r="D528" s="81">
        <v>63</v>
      </c>
      <c r="E528" s="21">
        <v>16</v>
      </c>
      <c r="F528" s="36">
        <f t="shared" si="29"/>
        <v>0.1008</v>
      </c>
      <c r="G528" s="201">
        <f t="shared" si="30"/>
        <v>520.12800000000004</v>
      </c>
      <c r="H528" s="577">
        <f t="shared" si="31"/>
        <v>82560</v>
      </c>
    </row>
    <row r="529" spans="2:8" hidden="1" outlineLevel="2">
      <c r="B529" s="276" t="s">
        <v>1607</v>
      </c>
      <c r="C529" s="81">
        <v>10446</v>
      </c>
      <c r="D529" s="81">
        <v>63</v>
      </c>
      <c r="E529" s="21">
        <v>16</v>
      </c>
      <c r="F529" s="36">
        <f t="shared" si="29"/>
        <v>0.1008</v>
      </c>
      <c r="G529" s="201">
        <f t="shared" si="30"/>
        <v>1052.9567999999999</v>
      </c>
      <c r="H529" s="577">
        <f t="shared" si="31"/>
        <v>167136</v>
      </c>
    </row>
    <row r="530" spans="2:8" hidden="1" outlineLevel="2">
      <c r="B530" s="276" t="s">
        <v>1608</v>
      </c>
      <c r="C530" s="81">
        <v>30023</v>
      </c>
      <c r="D530" s="81">
        <v>63</v>
      </c>
      <c r="E530" s="21">
        <v>16</v>
      </c>
      <c r="F530" s="36">
        <f t="shared" si="29"/>
        <v>0.1008</v>
      </c>
      <c r="G530" s="201">
        <f t="shared" si="30"/>
        <v>3026.3184000000001</v>
      </c>
      <c r="H530" s="577">
        <f t="shared" si="31"/>
        <v>480368</v>
      </c>
    </row>
    <row r="531" spans="2:8" hidden="1" outlineLevel="2">
      <c r="B531" s="276" t="s">
        <v>1609</v>
      </c>
      <c r="C531" s="81">
        <v>89981</v>
      </c>
      <c r="D531" s="81">
        <v>63</v>
      </c>
      <c r="E531" s="21">
        <v>16</v>
      </c>
      <c r="F531" s="36">
        <f t="shared" si="29"/>
        <v>0.1008</v>
      </c>
      <c r="G531" s="201">
        <f t="shared" si="30"/>
        <v>9070.0848000000005</v>
      </c>
      <c r="H531" s="577">
        <f t="shared" si="31"/>
        <v>1439696</v>
      </c>
    </row>
    <row r="532" spans="2:8" hidden="1" outlineLevel="2">
      <c r="B532" s="276" t="s">
        <v>1610</v>
      </c>
      <c r="C532" s="81">
        <v>106547</v>
      </c>
      <c r="D532" s="81">
        <v>63</v>
      </c>
      <c r="E532" s="21">
        <v>16</v>
      </c>
      <c r="F532" s="36">
        <f t="shared" si="29"/>
        <v>0.1008</v>
      </c>
      <c r="G532" s="201">
        <f t="shared" si="30"/>
        <v>10739.937599999999</v>
      </c>
      <c r="H532" s="577">
        <f t="shared" si="31"/>
        <v>1704752</v>
      </c>
    </row>
    <row r="533" spans="2:8" hidden="1" outlineLevel="2">
      <c r="B533" s="276" t="s">
        <v>1611</v>
      </c>
      <c r="C533" s="792">
        <v>1920843</v>
      </c>
      <c r="D533" s="81">
        <v>63</v>
      </c>
      <c r="E533" s="21">
        <v>16</v>
      </c>
      <c r="F533" s="36">
        <f t="shared" si="29"/>
        <v>0.1008</v>
      </c>
      <c r="G533" s="201">
        <f t="shared" si="30"/>
        <v>193620.97440000001</v>
      </c>
      <c r="H533" s="577">
        <f t="shared" si="31"/>
        <v>30733488</v>
      </c>
    </row>
    <row r="534" spans="2:8" hidden="1" outlineLevel="2">
      <c r="B534" s="276" t="s">
        <v>1612</v>
      </c>
      <c r="C534" s="81">
        <v>94452</v>
      </c>
      <c r="D534" s="81">
        <v>63</v>
      </c>
      <c r="E534" s="21">
        <v>16</v>
      </c>
      <c r="F534" s="36">
        <f t="shared" si="29"/>
        <v>0.1008</v>
      </c>
      <c r="G534" s="201">
        <f t="shared" si="30"/>
        <v>9520.7615999999998</v>
      </c>
      <c r="H534" s="577">
        <f t="shared" si="31"/>
        <v>1511232</v>
      </c>
    </row>
    <row r="535" spans="2:8" hidden="1" outlineLevel="2">
      <c r="B535" s="276" t="s">
        <v>1613</v>
      </c>
      <c r="C535" s="81">
        <v>49099</v>
      </c>
      <c r="D535" s="81">
        <v>63</v>
      </c>
      <c r="E535" s="21">
        <v>16</v>
      </c>
      <c r="F535" s="36">
        <f t="shared" si="29"/>
        <v>0.1008</v>
      </c>
      <c r="G535" s="201">
        <f t="shared" si="30"/>
        <v>4949.1791999999996</v>
      </c>
      <c r="H535" s="577">
        <f t="shared" si="31"/>
        <v>785584</v>
      </c>
    </row>
    <row r="536" spans="2:8" hidden="1" outlineLevel="2">
      <c r="B536" s="276" t="s">
        <v>1614</v>
      </c>
      <c r="C536" s="81">
        <v>114</v>
      </c>
      <c r="D536" s="81">
        <v>300</v>
      </c>
      <c r="E536" s="21">
        <v>10</v>
      </c>
      <c r="F536" s="36">
        <f t="shared" si="29"/>
        <v>0.3</v>
      </c>
      <c r="G536" s="201">
        <f t="shared" si="30"/>
        <v>34.199999999999996</v>
      </c>
      <c r="H536" s="577">
        <f t="shared" si="31"/>
        <v>1140</v>
      </c>
    </row>
    <row r="537" spans="2:8" hidden="1" outlineLevel="2">
      <c r="B537" s="276" t="s">
        <v>1615</v>
      </c>
      <c r="C537" s="81">
        <v>13781</v>
      </c>
      <c r="D537" s="81">
        <v>300</v>
      </c>
      <c r="E537" s="21">
        <v>10</v>
      </c>
      <c r="F537" s="36">
        <f t="shared" si="29"/>
        <v>0.3</v>
      </c>
      <c r="G537" s="201">
        <f t="shared" si="30"/>
        <v>4134.3</v>
      </c>
      <c r="H537" s="577">
        <f t="shared" si="31"/>
        <v>137810</v>
      </c>
    </row>
    <row r="538" spans="2:8" hidden="1" outlineLevel="2">
      <c r="B538" s="276" t="s">
        <v>1616</v>
      </c>
      <c r="C538" s="81">
        <v>2479</v>
      </c>
      <c r="D538" s="81">
        <v>300</v>
      </c>
      <c r="E538" s="21">
        <v>10</v>
      </c>
      <c r="F538" s="36">
        <f t="shared" si="29"/>
        <v>0.3</v>
      </c>
      <c r="G538" s="201">
        <f t="shared" si="30"/>
        <v>743.69999999999993</v>
      </c>
      <c r="H538" s="577">
        <f t="shared" si="31"/>
        <v>24790</v>
      </c>
    </row>
    <row r="539" spans="2:8" hidden="1" outlineLevel="2">
      <c r="B539" s="276" t="s">
        <v>1617</v>
      </c>
      <c r="C539" s="81">
        <v>60991</v>
      </c>
      <c r="D539" s="81">
        <v>300</v>
      </c>
      <c r="E539" s="21">
        <v>10</v>
      </c>
      <c r="F539" s="36">
        <f t="shared" si="29"/>
        <v>0.3</v>
      </c>
      <c r="G539" s="201">
        <f t="shared" si="30"/>
        <v>18297.3</v>
      </c>
      <c r="H539" s="577">
        <f t="shared" si="31"/>
        <v>609910</v>
      </c>
    </row>
    <row r="540" spans="2:8" hidden="1" outlineLevel="2">
      <c r="B540" s="276" t="s">
        <v>1618</v>
      </c>
      <c r="C540" s="81">
        <v>7456</v>
      </c>
      <c r="D540" s="81">
        <v>300</v>
      </c>
      <c r="E540" s="21">
        <v>10</v>
      </c>
      <c r="F540" s="36">
        <f t="shared" si="29"/>
        <v>0.3</v>
      </c>
      <c r="G540" s="201">
        <f t="shared" si="30"/>
        <v>2236.7999999999997</v>
      </c>
      <c r="H540" s="577">
        <f t="shared" si="31"/>
        <v>74560</v>
      </c>
    </row>
    <row r="541" spans="2:8" hidden="1" outlineLevel="2">
      <c r="B541" s="276" t="s">
        <v>1619</v>
      </c>
      <c r="C541" s="81">
        <v>1594</v>
      </c>
      <c r="D541" s="81">
        <v>300</v>
      </c>
      <c r="E541" s="21">
        <v>10</v>
      </c>
      <c r="F541" s="36">
        <f t="shared" si="29"/>
        <v>0.3</v>
      </c>
      <c r="G541" s="201">
        <f t="shared" si="30"/>
        <v>478.2</v>
      </c>
      <c r="H541" s="577">
        <f t="shared" si="31"/>
        <v>15940</v>
      </c>
    </row>
    <row r="542" spans="2:8" hidden="1" outlineLevel="2">
      <c r="B542" s="276" t="s">
        <v>1620</v>
      </c>
      <c r="C542" s="81">
        <v>19646</v>
      </c>
      <c r="D542" s="81">
        <v>300</v>
      </c>
      <c r="E542" s="21">
        <v>10</v>
      </c>
      <c r="F542" s="36">
        <f t="shared" si="29"/>
        <v>0.3</v>
      </c>
      <c r="G542" s="201">
        <f t="shared" si="30"/>
        <v>5893.8</v>
      </c>
      <c r="H542" s="577">
        <f t="shared" si="31"/>
        <v>196460</v>
      </c>
    </row>
    <row r="543" spans="2:8" hidden="1" outlineLevel="2">
      <c r="B543" s="276" t="s">
        <v>1621</v>
      </c>
      <c r="C543" s="81">
        <v>224</v>
      </c>
      <c r="D543" s="81">
        <v>400</v>
      </c>
      <c r="E543" s="21">
        <v>10</v>
      </c>
      <c r="F543" s="36">
        <f t="shared" si="29"/>
        <v>0.4</v>
      </c>
      <c r="G543" s="201">
        <f t="shared" si="30"/>
        <v>89.600000000000009</v>
      </c>
      <c r="H543" s="577">
        <f t="shared" si="31"/>
        <v>2240</v>
      </c>
    </row>
    <row r="544" spans="2:8" hidden="1" outlineLevel="2">
      <c r="B544" s="276" t="s">
        <v>1622</v>
      </c>
      <c r="C544" s="81">
        <v>2098</v>
      </c>
      <c r="D544" s="81">
        <v>400</v>
      </c>
      <c r="E544" s="21">
        <v>10</v>
      </c>
      <c r="F544" s="36">
        <f t="shared" si="29"/>
        <v>0.4</v>
      </c>
      <c r="G544" s="201">
        <f t="shared" si="30"/>
        <v>839.2</v>
      </c>
      <c r="H544" s="577">
        <f t="shared" si="31"/>
        <v>20980</v>
      </c>
    </row>
    <row r="545" spans="2:8" hidden="1" outlineLevel="2">
      <c r="B545" s="276" t="s">
        <v>1623</v>
      </c>
      <c r="C545" s="81">
        <v>222</v>
      </c>
      <c r="D545" s="81">
        <v>400</v>
      </c>
      <c r="E545" s="21">
        <v>10</v>
      </c>
      <c r="F545" s="36">
        <f t="shared" si="29"/>
        <v>0.4</v>
      </c>
      <c r="G545" s="201">
        <f t="shared" si="30"/>
        <v>88.800000000000011</v>
      </c>
      <c r="H545" s="577">
        <f t="shared" si="31"/>
        <v>2220</v>
      </c>
    </row>
    <row r="546" spans="2:8" hidden="1" outlineLevel="2">
      <c r="B546" s="276" t="s">
        <v>1624</v>
      </c>
      <c r="C546" s="81">
        <v>54409</v>
      </c>
      <c r="D546" s="81">
        <v>400</v>
      </c>
      <c r="E546" s="21">
        <v>10</v>
      </c>
      <c r="F546" s="36">
        <f t="shared" si="29"/>
        <v>0.4</v>
      </c>
      <c r="G546" s="201">
        <f t="shared" si="30"/>
        <v>21763.600000000002</v>
      </c>
      <c r="H546" s="577">
        <f t="shared" si="31"/>
        <v>544090</v>
      </c>
    </row>
    <row r="547" spans="2:8" hidden="1" outlineLevel="2">
      <c r="B547" s="276" t="s">
        <v>1625</v>
      </c>
      <c r="C547" s="81">
        <v>697</v>
      </c>
      <c r="D547" s="81">
        <v>400</v>
      </c>
      <c r="E547" s="21">
        <v>10</v>
      </c>
      <c r="F547" s="36">
        <f t="shared" si="29"/>
        <v>0.4</v>
      </c>
      <c r="G547" s="201">
        <f t="shared" si="30"/>
        <v>278.8</v>
      </c>
      <c r="H547" s="577">
        <f t="shared" si="31"/>
        <v>6970</v>
      </c>
    </row>
    <row r="548" spans="2:8" hidden="1" outlineLevel="2">
      <c r="B548" s="276" t="s">
        <v>1626</v>
      </c>
      <c r="C548" s="81">
        <v>839</v>
      </c>
      <c r="D548" s="81">
        <v>400</v>
      </c>
      <c r="E548" s="21">
        <v>10</v>
      </c>
      <c r="F548" s="36">
        <f t="shared" si="29"/>
        <v>0.4</v>
      </c>
      <c r="G548" s="201">
        <f t="shared" si="30"/>
        <v>335.6</v>
      </c>
      <c r="H548" s="577">
        <f t="shared" si="31"/>
        <v>8390</v>
      </c>
    </row>
    <row r="549" spans="2:8" hidden="1" outlineLevel="2">
      <c r="B549" s="276" t="s">
        <v>1627</v>
      </c>
      <c r="C549" s="81">
        <v>1761</v>
      </c>
      <c r="D549" s="81">
        <v>400</v>
      </c>
      <c r="E549" s="21">
        <v>10</v>
      </c>
      <c r="F549" s="36">
        <f t="shared" si="29"/>
        <v>0.4</v>
      </c>
      <c r="G549" s="201">
        <f t="shared" si="30"/>
        <v>704.40000000000009</v>
      </c>
      <c r="H549" s="577">
        <f t="shared" si="31"/>
        <v>17610</v>
      </c>
    </row>
    <row r="550" spans="2:8" hidden="1" outlineLevel="2">
      <c r="B550" s="276" t="s">
        <v>1628</v>
      </c>
      <c r="C550" s="81">
        <v>16</v>
      </c>
      <c r="D550" s="81">
        <v>400</v>
      </c>
      <c r="E550" s="21">
        <v>10</v>
      </c>
      <c r="F550" s="36">
        <f t="shared" si="29"/>
        <v>0.4</v>
      </c>
      <c r="G550" s="201">
        <f t="shared" si="30"/>
        <v>6.4</v>
      </c>
      <c r="H550" s="577">
        <f t="shared" si="31"/>
        <v>160</v>
      </c>
    </row>
    <row r="551" spans="2:8" hidden="1" outlineLevel="2">
      <c r="B551" s="276" t="s">
        <v>1629</v>
      </c>
      <c r="C551" s="81">
        <v>143</v>
      </c>
      <c r="D551" s="81">
        <v>400</v>
      </c>
      <c r="E551" s="21">
        <v>10</v>
      </c>
      <c r="F551" s="36">
        <f t="shared" si="29"/>
        <v>0.4</v>
      </c>
      <c r="G551" s="201">
        <f t="shared" si="30"/>
        <v>57.2</v>
      </c>
      <c r="H551" s="577">
        <f t="shared" si="31"/>
        <v>1430</v>
      </c>
    </row>
    <row r="552" spans="2:8" hidden="1" outlineLevel="2">
      <c r="B552" s="276" t="s">
        <v>1630</v>
      </c>
      <c r="C552" s="81">
        <v>5232</v>
      </c>
      <c r="D552" s="81">
        <v>400</v>
      </c>
      <c r="E552" s="21">
        <v>10</v>
      </c>
      <c r="F552" s="36">
        <f t="shared" si="29"/>
        <v>0.4</v>
      </c>
      <c r="G552" s="201">
        <f t="shared" si="30"/>
        <v>2092.8000000000002</v>
      </c>
      <c r="H552" s="577">
        <f t="shared" si="31"/>
        <v>52320</v>
      </c>
    </row>
    <row r="553" spans="2:8" hidden="1" outlineLevel="2">
      <c r="B553" s="276" t="s">
        <v>1631</v>
      </c>
      <c r="C553" s="81">
        <v>12562</v>
      </c>
      <c r="D553" s="81">
        <v>400</v>
      </c>
      <c r="E553" s="21">
        <v>10</v>
      </c>
      <c r="F553" s="36">
        <f t="shared" si="29"/>
        <v>0.4</v>
      </c>
      <c r="G553" s="201">
        <f t="shared" si="30"/>
        <v>5024.8</v>
      </c>
      <c r="H553" s="577">
        <f t="shared" si="31"/>
        <v>125620</v>
      </c>
    </row>
    <row r="554" spans="2:8" hidden="1" outlineLevel="2">
      <c r="B554" s="276" t="s">
        <v>1632</v>
      </c>
      <c r="C554" s="81">
        <v>4003</v>
      </c>
      <c r="D554" s="81">
        <v>400</v>
      </c>
      <c r="E554" s="21">
        <v>10</v>
      </c>
      <c r="F554" s="36">
        <f t="shared" si="29"/>
        <v>0.4</v>
      </c>
      <c r="G554" s="201">
        <f t="shared" si="30"/>
        <v>1601.2</v>
      </c>
      <c r="H554" s="577">
        <f t="shared" si="31"/>
        <v>40030</v>
      </c>
    </row>
    <row r="555" spans="2:8" hidden="1" outlineLevel="2">
      <c r="B555" s="276" t="s">
        <v>1633</v>
      </c>
      <c r="C555" s="81">
        <v>74187</v>
      </c>
      <c r="D555" s="81">
        <v>400</v>
      </c>
      <c r="E555" s="21">
        <v>10</v>
      </c>
      <c r="F555" s="36">
        <f t="shared" si="29"/>
        <v>0.4</v>
      </c>
      <c r="G555" s="201">
        <f t="shared" si="30"/>
        <v>29674.800000000003</v>
      </c>
      <c r="H555" s="577">
        <f t="shared" si="31"/>
        <v>741870</v>
      </c>
    </row>
    <row r="556" spans="2:8" hidden="1" outlineLevel="2">
      <c r="B556" s="276" t="s">
        <v>1634</v>
      </c>
      <c r="C556" s="81">
        <v>855</v>
      </c>
      <c r="D556" s="21">
        <v>460</v>
      </c>
      <c r="E556" s="21">
        <v>10</v>
      </c>
      <c r="F556" s="36">
        <f t="shared" si="29"/>
        <v>0.46</v>
      </c>
      <c r="G556" s="201">
        <f t="shared" si="30"/>
        <v>393.3</v>
      </c>
      <c r="H556" s="577">
        <f t="shared" si="31"/>
        <v>8550</v>
      </c>
    </row>
    <row r="557" spans="2:8" hidden="1" outlineLevel="2">
      <c r="B557" s="276" t="s">
        <v>1635</v>
      </c>
      <c r="C557" s="81">
        <v>13448</v>
      </c>
      <c r="D557" s="21">
        <v>460</v>
      </c>
      <c r="E557" s="21">
        <v>10</v>
      </c>
      <c r="F557" s="36">
        <f t="shared" si="29"/>
        <v>0.46</v>
      </c>
      <c r="G557" s="201">
        <f t="shared" si="30"/>
        <v>6186.08</v>
      </c>
      <c r="H557" s="577">
        <f t="shared" si="31"/>
        <v>134480</v>
      </c>
    </row>
    <row r="558" spans="2:8" hidden="1" outlineLevel="2">
      <c r="B558" s="276" t="s">
        <v>1636</v>
      </c>
      <c r="C558" s="81">
        <v>1014</v>
      </c>
      <c r="D558" s="21">
        <v>460</v>
      </c>
      <c r="E558" s="21">
        <v>10</v>
      </c>
      <c r="F558" s="36">
        <f t="shared" si="29"/>
        <v>0.46</v>
      </c>
      <c r="G558" s="201">
        <f t="shared" si="30"/>
        <v>466.44</v>
      </c>
      <c r="H558" s="577">
        <f t="shared" si="31"/>
        <v>10140</v>
      </c>
    </row>
    <row r="559" spans="2:8" hidden="1" outlineLevel="2">
      <c r="B559" s="276" t="s">
        <v>1637</v>
      </c>
      <c r="C559" s="81">
        <v>504</v>
      </c>
      <c r="D559" s="21">
        <v>100</v>
      </c>
      <c r="E559" s="21">
        <v>10</v>
      </c>
      <c r="F559" s="36">
        <f t="shared" si="29"/>
        <v>0.1</v>
      </c>
      <c r="G559" s="201">
        <f t="shared" si="30"/>
        <v>50.400000000000006</v>
      </c>
      <c r="H559" s="577">
        <f t="shared" si="31"/>
        <v>5040</v>
      </c>
    </row>
    <row r="560" spans="2:8" hidden="1" outlineLevel="2">
      <c r="B560" s="276" t="s">
        <v>1638</v>
      </c>
      <c r="C560" s="81">
        <v>248</v>
      </c>
      <c r="D560" s="21">
        <v>100</v>
      </c>
      <c r="E560" s="21">
        <v>10</v>
      </c>
      <c r="F560" s="36">
        <f t="shared" si="29"/>
        <v>0.1</v>
      </c>
      <c r="G560" s="201">
        <f t="shared" si="30"/>
        <v>24.8</v>
      </c>
      <c r="H560" s="577">
        <f t="shared" si="31"/>
        <v>2480</v>
      </c>
    </row>
    <row r="561" spans="2:8" hidden="1" outlineLevel="2">
      <c r="B561" s="276" t="s">
        <v>1639</v>
      </c>
      <c r="C561" s="81">
        <v>3584</v>
      </c>
      <c r="D561" s="21">
        <v>100</v>
      </c>
      <c r="E561" s="21">
        <v>10</v>
      </c>
      <c r="F561" s="36">
        <f t="shared" ref="F561:F624" si="32">E561*D561/10000</f>
        <v>0.1</v>
      </c>
      <c r="G561" s="201">
        <f t="shared" ref="G561:G624" si="33">F561*C561</f>
        <v>358.40000000000003</v>
      </c>
      <c r="H561" s="577">
        <f t="shared" ref="H561:H624" si="34">E561*C561</f>
        <v>35840</v>
      </c>
    </row>
    <row r="562" spans="2:8" hidden="1" outlineLevel="2">
      <c r="B562" s="276" t="s">
        <v>1640</v>
      </c>
      <c r="C562" s="81">
        <v>170</v>
      </c>
      <c r="D562" s="21">
        <v>100</v>
      </c>
      <c r="E562" s="21">
        <v>10</v>
      </c>
      <c r="F562" s="36">
        <f t="shared" si="32"/>
        <v>0.1</v>
      </c>
      <c r="G562" s="201">
        <f t="shared" si="33"/>
        <v>17</v>
      </c>
      <c r="H562" s="577">
        <f t="shared" si="34"/>
        <v>1700</v>
      </c>
    </row>
    <row r="563" spans="2:8" hidden="1" outlineLevel="2">
      <c r="B563" s="276" t="s">
        <v>1641</v>
      </c>
      <c r="C563" s="81">
        <v>29483</v>
      </c>
      <c r="D563" s="21">
        <v>100</v>
      </c>
      <c r="E563" s="21">
        <v>10</v>
      </c>
      <c r="F563" s="36">
        <f t="shared" si="32"/>
        <v>0.1</v>
      </c>
      <c r="G563" s="201">
        <f t="shared" si="33"/>
        <v>2948.3</v>
      </c>
      <c r="H563" s="577">
        <f t="shared" si="34"/>
        <v>294830</v>
      </c>
    </row>
    <row r="564" spans="2:8" hidden="1" outlineLevel="2">
      <c r="B564" s="276" t="s">
        <v>1642</v>
      </c>
      <c r="C564" s="81">
        <v>2971</v>
      </c>
      <c r="D564" s="21">
        <v>100</v>
      </c>
      <c r="E564" s="21">
        <v>10</v>
      </c>
      <c r="F564" s="36">
        <f t="shared" si="32"/>
        <v>0.1</v>
      </c>
      <c r="G564" s="201">
        <f t="shared" si="33"/>
        <v>297.10000000000002</v>
      </c>
      <c r="H564" s="577">
        <f t="shared" si="34"/>
        <v>29710</v>
      </c>
    </row>
    <row r="565" spans="2:8" hidden="1" outlineLevel="2">
      <c r="B565" s="276" t="s">
        <v>1643</v>
      </c>
      <c r="C565" s="81">
        <v>3713</v>
      </c>
      <c r="D565" s="21">
        <v>100</v>
      </c>
      <c r="E565" s="21">
        <v>10</v>
      </c>
      <c r="F565" s="36">
        <f t="shared" si="32"/>
        <v>0.1</v>
      </c>
      <c r="G565" s="201">
        <f t="shared" si="33"/>
        <v>371.3</v>
      </c>
      <c r="H565" s="577">
        <f t="shared" si="34"/>
        <v>37130</v>
      </c>
    </row>
    <row r="566" spans="2:8" hidden="1" outlineLevel="2">
      <c r="B566" s="276" t="s">
        <v>1644</v>
      </c>
      <c r="C566" s="81">
        <v>9850</v>
      </c>
      <c r="D566" s="21">
        <v>120</v>
      </c>
      <c r="E566" s="21">
        <v>16</v>
      </c>
      <c r="F566" s="36">
        <f t="shared" si="32"/>
        <v>0.192</v>
      </c>
      <c r="G566" s="201">
        <f t="shared" si="33"/>
        <v>1891.2</v>
      </c>
      <c r="H566" s="577">
        <f t="shared" si="34"/>
        <v>157600</v>
      </c>
    </row>
    <row r="567" spans="2:8" hidden="1" outlineLevel="2">
      <c r="B567" s="276" t="s">
        <v>1645</v>
      </c>
      <c r="C567" s="81">
        <v>37787</v>
      </c>
      <c r="D567" s="21">
        <v>156</v>
      </c>
      <c r="E567" s="21">
        <v>10</v>
      </c>
      <c r="F567" s="36">
        <f t="shared" si="32"/>
        <v>0.156</v>
      </c>
      <c r="G567" s="201">
        <f t="shared" si="33"/>
        <v>5894.7719999999999</v>
      </c>
      <c r="H567" s="577">
        <f t="shared" si="34"/>
        <v>377870</v>
      </c>
    </row>
    <row r="568" spans="2:8" hidden="1" outlineLevel="2">
      <c r="B568" s="276" t="s">
        <v>1646</v>
      </c>
      <c r="C568" s="81">
        <v>2980</v>
      </c>
      <c r="D568" s="21">
        <v>156</v>
      </c>
      <c r="E568" s="21">
        <v>10</v>
      </c>
      <c r="F568" s="36">
        <f t="shared" si="32"/>
        <v>0.156</v>
      </c>
      <c r="G568" s="201">
        <f t="shared" si="33"/>
        <v>464.88</v>
      </c>
      <c r="H568" s="577">
        <f t="shared" si="34"/>
        <v>29800</v>
      </c>
    </row>
    <row r="569" spans="2:8" hidden="1" outlineLevel="2">
      <c r="B569" s="276" t="s">
        <v>1647</v>
      </c>
      <c r="C569" s="81">
        <v>86252</v>
      </c>
      <c r="D569" s="21">
        <v>156</v>
      </c>
      <c r="E569" s="21">
        <v>10</v>
      </c>
      <c r="F569" s="36">
        <f t="shared" si="32"/>
        <v>0.156</v>
      </c>
      <c r="G569" s="201">
        <f t="shared" si="33"/>
        <v>13455.312</v>
      </c>
      <c r="H569" s="577">
        <f t="shared" si="34"/>
        <v>862520</v>
      </c>
    </row>
    <row r="570" spans="2:8" hidden="1" outlineLevel="2">
      <c r="B570" s="276" t="s">
        <v>1648</v>
      </c>
      <c r="C570" s="81">
        <v>1663</v>
      </c>
      <c r="D570" s="21">
        <v>156</v>
      </c>
      <c r="E570" s="21">
        <v>16</v>
      </c>
      <c r="F570" s="36">
        <f t="shared" si="32"/>
        <v>0.24959999999999999</v>
      </c>
      <c r="G570" s="201">
        <f t="shared" si="33"/>
        <v>415.08479999999997</v>
      </c>
      <c r="H570" s="577">
        <f t="shared" si="34"/>
        <v>26608</v>
      </c>
    </row>
    <row r="571" spans="2:8" hidden="1" outlineLevel="2">
      <c r="B571" s="276" t="s">
        <v>1649</v>
      </c>
      <c r="C571" s="81">
        <v>27</v>
      </c>
      <c r="D571" s="21">
        <v>156</v>
      </c>
      <c r="E571" s="21">
        <v>16</v>
      </c>
      <c r="F571" s="36">
        <f t="shared" si="32"/>
        <v>0.24959999999999999</v>
      </c>
      <c r="G571" s="201">
        <f t="shared" si="33"/>
        <v>6.7391999999999994</v>
      </c>
      <c r="H571" s="577">
        <f t="shared" si="34"/>
        <v>432</v>
      </c>
    </row>
    <row r="572" spans="2:8" hidden="1" outlineLevel="2">
      <c r="B572" s="276" t="s">
        <v>1650</v>
      </c>
      <c r="C572" s="81">
        <v>2163</v>
      </c>
      <c r="D572" s="21">
        <v>156</v>
      </c>
      <c r="E572" s="21">
        <v>16</v>
      </c>
      <c r="F572" s="36">
        <f t="shared" si="32"/>
        <v>0.24959999999999999</v>
      </c>
      <c r="G572" s="201">
        <f t="shared" si="33"/>
        <v>539.88479999999993</v>
      </c>
      <c r="H572" s="577">
        <f t="shared" si="34"/>
        <v>34608</v>
      </c>
    </row>
    <row r="573" spans="2:8" hidden="1" outlineLevel="2">
      <c r="B573" s="276" t="s">
        <v>1651</v>
      </c>
      <c r="C573" s="81">
        <v>6011</v>
      </c>
      <c r="D573" s="21">
        <v>156</v>
      </c>
      <c r="E573" s="21">
        <v>16</v>
      </c>
      <c r="F573" s="36">
        <f t="shared" si="32"/>
        <v>0.24959999999999999</v>
      </c>
      <c r="G573" s="201">
        <f t="shared" si="33"/>
        <v>1500.3455999999999</v>
      </c>
      <c r="H573" s="577">
        <f t="shared" si="34"/>
        <v>96176</v>
      </c>
    </row>
    <row r="574" spans="2:8" hidden="1" outlineLevel="2">
      <c r="B574" s="276" t="s">
        <v>1652</v>
      </c>
      <c r="C574" s="81">
        <v>751</v>
      </c>
      <c r="D574" s="21">
        <v>156</v>
      </c>
      <c r="E574" s="21">
        <v>16</v>
      </c>
      <c r="F574" s="36">
        <f t="shared" si="32"/>
        <v>0.24959999999999999</v>
      </c>
      <c r="G574" s="201">
        <f t="shared" si="33"/>
        <v>187.4496</v>
      </c>
      <c r="H574" s="577">
        <f t="shared" si="34"/>
        <v>12016</v>
      </c>
    </row>
    <row r="575" spans="2:8" hidden="1" outlineLevel="2">
      <c r="B575" s="276" t="s">
        <v>1653</v>
      </c>
      <c r="C575" s="81">
        <v>268</v>
      </c>
      <c r="D575" s="21">
        <v>200</v>
      </c>
      <c r="E575" s="21">
        <v>10</v>
      </c>
      <c r="F575" s="36">
        <f t="shared" si="32"/>
        <v>0.2</v>
      </c>
      <c r="G575" s="201">
        <f t="shared" si="33"/>
        <v>53.6</v>
      </c>
      <c r="H575" s="577">
        <f t="shared" si="34"/>
        <v>2680</v>
      </c>
    </row>
    <row r="576" spans="2:8" hidden="1" outlineLevel="2">
      <c r="B576" s="276" t="s">
        <v>1654</v>
      </c>
      <c r="C576" s="81">
        <v>705</v>
      </c>
      <c r="D576" s="21">
        <v>200</v>
      </c>
      <c r="E576" s="21">
        <v>10</v>
      </c>
      <c r="F576" s="36">
        <f t="shared" si="32"/>
        <v>0.2</v>
      </c>
      <c r="G576" s="201">
        <f t="shared" si="33"/>
        <v>141</v>
      </c>
      <c r="H576" s="577">
        <f t="shared" si="34"/>
        <v>7050</v>
      </c>
    </row>
    <row r="577" spans="2:8" hidden="1" outlineLevel="2">
      <c r="B577" s="276" t="s">
        <v>1655</v>
      </c>
      <c r="C577" s="81">
        <v>14123</v>
      </c>
      <c r="D577" s="21">
        <v>200</v>
      </c>
      <c r="E577" s="21">
        <v>10</v>
      </c>
      <c r="F577" s="36">
        <f t="shared" si="32"/>
        <v>0.2</v>
      </c>
      <c r="G577" s="201">
        <f t="shared" si="33"/>
        <v>2824.6000000000004</v>
      </c>
      <c r="H577" s="577">
        <f t="shared" si="34"/>
        <v>141230</v>
      </c>
    </row>
    <row r="578" spans="2:8" hidden="1" outlineLevel="2">
      <c r="B578" s="276" t="s">
        <v>1656</v>
      </c>
      <c r="C578" s="81">
        <v>1885</v>
      </c>
      <c r="D578" s="21">
        <v>200</v>
      </c>
      <c r="E578" s="21">
        <v>10</v>
      </c>
      <c r="F578" s="36">
        <f t="shared" si="32"/>
        <v>0.2</v>
      </c>
      <c r="G578" s="201">
        <f t="shared" si="33"/>
        <v>377</v>
      </c>
      <c r="H578" s="577">
        <f t="shared" si="34"/>
        <v>18850</v>
      </c>
    </row>
    <row r="579" spans="2:8" hidden="1" outlineLevel="2">
      <c r="B579" s="276" t="s">
        <v>1657</v>
      </c>
      <c r="C579" s="81">
        <v>18652</v>
      </c>
      <c r="D579" s="21">
        <v>200</v>
      </c>
      <c r="E579" s="21">
        <v>10</v>
      </c>
      <c r="F579" s="36">
        <f t="shared" si="32"/>
        <v>0.2</v>
      </c>
      <c r="G579" s="201">
        <f t="shared" si="33"/>
        <v>3730.4</v>
      </c>
      <c r="H579" s="577">
        <f t="shared" si="34"/>
        <v>186520</v>
      </c>
    </row>
    <row r="580" spans="2:8" hidden="1" outlineLevel="2">
      <c r="B580" s="276" t="s">
        <v>1658</v>
      </c>
      <c r="C580" s="81">
        <v>902</v>
      </c>
      <c r="D580" s="21">
        <v>200</v>
      </c>
      <c r="E580" s="21">
        <v>10</v>
      </c>
      <c r="F580" s="36">
        <f t="shared" si="32"/>
        <v>0.2</v>
      </c>
      <c r="G580" s="201">
        <f t="shared" si="33"/>
        <v>180.4</v>
      </c>
      <c r="H580" s="577">
        <f t="shared" si="34"/>
        <v>9020</v>
      </c>
    </row>
    <row r="581" spans="2:8" hidden="1" outlineLevel="2">
      <c r="B581" s="276" t="s">
        <v>1659</v>
      </c>
      <c r="C581" s="81">
        <v>1793</v>
      </c>
      <c r="D581" s="21">
        <v>200</v>
      </c>
      <c r="E581" s="21">
        <v>10</v>
      </c>
      <c r="F581" s="36">
        <f t="shared" si="32"/>
        <v>0.2</v>
      </c>
      <c r="G581" s="201">
        <f t="shared" si="33"/>
        <v>358.6</v>
      </c>
      <c r="H581" s="577">
        <f t="shared" si="34"/>
        <v>17930</v>
      </c>
    </row>
    <row r="582" spans="2:8" hidden="1" outlineLevel="2">
      <c r="B582" s="276" t="s">
        <v>1660</v>
      </c>
      <c r="C582" s="81">
        <v>562</v>
      </c>
      <c r="D582" s="21">
        <v>200</v>
      </c>
      <c r="E582" s="21">
        <v>16</v>
      </c>
      <c r="F582" s="36">
        <f t="shared" si="32"/>
        <v>0.32</v>
      </c>
      <c r="G582" s="201">
        <f t="shared" si="33"/>
        <v>179.84</v>
      </c>
      <c r="H582" s="577">
        <f t="shared" si="34"/>
        <v>8992</v>
      </c>
    </row>
    <row r="583" spans="2:8" hidden="1" outlineLevel="2">
      <c r="B583" s="276" t="s">
        <v>1661</v>
      </c>
      <c r="C583" s="81">
        <v>84439</v>
      </c>
      <c r="D583" s="21">
        <v>200</v>
      </c>
      <c r="E583" s="21">
        <v>16</v>
      </c>
      <c r="F583" s="36">
        <f t="shared" si="32"/>
        <v>0.32</v>
      </c>
      <c r="G583" s="201">
        <f t="shared" si="33"/>
        <v>27020.48</v>
      </c>
      <c r="H583" s="577">
        <f t="shared" si="34"/>
        <v>1351024</v>
      </c>
    </row>
    <row r="584" spans="2:8" hidden="1" outlineLevel="2">
      <c r="B584" s="276" t="s">
        <v>1662</v>
      </c>
      <c r="C584" s="81">
        <v>4715</v>
      </c>
      <c r="D584" s="21">
        <v>200</v>
      </c>
      <c r="E584" s="21">
        <v>16</v>
      </c>
      <c r="F584" s="36">
        <f t="shared" si="32"/>
        <v>0.32</v>
      </c>
      <c r="G584" s="201">
        <f t="shared" si="33"/>
        <v>1508.8</v>
      </c>
      <c r="H584" s="577">
        <f t="shared" si="34"/>
        <v>75440</v>
      </c>
    </row>
    <row r="585" spans="2:8" hidden="1" outlineLevel="2">
      <c r="B585" s="276" t="s">
        <v>1663</v>
      </c>
      <c r="C585" s="81">
        <v>24</v>
      </c>
      <c r="D585" s="21">
        <v>225</v>
      </c>
      <c r="E585" s="21">
        <v>10</v>
      </c>
      <c r="F585" s="36">
        <f t="shared" si="32"/>
        <v>0.22500000000000001</v>
      </c>
      <c r="G585" s="201">
        <f t="shared" si="33"/>
        <v>5.4</v>
      </c>
      <c r="H585" s="577">
        <f t="shared" si="34"/>
        <v>240</v>
      </c>
    </row>
    <row r="586" spans="2:8" hidden="1" outlineLevel="2">
      <c r="B586" s="276" t="s">
        <v>1664</v>
      </c>
      <c r="C586" s="81">
        <v>534</v>
      </c>
      <c r="D586" s="21">
        <v>225</v>
      </c>
      <c r="E586" s="21">
        <v>10</v>
      </c>
      <c r="F586" s="36">
        <f t="shared" si="32"/>
        <v>0.22500000000000001</v>
      </c>
      <c r="G586" s="201">
        <f t="shared" si="33"/>
        <v>120.15</v>
      </c>
      <c r="H586" s="577">
        <f t="shared" si="34"/>
        <v>5340</v>
      </c>
    </row>
    <row r="587" spans="2:8" hidden="1" outlineLevel="2">
      <c r="B587" s="276" t="s">
        <v>1665</v>
      </c>
      <c r="C587" s="81">
        <v>1169</v>
      </c>
      <c r="D587" s="21">
        <v>225</v>
      </c>
      <c r="E587" s="21">
        <v>10</v>
      </c>
      <c r="F587" s="36">
        <f t="shared" si="32"/>
        <v>0.22500000000000001</v>
      </c>
      <c r="G587" s="201">
        <f t="shared" si="33"/>
        <v>263.02500000000003</v>
      </c>
      <c r="H587" s="577">
        <f t="shared" si="34"/>
        <v>11690</v>
      </c>
    </row>
    <row r="588" spans="2:8" hidden="1" outlineLevel="2">
      <c r="B588" s="276" t="s">
        <v>1666</v>
      </c>
      <c r="C588" s="81">
        <v>57</v>
      </c>
      <c r="D588" s="21">
        <v>225</v>
      </c>
      <c r="E588" s="21">
        <v>10</v>
      </c>
      <c r="F588" s="36">
        <f t="shared" si="32"/>
        <v>0.22500000000000001</v>
      </c>
      <c r="G588" s="201">
        <f t="shared" si="33"/>
        <v>12.825000000000001</v>
      </c>
      <c r="H588" s="577">
        <f t="shared" si="34"/>
        <v>570</v>
      </c>
    </row>
    <row r="589" spans="2:8" hidden="1" outlineLevel="2">
      <c r="B589" s="276" t="s">
        <v>1667</v>
      </c>
      <c r="C589" s="81">
        <v>277</v>
      </c>
      <c r="D589" s="21">
        <v>225</v>
      </c>
      <c r="E589" s="21">
        <v>10</v>
      </c>
      <c r="F589" s="36">
        <f t="shared" si="32"/>
        <v>0.22500000000000001</v>
      </c>
      <c r="G589" s="201">
        <f t="shared" si="33"/>
        <v>62.325000000000003</v>
      </c>
      <c r="H589" s="577">
        <f t="shared" si="34"/>
        <v>2770</v>
      </c>
    </row>
    <row r="590" spans="2:8" hidden="1" outlineLevel="2">
      <c r="B590" s="276" t="s">
        <v>1668</v>
      </c>
      <c r="C590" s="81">
        <v>1285</v>
      </c>
      <c r="D590" s="21">
        <v>225</v>
      </c>
      <c r="E590" s="21">
        <v>10</v>
      </c>
      <c r="F590" s="36">
        <f t="shared" si="32"/>
        <v>0.22500000000000001</v>
      </c>
      <c r="G590" s="201">
        <f t="shared" si="33"/>
        <v>289.125</v>
      </c>
      <c r="H590" s="577">
        <f t="shared" si="34"/>
        <v>12850</v>
      </c>
    </row>
    <row r="591" spans="2:8" hidden="1" outlineLevel="2">
      <c r="B591" s="276" t="s">
        <v>1669</v>
      </c>
      <c r="C591" s="81">
        <v>264</v>
      </c>
      <c r="D591" s="81">
        <v>25</v>
      </c>
      <c r="E591" s="21">
        <v>10</v>
      </c>
      <c r="F591" s="36">
        <f t="shared" si="32"/>
        <v>2.5000000000000001E-2</v>
      </c>
      <c r="G591" s="201">
        <f t="shared" si="33"/>
        <v>6.6000000000000005</v>
      </c>
      <c r="H591" s="577">
        <f t="shared" si="34"/>
        <v>2640</v>
      </c>
    </row>
    <row r="592" spans="2:8" hidden="1" outlineLevel="2">
      <c r="B592" s="276" t="s">
        <v>1670</v>
      </c>
      <c r="C592" s="81">
        <v>2917</v>
      </c>
      <c r="D592" s="81">
        <v>50</v>
      </c>
      <c r="E592" s="21">
        <v>10</v>
      </c>
      <c r="F592" s="36">
        <f t="shared" si="32"/>
        <v>0.05</v>
      </c>
      <c r="G592" s="201">
        <f t="shared" si="33"/>
        <v>145.85</v>
      </c>
      <c r="H592" s="577">
        <f t="shared" si="34"/>
        <v>29170</v>
      </c>
    </row>
    <row r="593" spans="2:8" hidden="1" outlineLevel="2">
      <c r="B593" s="276" t="s">
        <v>1671</v>
      </c>
      <c r="C593" s="81">
        <v>5891</v>
      </c>
      <c r="D593" s="81">
        <v>50</v>
      </c>
      <c r="E593" s="21">
        <v>10</v>
      </c>
      <c r="F593" s="36">
        <f t="shared" si="32"/>
        <v>0.05</v>
      </c>
      <c r="G593" s="201">
        <f t="shared" si="33"/>
        <v>294.55</v>
      </c>
      <c r="H593" s="577">
        <f t="shared" si="34"/>
        <v>58910</v>
      </c>
    </row>
    <row r="594" spans="2:8" hidden="1" outlineLevel="2">
      <c r="B594" s="276" t="s">
        <v>1672</v>
      </c>
      <c r="C594" s="81">
        <v>317</v>
      </c>
      <c r="D594" s="81">
        <v>50</v>
      </c>
      <c r="E594" s="21">
        <v>10</v>
      </c>
      <c r="F594" s="36">
        <f t="shared" si="32"/>
        <v>0.05</v>
      </c>
      <c r="G594" s="201">
        <f t="shared" si="33"/>
        <v>15.850000000000001</v>
      </c>
      <c r="H594" s="577">
        <f t="shared" si="34"/>
        <v>3170</v>
      </c>
    </row>
    <row r="595" spans="2:8" hidden="1" outlineLevel="2">
      <c r="B595" s="276" t="s">
        <v>1673</v>
      </c>
      <c r="C595" s="81">
        <v>14542</v>
      </c>
      <c r="D595" s="81">
        <v>63</v>
      </c>
      <c r="E595" s="21">
        <v>10</v>
      </c>
      <c r="F595" s="36">
        <f t="shared" si="32"/>
        <v>6.3E-2</v>
      </c>
      <c r="G595" s="201">
        <f t="shared" si="33"/>
        <v>916.14599999999996</v>
      </c>
      <c r="H595" s="577">
        <f t="shared" si="34"/>
        <v>145420</v>
      </c>
    </row>
    <row r="596" spans="2:8" hidden="1" outlineLevel="2">
      <c r="B596" s="276" t="s">
        <v>1674</v>
      </c>
      <c r="C596" s="81">
        <v>44</v>
      </c>
      <c r="D596" s="81">
        <v>63</v>
      </c>
      <c r="E596" s="21">
        <v>10</v>
      </c>
      <c r="F596" s="36">
        <f t="shared" si="32"/>
        <v>6.3E-2</v>
      </c>
      <c r="G596" s="201">
        <f t="shared" si="33"/>
        <v>2.7720000000000002</v>
      </c>
      <c r="H596" s="577">
        <f t="shared" si="34"/>
        <v>440</v>
      </c>
    </row>
    <row r="597" spans="2:8" hidden="1" outlineLevel="2">
      <c r="B597" s="276" t="s">
        <v>1675</v>
      </c>
      <c r="C597" s="81">
        <v>758</v>
      </c>
      <c r="D597" s="81">
        <v>300</v>
      </c>
      <c r="E597" s="21">
        <v>10</v>
      </c>
      <c r="F597" s="36">
        <f t="shared" si="32"/>
        <v>0.3</v>
      </c>
      <c r="G597" s="201">
        <f t="shared" si="33"/>
        <v>227.4</v>
      </c>
      <c r="H597" s="577">
        <f t="shared" si="34"/>
        <v>7580</v>
      </c>
    </row>
    <row r="598" spans="2:8" hidden="1" outlineLevel="2">
      <c r="B598" s="276" t="s">
        <v>1676</v>
      </c>
      <c r="C598" s="81">
        <v>293</v>
      </c>
      <c r="D598" s="81">
        <v>300</v>
      </c>
      <c r="E598" s="21">
        <v>10</v>
      </c>
      <c r="F598" s="36">
        <f t="shared" si="32"/>
        <v>0.3</v>
      </c>
      <c r="G598" s="201">
        <f t="shared" si="33"/>
        <v>87.899999999999991</v>
      </c>
      <c r="H598" s="577">
        <f t="shared" si="34"/>
        <v>2930</v>
      </c>
    </row>
    <row r="599" spans="2:8" hidden="1" outlineLevel="2">
      <c r="B599" s="276" t="s">
        <v>1677</v>
      </c>
      <c r="C599" s="81">
        <v>43536</v>
      </c>
      <c r="D599" s="81">
        <v>300</v>
      </c>
      <c r="E599" s="21">
        <v>10</v>
      </c>
      <c r="F599" s="36">
        <f t="shared" si="32"/>
        <v>0.3</v>
      </c>
      <c r="G599" s="201">
        <f t="shared" si="33"/>
        <v>13060.8</v>
      </c>
      <c r="H599" s="577">
        <f t="shared" si="34"/>
        <v>435360</v>
      </c>
    </row>
    <row r="600" spans="2:8" hidden="1" outlineLevel="2">
      <c r="B600" s="276" t="s">
        <v>1678</v>
      </c>
      <c r="C600" s="81">
        <v>61407</v>
      </c>
      <c r="D600" s="81">
        <v>300</v>
      </c>
      <c r="E600" s="21">
        <v>10</v>
      </c>
      <c r="F600" s="36">
        <f t="shared" si="32"/>
        <v>0.3</v>
      </c>
      <c r="G600" s="201">
        <f t="shared" si="33"/>
        <v>18422.099999999999</v>
      </c>
      <c r="H600" s="577">
        <f t="shared" si="34"/>
        <v>614070</v>
      </c>
    </row>
    <row r="601" spans="2:8" hidden="1" outlineLevel="2">
      <c r="B601" s="276" t="s">
        <v>1679</v>
      </c>
      <c r="C601" s="81">
        <v>4595</v>
      </c>
      <c r="D601" s="81">
        <v>300</v>
      </c>
      <c r="E601" s="21">
        <v>10</v>
      </c>
      <c r="F601" s="36">
        <f t="shared" si="32"/>
        <v>0.3</v>
      </c>
      <c r="G601" s="201">
        <f t="shared" si="33"/>
        <v>1378.5</v>
      </c>
      <c r="H601" s="577">
        <f t="shared" si="34"/>
        <v>45950</v>
      </c>
    </row>
    <row r="602" spans="2:8" hidden="1" outlineLevel="2">
      <c r="B602" s="276" t="s">
        <v>1680</v>
      </c>
      <c r="C602" s="81">
        <v>38469</v>
      </c>
      <c r="D602" s="81">
        <v>300</v>
      </c>
      <c r="E602" s="21">
        <v>10</v>
      </c>
      <c r="F602" s="36">
        <f t="shared" si="32"/>
        <v>0.3</v>
      </c>
      <c r="G602" s="201">
        <f t="shared" si="33"/>
        <v>11540.699999999999</v>
      </c>
      <c r="H602" s="577">
        <f t="shared" si="34"/>
        <v>384690</v>
      </c>
    </row>
    <row r="603" spans="2:8" hidden="1" outlineLevel="2">
      <c r="B603" s="276" t="s">
        <v>1681</v>
      </c>
      <c r="C603" s="81">
        <v>13828</v>
      </c>
      <c r="D603" s="81">
        <v>300</v>
      </c>
      <c r="E603" s="21">
        <v>10</v>
      </c>
      <c r="F603" s="36">
        <f t="shared" si="32"/>
        <v>0.3</v>
      </c>
      <c r="G603" s="201">
        <f t="shared" si="33"/>
        <v>4148.3999999999996</v>
      </c>
      <c r="H603" s="577">
        <f t="shared" si="34"/>
        <v>138280</v>
      </c>
    </row>
    <row r="604" spans="2:8" hidden="1" outlineLevel="2">
      <c r="B604" s="276" t="s">
        <v>1682</v>
      </c>
      <c r="C604" s="81">
        <v>12527</v>
      </c>
      <c r="D604" s="81">
        <v>300</v>
      </c>
      <c r="E604" s="21">
        <v>10</v>
      </c>
      <c r="F604" s="36">
        <f t="shared" si="32"/>
        <v>0.3</v>
      </c>
      <c r="G604" s="201">
        <f t="shared" si="33"/>
        <v>3758.1</v>
      </c>
      <c r="H604" s="577">
        <f t="shared" si="34"/>
        <v>125270</v>
      </c>
    </row>
    <row r="605" spans="2:8" hidden="1" outlineLevel="2">
      <c r="B605" s="276" t="s">
        <v>1683</v>
      </c>
      <c r="C605" s="81">
        <v>14715</v>
      </c>
      <c r="D605" s="81">
        <v>300</v>
      </c>
      <c r="E605" s="21">
        <v>10</v>
      </c>
      <c r="F605" s="36">
        <f t="shared" si="32"/>
        <v>0.3</v>
      </c>
      <c r="G605" s="201">
        <f t="shared" si="33"/>
        <v>4414.5</v>
      </c>
      <c r="H605" s="577">
        <f t="shared" si="34"/>
        <v>147150</v>
      </c>
    </row>
    <row r="606" spans="2:8" hidden="1" outlineLevel="2">
      <c r="B606" s="276" t="s">
        <v>1684</v>
      </c>
      <c r="C606" s="792">
        <v>374957</v>
      </c>
      <c r="D606" s="81">
        <v>300</v>
      </c>
      <c r="E606" s="21">
        <v>10</v>
      </c>
      <c r="F606" s="36">
        <f t="shared" si="32"/>
        <v>0.3</v>
      </c>
      <c r="G606" s="201">
        <f t="shared" si="33"/>
        <v>112487.09999999999</v>
      </c>
      <c r="H606" s="577">
        <f t="shared" si="34"/>
        <v>3749570</v>
      </c>
    </row>
    <row r="607" spans="2:8" hidden="1" outlineLevel="2">
      <c r="B607" s="276" t="s">
        <v>1685</v>
      </c>
      <c r="C607" s="81">
        <v>67750</v>
      </c>
      <c r="D607" s="81">
        <v>300</v>
      </c>
      <c r="E607" s="21">
        <v>10</v>
      </c>
      <c r="F607" s="36">
        <f t="shared" si="32"/>
        <v>0.3</v>
      </c>
      <c r="G607" s="201">
        <f t="shared" si="33"/>
        <v>20325</v>
      </c>
      <c r="H607" s="577">
        <f t="shared" si="34"/>
        <v>677500</v>
      </c>
    </row>
    <row r="608" spans="2:8" hidden="1" outlineLevel="2">
      <c r="B608" s="276" t="s">
        <v>1686</v>
      </c>
      <c r="C608" s="81">
        <v>3081</v>
      </c>
      <c r="D608" s="81">
        <v>300</v>
      </c>
      <c r="E608" s="21">
        <v>10</v>
      </c>
      <c r="F608" s="36">
        <f t="shared" si="32"/>
        <v>0.3</v>
      </c>
      <c r="G608" s="201">
        <f t="shared" si="33"/>
        <v>924.3</v>
      </c>
      <c r="H608" s="577">
        <f t="shared" si="34"/>
        <v>30810</v>
      </c>
    </row>
    <row r="609" spans="2:8" hidden="1" outlineLevel="2">
      <c r="B609" s="276" t="s">
        <v>1687</v>
      </c>
      <c r="C609" s="81">
        <v>719</v>
      </c>
      <c r="D609" s="81">
        <v>200</v>
      </c>
      <c r="E609" s="21">
        <v>10</v>
      </c>
      <c r="F609" s="36">
        <f t="shared" si="32"/>
        <v>0.2</v>
      </c>
      <c r="G609" s="201">
        <f t="shared" si="33"/>
        <v>143.80000000000001</v>
      </c>
      <c r="H609" s="577">
        <f t="shared" si="34"/>
        <v>7190</v>
      </c>
    </row>
    <row r="610" spans="2:8" hidden="1" outlineLevel="2">
      <c r="B610" s="276" t="s">
        <v>1688</v>
      </c>
      <c r="C610" s="81">
        <v>21</v>
      </c>
      <c r="D610" s="81">
        <v>200</v>
      </c>
      <c r="E610" s="21">
        <v>10</v>
      </c>
      <c r="F610" s="36">
        <f t="shared" si="32"/>
        <v>0.2</v>
      </c>
      <c r="G610" s="201">
        <f t="shared" si="33"/>
        <v>4.2</v>
      </c>
      <c r="H610" s="577">
        <f t="shared" si="34"/>
        <v>210</v>
      </c>
    </row>
    <row r="611" spans="2:8" hidden="1" outlineLevel="2">
      <c r="B611" s="276" t="s">
        <v>1689</v>
      </c>
      <c r="C611" s="81">
        <v>24</v>
      </c>
      <c r="D611" s="81">
        <v>200</v>
      </c>
      <c r="E611" s="21">
        <v>10</v>
      </c>
      <c r="F611" s="36">
        <f t="shared" si="32"/>
        <v>0.2</v>
      </c>
      <c r="G611" s="201">
        <f t="shared" si="33"/>
        <v>4.8000000000000007</v>
      </c>
      <c r="H611" s="577">
        <f t="shared" si="34"/>
        <v>240</v>
      </c>
    </row>
    <row r="612" spans="2:8" hidden="1" outlineLevel="2">
      <c r="B612" s="276" t="s">
        <v>1690</v>
      </c>
      <c r="C612" s="81">
        <v>36548</v>
      </c>
      <c r="D612" s="81">
        <v>200</v>
      </c>
      <c r="E612" s="21">
        <v>10</v>
      </c>
      <c r="F612" s="36">
        <f t="shared" si="32"/>
        <v>0.2</v>
      </c>
      <c r="G612" s="201">
        <f t="shared" si="33"/>
        <v>7309.6</v>
      </c>
      <c r="H612" s="577">
        <f t="shared" si="34"/>
        <v>365480</v>
      </c>
    </row>
    <row r="613" spans="2:8" hidden="1" outlineLevel="2">
      <c r="B613" s="276" t="s">
        <v>1691</v>
      </c>
      <c r="C613" s="81">
        <v>807</v>
      </c>
      <c r="D613" s="81">
        <v>200</v>
      </c>
      <c r="E613" s="21">
        <v>10</v>
      </c>
      <c r="F613" s="36">
        <f t="shared" si="32"/>
        <v>0.2</v>
      </c>
      <c r="G613" s="201">
        <f t="shared" si="33"/>
        <v>161.4</v>
      </c>
      <c r="H613" s="577">
        <f t="shared" si="34"/>
        <v>8070</v>
      </c>
    </row>
    <row r="614" spans="2:8" hidden="1" outlineLevel="2">
      <c r="B614" s="276" t="s">
        <v>1692</v>
      </c>
      <c r="C614" s="81">
        <v>26009</v>
      </c>
      <c r="D614" s="81">
        <v>200</v>
      </c>
      <c r="E614" s="21">
        <v>10</v>
      </c>
      <c r="F614" s="36">
        <f t="shared" si="32"/>
        <v>0.2</v>
      </c>
      <c r="G614" s="201">
        <f t="shared" si="33"/>
        <v>5201.8</v>
      </c>
      <c r="H614" s="577">
        <f t="shared" si="34"/>
        <v>260090</v>
      </c>
    </row>
    <row r="615" spans="2:8" hidden="1" outlineLevel="2">
      <c r="B615" s="276" t="s">
        <v>1693</v>
      </c>
      <c r="C615" s="81">
        <v>7645</v>
      </c>
      <c r="D615" s="81">
        <v>200</v>
      </c>
      <c r="E615" s="21">
        <v>10</v>
      </c>
      <c r="F615" s="36">
        <f t="shared" si="32"/>
        <v>0.2</v>
      </c>
      <c r="G615" s="201">
        <f t="shared" si="33"/>
        <v>1529</v>
      </c>
      <c r="H615" s="577">
        <f t="shared" si="34"/>
        <v>76450</v>
      </c>
    </row>
    <row r="616" spans="2:8" hidden="1" outlineLevel="2">
      <c r="B616" s="276" t="s">
        <v>1694</v>
      </c>
      <c r="C616" s="81">
        <v>31033</v>
      </c>
      <c r="D616" s="81">
        <v>200</v>
      </c>
      <c r="E616" s="21">
        <v>10</v>
      </c>
      <c r="F616" s="36">
        <f t="shared" si="32"/>
        <v>0.2</v>
      </c>
      <c r="G616" s="201">
        <f t="shared" si="33"/>
        <v>6206.6</v>
      </c>
      <c r="H616" s="577">
        <f t="shared" si="34"/>
        <v>310330</v>
      </c>
    </row>
    <row r="617" spans="2:8" hidden="1" outlineLevel="2">
      <c r="B617" s="276" t="s">
        <v>1695</v>
      </c>
      <c r="C617" s="81">
        <v>34134</v>
      </c>
      <c r="D617" s="81">
        <v>200</v>
      </c>
      <c r="E617" s="21">
        <v>10</v>
      </c>
      <c r="F617" s="36">
        <f t="shared" si="32"/>
        <v>0.2</v>
      </c>
      <c r="G617" s="201">
        <f t="shared" si="33"/>
        <v>6826.8</v>
      </c>
      <c r="H617" s="577">
        <f t="shared" si="34"/>
        <v>341340</v>
      </c>
    </row>
    <row r="618" spans="2:8" hidden="1" outlineLevel="2">
      <c r="B618" s="276" t="s">
        <v>1696</v>
      </c>
      <c r="C618" s="81">
        <v>286087</v>
      </c>
      <c r="D618" s="81">
        <v>100</v>
      </c>
      <c r="E618" s="21">
        <v>16</v>
      </c>
      <c r="F618" s="36">
        <f t="shared" si="32"/>
        <v>0.16</v>
      </c>
      <c r="G618" s="201">
        <f t="shared" si="33"/>
        <v>45773.919999999998</v>
      </c>
      <c r="H618" s="577">
        <f t="shared" si="34"/>
        <v>4577392</v>
      </c>
    </row>
    <row r="619" spans="2:8" hidden="1" outlineLevel="2">
      <c r="B619" s="276" t="s">
        <v>1697</v>
      </c>
      <c r="C619" s="81">
        <v>19027</v>
      </c>
      <c r="D619" s="81">
        <v>100</v>
      </c>
      <c r="E619" s="21">
        <v>16</v>
      </c>
      <c r="F619" s="36">
        <f t="shared" si="32"/>
        <v>0.16</v>
      </c>
      <c r="G619" s="201">
        <f t="shared" si="33"/>
        <v>3044.32</v>
      </c>
      <c r="H619" s="577">
        <f t="shared" si="34"/>
        <v>304432</v>
      </c>
    </row>
    <row r="620" spans="2:8" hidden="1" outlineLevel="2">
      <c r="B620" s="276" t="s">
        <v>1698</v>
      </c>
      <c r="C620" s="81">
        <v>1231</v>
      </c>
      <c r="D620" s="81">
        <v>156</v>
      </c>
      <c r="E620" s="21">
        <v>16</v>
      </c>
      <c r="F620" s="36">
        <f t="shared" si="32"/>
        <v>0.24959999999999999</v>
      </c>
      <c r="G620" s="201">
        <f t="shared" si="33"/>
        <v>307.25759999999997</v>
      </c>
      <c r="H620" s="577">
        <f t="shared" si="34"/>
        <v>19696</v>
      </c>
    </row>
    <row r="621" spans="2:8" hidden="1" outlineLevel="2">
      <c r="B621" s="276" t="s">
        <v>1699</v>
      </c>
      <c r="C621" s="81">
        <v>2307</v>
      </c>
      <c r="D621" s="81">
        <v>156</v>
      </c>
      <c r="E621" s="21">
        <v>16</v>
      </c>
      <c r="F621" s="36">
        <f t="shared" si="32"/>
        <v>0.24959999999999999</v>
      </c>
      <c r="G621" s="201">
        <f t="shared" si="33"/>
        <v>575.82719999999995</v>
      </c>
      <c r="H621" s="577">
        <f t="shared" si="34"/>
        <v>36912</v>
      </c>
    </row>
    <row r="622" spans="2:8" hidden="1" outlineLevel="2">
      <c r="B622" s="276" t="s">
        <v>1700</v>
      </c>
      <c r="C622" s="81">
        <v>4935</v>
      </c>
      <c r="D622" s="81">
        <v>156</v>
      </c>
      <c r="E622" s="21">
        <v>16</v>
      </c>
      <c r="F622" s="36">
        <f t="shared" si="32"/>
        <v>0.24959999999999999</v>
      </c>
      <c r="G622" s="201">
        <f t="shared" si="33"/>
        <v>1231.7759999999998</v>
      </c>
      <c r="H622" s="577">
        <f t="shared" si="34"/>
        <v>78960</v>
      </c>
    </row>
    <row r="623" spans="2:8" hidden="1" outlineLevel="2">
      <c r="B623" s="276" t="s">
        <v>1701</v>
      </c>
      <c r="C623" s="81">
        <v>79724</v>
      </c>
      <c r="D623" s="81">
        <v>156</v>
      </c>
      <c r="E623" s="21">
        <v>16</v>
      </c>
      <c r="F623" s="36">
        <f t="shared" si="32"/>
        <v>0.24959999999999999</v>
      </c>
      <c r="G623" s="201">
        <f t="shared" si="33"/>
        <v>19899.110399999998</v>
      </c>
      <c r="H623" s="577">
        <f t="shared" si="34"/>
        <v>1275584</v>
      </c>
    </row>
    <row r="624" spans="2:8" hidden="1" outlineLevel="2">
      <c r="B624" s="276" t="s">
        <v>1702</v>
      </c>
      <c r="C624" s="81">
        <v>25527</v>
      </c>
      <c r="D624" s="81">
        <v>156</v>
      </c>
      <c r="E624" s="21">
        <v>16</v>
      </c>
      <c r="F624" s="36">
        <f t="shared" si="32"/>
        <v>0.24959999999999999</v>
      </c>
      <c r="G624" s="201">
        <f t="shared" si="33"/>
        <v>6371.5391999999993</v>
      </c>
      <c r="H624" s="577">
        <f t="shared" si="34"/>
        <v>408432</v>
      </c>
    </row>
    <row r="625" spans="2:9" hidden="1" outlineLevel="2">
      <c r="B625" s="276" t="s">
        <v>1703</v>
      </c>
      <c r="C625" s="81">
        <v>8420</v>
      </c>
      <c r="D625" s="81">
        <v>156</v>
      </c>
      <c r="E625" s="21">
        <v>16</v>
      </c>
      <c r="F625" s="36">
        <f t="shared" ref="F625:F688" si="35">E625*D625/10000</f>
        <v>0.24959999999999999</v>
      </c>
      <c r="G625" s="201">
        <f t="shared" ref="G625:G688" si="36">F625*C625</f>
        <v>2101.6320000000001</v>
      </c>
      <c r="H625" s="577">
        <f t="shared" ref="H625:H688" si="37">E625*C625</f>
        <v>134720</v>
      </c>
    </row>
    <row r="626" spans="2:9" hidden="1" outlineLevel="2">
      <c r="B626" s="276" t="s">
        <v>1704</v>
      </c>
      <c r="C626" s="81">
        <v>64571</v>
      </c>
      <c r="D626" s="81">
        <v>156</v>
      </c>
      <c r="E626" s="21">
        <v>16</v>
      </c>
      <c r="F626" s="36">
        <f t="shared" si="35"/>
        <v>0.24959999999999999</v>
      </c>
      <c r="G626" s="201">
        <f t="shared" si="36"/>
        <v>16116.9216</v>
      </c>
      <c r="H626" s="577">
        <f t="shared" si="37"/>
        <v>1033136</v>
      </c>
    </row>
    <row r="627" spans="2:9" hidden="1" outlineLevel="2">
      <c r="B627" s="276" t="s">
        <v>1705</v>
      </c>
      <c r="C627" s="81">
        <v>19934</v>
      </c>
      <c r="D627" s="21">
        <v>460</v>
      </c>
      <c r="E627" s="21">
        <v>10</v>
      </c>
      <c r="F627" s="36">
        <f t="shared" si="35"/>
        <v>0.46</v>
      </c>
      <c r="G627" s="201">
        <f t="shared" si="36"/>
        <v>9169.6400000000012</v>
      </c>
      <c r="H627" s="577">
        <f t="shared" si="37"/>
        <v>199340</v>
      </c>
    </row>
    <row r="628" spans="2:9" hidden="1" outlineLevel="2">
      <c r="B628" s="276" t="s">
        <v>1706</v>
      </c>
      <c r="C628" s="81">
        <v>78</v>
      </c>
      <c r="D628" s="21">
        <v>460</v>
      </c>
      <c r="E628" s="21">
        <v>10</v>
      </c>
      <c r="F628" s="36">
        <f t="shared" si="35"/>
        <v>0.46</v>
      </c>
      <c r="G628" s="201">
        <f t="shared" si="36"/>
        <v>35.880000000000003</v>
      </c>
      <c r="H628" s="577">
        <f t="shared" si="37"/>
        <v>780</v>
      </c>
    </row>
    <row r="629" spans="2:9" hidden="1" outlineLevel="2">
      <c r="B629" s="276" t="s">
        <v>1707</v>
      </c>
      <c r="C629" s="81">
        <v>49145</v>
      </c>
      <c r="D629" s="21">
        <v>460</v>
      </c>
      <c r="E629" s="21">
        <v>10</v>
      </c>
      <c r="F629" s="36">
        <f t="shared" si="35"/>
        <v>0.46</v>
      </c>
      <c r="G629" s="201">
        <f t="shared" si="36"/>
        <v>22606.7</v>
      </c>
      <c r="H629" s="577">
        <f t="shared" si="37"/>
        <v>491450</v>
      </c>
    </row>
    <row r="630" spans="2:9" hidden="1" outlineLevel="2">
      <c r="B630" s="276" t="s">
        <v>1708</v>
      </c>
      <c r="C630" s="81">
        <v>7735</v>
      </c>
      <c r="D630" s="21">
        <v>460</v>
      </c>
      <c r="E630" s="21">
        <v>10</v>
      </c>
      <c r="F630" s="36">
        <f t="shared" si="35"/>
        <v>0.46</v>
      </c>
      <c r="G630" s="201">
        <f t="shared" si="36"/>
        <v>3558.1000000000004</v>
      </c>
      <c r="H630" s="577">
        <f t="shared" si="37"/>
        <v>77350</v>
      </c>
    </row>
    <row r="631" spans="2:9" hidden="1" outlineLevel="2">
      <c r="B631" s="276" t="s">
        <v>1709</v>
      </c>
      <c r="C631" s="81">
        <v>35</v>
      </c>
      <c r="D631" s="81">
        <v>300</v>
      </c>
      <c r="E631" s="21">
        <v>10</v>
      </c>
      <c r="F631" s="36">
        <f t="shared" si="35"/>
        <v>0.3</v>
      </c>
      <c r="G631" s="201">
        <f t="shared" si="36"/>
        <v>10.5</v>
      </c>
      <c r="H631" s="577">
        <f t="shared" si="37"/>
        <v>350</v>
      </c>
    </row>
    <row r="632" spans="2:9" hidden="1" outlineLevel="2">
      <c r="B632" s="276" t="s">
        <v>1710</v>
      </c>
      <c r="C632" s="81">
        <v>11</v>
      </c>
      <c r="D632" s="81">
        <v>63</v>
      </c>
      <c r="E632" s="21">
        <v>16</v>
      </c>
      <c r="F632" s="36">
        <f t="shared" si="35"/>
        <v>0.1008</v>
      </c>
      <c r="G632" s="201">
        <f t="shared" si="36"/>
        <v>1.1088</v>
      </c>
      <c r="H632" s="577">
        <f t="shared" si="37"/>
        <v>176</v>
      </c>
    </row>
    <row r="633" spans="2:9" hidden="1" outlineLevel="2">
      <c r="B633" s="276" t="s">
        <v>1711</v>
      </c>
      <c r="C633" s="81">
        <v>31</v>
      </c>
      <c r="D633" s="81">
        <v>230</v>
      </c>
      <c r="E633" s="21">
        <v>5</v>
      </c>
      <c r="F633" s="36">
        <f t="shared" si="35"/>
        <v>0.115</v>
      </c>
      <c r="G633" s="201">
        <f t="shared" si="36"/>
        <v>3.5649999999999999</v>
      </c>
      <c r="H633" s="577">
        <f t="shared" si="37"/>
        <v>155</v>
      </c>
    </row>
    <row r="634" spans="2:9" hidden="1" outlineLevel="2">
      <c r="B634" s="276" t="s">
        <v>1712</v>
      </c>
      <c r="C634" s="81">
        <v>24</v>
      </c>
      <c r="D634" s="81">
        <v>335</v>
      </c>
      <c r="E634" s="21">
        <v>5</v>
      </c>
      <c r="F634" s="36">
        <f t="shared" si="35"/>
        <v>0.16750000000000001</v>
      </c>
      <c r="G634" s="201">
        <f t="shared" si="36"/>
        <v>4.0200000000000005</v>
      </c>
      <c r="H634" s="577">
        <f t="shared" si="37"/>
        <v>120</v>
      </c>
    </row>
    <row r="635" spans="2:9" hidden="1" outlineLevel="2">
      <c r="B635" s="276" t="s">
        <v>1713</v>
      </c>
      <c r="C635" s="81">
        <v>7987</v>
      </c>
      <c r="D635" s="81">
        <v>433</v>
      </c>
      <c r="E635" s="21">
        <v>10</v>
      </c>
      <c r="F635" s="36">
        <f t="shared" si="35"/>
        <v>0.433</v>
      </c>
      <c r="G635" s="201">
        <f t="shared" si="36"/>
        <v>3458.3710000000001</v>
      </c>
      <c r="H635" s="577">
        <f t="shared" si="37"/>
        <v>79870</v>
      </c>
    </row>
    <row r="636" spans="2:9" hidden="1" outlineLevel="2">
      <c r="B636" s="276" t="s">
        <v>1714</v>
      </c>
      <c r="C636" s="81">
        <v>8268</v>
      </c>
      <c r="D636" s="81">
        <v>242</v>
      </c>
      <c r="E636" s="21">
        <v>10</v>
      </c>
      <c r="F636" s="36">
        <f t="shared" si="35"/>
        <v>0.24199999999999999</v>
      </c>
      <c r="G636" s="201">
        <f t="shared" si="36"/>
        <v>2000.856</v>
      </c>
      <c r="H636" s="577">
        <f t="shared" si="37"/>
        <v>82680</v>
      </c>
    </row>
    <row r="637" spans="2:9" ht="14.5" hidden="1" outlineLevel="2" thickBot="1">
      <c r="B637" s="276" t="s">
        <v>1715</v>
      </c>
      <c r="C637" s="81">
        <v>4420</v>
      </c>
      <c r="D637" s="81">
        <v>474</v>
      </c>
      <c r="E637" s="21">
        <v>10</v>
      </c>
      <c r="F637" s="36">
        <f t="shared" si="35"/>
        <v>0.47399999999999998</v>
      </c>
      <c r="G637" s="201">
        <f t="shared" si="36"/>
        <v>2095.08</v>
      </c>
      <c r="H637" s="577">
        <f t="shared" si="37"/>
        <v>44200</v>
      </c>
    </row>
    <row r="638" spans="2:9" ht="14.5" hidden="1" outlineLevel="1" collapsed="1" thickBot="1">
      <c r="B638" s="282" t="s">
        <v>1716</v>
      </c>
      <c r="C638" s="799">
        <f>SUM(C483:C637)</f>
        <v>6492417</v>
      </c>
      <c r="D638" s="799"/>
      <c r="E638" s="799"/>
      <c r="F638" s="799"/>
      <c r="G638" s="799">
        <f>SUM(G483:G637)</f>
        <v>1163926.8685999999</v>
      </c>
      <c r="H638" s="469">
        <f>SUM(H483:H637)</f>
        <v>89497483</v>
      </c>
      <c r="I638" t="s">
        <v>1717</v>
      </c>
    </row>
    <row r="639" spans="2:9" hidden="1" outlineLevel="2">
      <c r="B639" s="276" t="s">
        <v>1718</v>
      </c>
      <c r="C639" s="81">
        <v>757</v>
      </c>
      <c r="D639" s="21">
        <v>100</v>
      </c>
      <c r="E639" s="21">
        <v>10</v>
      </c>
      <c r="F639" s="36">
        <f t="shared" si="35"/>
        <v>0.1</v>
      </c>
      <c r="G639" s="201">
        <f t="shared" si="36"/>
        <v>75.7</v>
      </c>
      <c r="H639" s="577">
        <f t="shared" si="37"/>
        <v>7570</v>
      </c>
    </row>
    <row r="640" spans="2:9" hidden="1" outlineLevel="2">
      <c r="B640" s="276" t="s">
        <v>1719</v>
      </c>
      <c r="C640" s="81">
        <v>8320</v>
      </c>
      <c r="D640" s="21">
        <v>100</v>
      </c>
      <c r="E640" s="21">
        <v>10</v>
      </c>
      <c r="F640" s="36">
        <f t="shared" si="35"/>
        <v>0.1</v>
      </c>
      <c r="G640" s="201">
        <f t="shared" si="36"/>
        <v>832</v>
      </c>
      <c r="H640" s="577">
        <f t="shared" si="37"/>
        <v>83200</v>
      </c>
    </row>
    <row r="641" spans="2:8" hidden="1" outlineLevel="2">
      <c r="B641" s="276" t="s">
        <v>1720</v>
      </c>
      <c r="C641" s="81">
        <v>650</v>
      </c>
      <c r="D641" s="21">
        <v>100</v>
      </c>
      <c r="E641" s="21">
        <v>10</v>
      </c>
      <c r="F641" s="36">
        <f t="shared" si="35"/>
        <v>0.1</v>
      </c>
      <c r="G641" s="201">
        <f t="shared" si="36"/>
        <v>65</v>
      </c>
      <c r="H641" s="577">
        <f t="shared" si="37"/>
        <v>6500</v>
      </c>
    </row>
    <row r="642" spans="2:8" hidden="1" outlineLevel="2">
      <c r="B642" s="276" t="s">
        <v>1721</v>
      </c>
      <c r="C642" s="81">
        <v>70559</v>
      </c>
      <c r="D642" s="21">
        <v>100</v>
      </c>
      <c r="E642" s="21">
        <v>10</v>
      </c>
      <c r="F642" s="36">
        <f t="shared" si="35"/>
        <v>0.1</v>
      </c>
      <c r="G642" s="201">
        <f t="shared" si="36"/>
        <v>7055.9000000000005</v>
      </c>
      <c r="H642" s="577">
        <f t="shared" si="37"/>
        <v>705590</v>
      </c>
    </row>
    <row r="643" spans="2:8" hidden="1" outlineLevel="2">
      <c r="B643" s="276" t="s">
        <v>1722</v>
      </c>
      <c r="C643" s="81">
        <v>12987</v>
      </c>
      <c r="D643" s="21">
        <v>100</v>
      </c>
      <c r="E643" s="21">
        <v>10</v>
      </c>
      <c r="F643" s="36">
        <f t="shared" si="35"/>
        <v>0.1</v>
      </c>
      <c r="G643" s="201">
        <f t="shared" si="36"/>
        <v>1298.7</v>
      </c>
      <c r="H643" s="577">
        <f t="shared" si="37"/>
        <v>129870</v>
      </c>
    </row>
    <row r="644" spans="2:8" hidden="1" outlineLevel="2">
      <c r="B644" s="276" t="s">
        <v>1723</v>
      </c>
      <c r="C644" s="81">
        <v>9151</v>
      </c>
      <c r="D644" s="21">
        <v>100</v>
      </c>
      <c r="E644" s="21">
        <v>10</v>
      </c>
      <c r="F644" s="36">
        <f t="shared" si="35"/>
        <v>0.1</v>
      </c>
      <c r="G644" s="201">
        <f t="shared" si="36"/>
        <v>915.1</v>
      </c>
      <c r="H644" s="577">
        <f t="shared" si="37"/>
        <v>91510</v>
      </c>
    </row>
    <row r="645" spans="2:8" hidden="1" outlineLevel="2">
      <c r="B645" s="276" t="s">
        <v>1724</v>
      </c>
      <c r="C645" s="81">
        <v>8129</v>
      </c>
      <c r="D645" s="21">
        <v>100</v>
      </c>
      <c r="E645" s="21">
        <v>10</v>
      </c>
      <c r="F645" s="36">
        <f t="shared" si="35"/>
        <v>0.1</v>
      </c>
      <c r="G645" s="201">
        <f t="shared" si="36"/>
        <v>812.90000000000009</v>
      </c>
      <c r="H645" s="577">
        <f t="shared" si="37"/>
        <v>81290</v>
      </c>
    </row>
    <row r="646" spans="2:8" hidden="1" outlineLevel="2">
      <c r="B646" s="276" t="s">
        <v>1725</v>
      </c>
      <c r="C646" s="81">
        <v>3096</v>
      </c>
      <c r="D646" s="21">
        <v>100</v>
      </c>
      <c r="E646" s="21">
        <v>10</v>
      </c>
      <c r="F646" s="36">
        <f t="shared" si="35"/>
        <v>0.1</v>
      </c>
      <c r="G646" s="201">
        <f t="shared" si="36"/>
        <v>309.60000000000002</v>
      </c>
      <c r="H646" s="577">
        <f t="shared" si="37"/>
        <v>30960</v>
      </c>
    </row>
    <row r="647" spans="2:8" hidden="1" outlineLevel="2">
      <c r="B647" s="276" t="s">
        <v>1726</v>
      </c>
      <c r="C647" s="81">
        <v>2279</v>
      </c>
      <c r="D647" s="21">
        <v>100</v>
      </c>
      <c r="E647" s="21">
        <v>10</v>
      </c>
      <c r="F647" s="36">
        <f t="shared" si="35"/>
        <v>0.1</v>
      </c>
      <c r="G647" s="201">
        <f t="shared" si="36"/>
        <v>227.9</v>
      </c>
      <c r="H647" s="577">
        <f t="shared" si="37"/>
        <v>22790</v>
      </c>
    </row>
    <row r="648" spans="2:8" hidden="1" outlineLevel="2">
      <c r="B648" s="276" t="s">
        <v>1727</v>
      </c>
      <c r="C648" s="81">
        <v>9038</v>
      </c>
      <c r="D648" s="21">
        <v>100</v>
      </c>
      <c r="E648" s="21">
        <v>10</v>
      </c>
      <c r="F648" s="36">
        <f t="shared" si="35"/>
        <v>0.1</v>
      </c>
      <c r="G648" s="201">
        <f t="shared" si="36"/>
        <v>903.80000000000007</v>
      </c>
      <c r="H648" s="577">
        <f t="shared" si="37"/>
        <v>90380</v>
      </c>
    </row>
    <row r="649" spans="2:8" hidden="1" outlineLevel="2">
      <c r="B649" s="276" t="s">
        <v>1728</v>
      </c>
      <c r="C649" s="81">
        <v>6204</v>
      </c>
      <c r="D649" s="21">
        <v>156</v>
      </c>
      <c r="E649" s="21">
        <v>10</v>
      </c>
      <c r="F649" s="36">
        <f t="shared" si="35"/>
        <v>0.156</v>
      </c>
      <c r="G649" s="201">
        <f t="shared" si="36"/>
        <v>967.82399999999996</v>
      </c>
      <c r="H649" s="577">
        <f t="shared" si="37"/>
        <v>62040</v>
      </c>
    </row>
    <row r="650" spans="2:8" hidden="1" outlineLevel="2">
      <c r="B650" s="276" t="s">
        <v>1729</v>
      </c>
      <c r="C650" s="81">
        <v>15646</v>
      </c>
      <c r="D650" s="21">
        <v>156</v>
      </c>
      <c r="E650" s="21">
        <v>10</v>
      </c>
      <c r="F650" s="36">
        <f t="shared" si="35"/>
        <v>0.156</v>
      </c>
      <c r="G650" s="201">
        <f t="shared" si="36"/>
        <v>2440.7759999999998</v>
      </c>
      <c r="H650" s="577">
        <f t="shared" si="37"/>
        <v>156460</v>
      </c>
    </row>
    <row r="651" spans="2:8" hidden="1" outlineLevel="2">
      <c r="B651" s="276" t="s">
        <v>1730</v>
      </c>
      <c r="C651" s="81">
        <v>7236</v>
      </c>
      <c r="D651" s="21">
        <v>156</v>
      </c>
      <c r="E651" s="21">
        <v>10</v>
      </c>
      <c r="F651" s="36">
        <f t="shared" si="35"/>
        <v>0.156</v>
      </c>
      <c r="G651" s="201">
        <f t="shared" si="36"/>
        <v>1128.816</v>
      </c>
      <c r="H651" s="577">
        <f t="shared" si="37"/>
        <v>72360</v>
      </c>
    </row>
    <row r="652" spans="2:8" hidden="1" outlineLevel="2">
      <c r="B652" s="276" t="s">
        <v>1731</v>
      </c>
      <c r="C652" s="81">
        <v>7210</v>
      </c>
      <c r="D652" s="21">
        <v>156</v>
      </c>
      <c r="E652" s="21">
        <v>10</v>
      </c>
      <c r="F652" s="36">
        <f t="shared" si="35"/>
        <v>0.156</v>
      </c>
      <c r="G652" s="201">
        <f t="shared" si="36"/>
        <v>1124.76</v>
      </c>
      <c r="H652" s="577">
        <f t="shared" si="37"/>
        <v>72100</v>
      </c>
    </row>
    <row r="653" spans="2:8" hidden="1" outlineLevel="2">
      <c r="B653" s="276" t="s">
        <v>1732</v>
      </c>
      <c r="C653" s="81">
        <v>796</v>
      </c>
      <c r="D653" s="21">
        <v>156</v>
      </c>
      <c r="E653" s="21">
        <v>10</v>
      </c>
      <c r="F653" s="36">
        <f t="shared" si="35"/>
        <v>0.156</v>
      </c>
      <c r="G653" s="201">
        <f t="shared" si="36"/>
        <v>124.176</v>
      </c>
      <c r="H653" s="577">
        <f t="shared" si="37"/>
        <v>7960</v>
      </c>
    </row>
    <row r="654" spans="2:8" hidden="1" outlineLevel="2">
      <c r="B654" s="276" t="s">
        <v>1733</v>
      </c>
      <c r="C654" s="81">
        <v>41386</v>
      </c>
      <c r="D654" s="21">
        <v>156</v>
      </c>
      <c r="E654" s="21">
        <v>10</v>
      </c>
      <c r="F654" s="36">
        <f t="shared" si="35"/>
        <v>0.156</v>
      </c>
      <c r="G654" s="201">
        <f t="shared" si="36"/>
        <v>6456.2160000000003</v>
      </c>
      <c r="H654" s="577">
        <f t="shared" si="37"/>
        <v>413860</v>
      </c>
    </row>
    <row r="655" spans="2:8" hidden="1" outlineLevel="2">
      <c r="B655" s="276" t="s">
        <v>1734</v>
      </c>
      <c r="C655" s="81">
        <v>2459</v>
      </c>
      <c r="D655" s="21">
        <v>225</v>
      </c>
      <c r="E655" s="21">
        <v>10</v>
      </c>
      <c r="F655" s="36">
        <f t="shared" si="35"/>
        <v>0.22500000000000001</v>
      </c>
      <c r="G655" s="201">
        <f t="shared" si="36"/>
        <v>553.27499999999998</v>
      </c>
      <c r="H655" s="577">
        <f t="shared" si="37"/>
        <v>24590</v>
      </c>
    </row>
    <row r="656" spans="2:8" hidden="1" outlineLevel="2">
      <c r="B656" s="276" t="s">
        <v>1735</v>
      </c>
      <c r="C656" s="81">
        <v>2902</v>
      </c>
      <c r="D656" s="21">
        <v>225</v>
      </c>
      <c r="E656" s="21">
        <v>10</v>
      </c>
      <c r="F656" s="36">
        <f t="shared" si="35"/>
        <v>0.22500000000000001</v>
      </c>
      <c r="G656" s="201">
        <f t="shared" si="36"/>
        <v>652.95000000000005</v>
      </c>
      <c r="H656" s="577">
        <f t="shared" si="37"/>
        <v>29020</v>
      </c>
    </row>
    <row r="657" spans="2:8" hidden="1" outlineLevel="2">
      <c r="B657" s="276" t="s">
        <v>1736</v>
      </c>
      <c r="C657" s="81">
        <v>178</v>
      </c>
      <c r="D657" s="21">
        <v>225</v>
      </c>
      <c r="E657" s="21">
        <v>10</v>
      </c>
      <c r="F657" s="36">
        <f t="shared" si="35"/>
        <v>0.22500000000000001</v>
      </c>
      <c r="G657" s="201">
        <f t="shared" si="36"/>
        <v>40.050000000000004</v>
      </c>
      <c r="H657" s="577">
        <f t="shared" si="37"/>
        <v>1780</v>
      </c>
    </row>
    <row r="658" spans="2:8" hidden="1" outlineLevel="2">
      <c r="B658" s="276" t="s">
        <v>1737</v>
      </c>
      <c r="C658" s="81">
        <v>5900</v>
      </c>
      <c r="D658" s="21">
        <v>225</v>
      </c>
      <c r="E658" s="21">
        <v>10</v>
      </c>
      <c r="F658" s="36">
        <f t="shared" si="35"/>
        <v>0.22500000000000001</v>
      </c>
      <c r="G658" s="201">
        <f t="shared" si="36"/>
        <v>1327.5</v>
      </c>
      <c r="H658" s="577">
        <f t="shared" si="37"/>
        <v>59000</v>
      </c>
    </row>
    <row r="659" spans="2:8" hidden="1" outlineLevel="2">
      <c r="B659" s="276" t="s">
        <v>1738</v>
      </c>
      <c r="C659" s="81">
        <v>15498</v>
      </c>
      <c r="D659" s="21">
        <v>225</v>
      </c>
      <c r="E659" s="21">
        <v>10</v>
      </c>
      <c r="F659" s="36">
        <f t="shared" si="35"/>
        <v>0.22500000000000001</v>
      </c>
      <c r="G659" s="201">
        <f t="shared" si="36"/>
        <v>3487.05</v>
      </c>
      <c r="H659" s="577">
        <f t="shared" si="37"/>
        <v>154980</v>
      </c>
    </row>
    <row r="660" spans="2:8" hidden="1" outlineLevel="2">
      <c r="B660" s="276" t="s">
        <v>1739</v>
      </c>
      <c r="C660" s="81">
        <v>716</v>
      </c>
      <c r="D660" s="21">
        <v>400</v>
      </c>
      <c r="E660" s="21">
        <v>10</v>
      </c>
      <c r="F660" s="36">
        <f t="shared" si="35"/>
        <v>0.4</v>
      </c>
      <c r="G660" s="201">
        <f t="shared" si="36"/>
        <v>286.40000000000003</v>
      </c>
      <c r="H660" s="577">
        <f t="shared" si="37"/>
        <v>7160</v>
      </c>
    </row>
    <row r="661" spans="2:8" hidden="1" outlineLevel="2">
      <c r="B661" s="276" t="s">
        <v>1740</v>
      </c>
      <c r="C661" s="81">
        <v>1840</v>
      </c>
      <c r="D661" s="21">
        <v>400</v>
      </c>
      <c r="E661" s="21">
        <v>10</v>
      </c>
      <c r="F661" s="36">
        <f t="shared" si="35"/>
        <v>0.4</v>
      </c>
      <c r="G661" s="201">
        <f t="shared" si="36"/>
        <v>736</v>
      </c>
      <c r="H661" s="577">
        <f t="shared" si="37"/>
        <v>18400</v>
      </c>
    </row>
    <row r="662" spans="2:8" hidden="1" outlineLevel="2">
      <c r="B662" s="276" t="s">
        <v>1741</v>
      </c>
      <c r="C662" s="81">
        <v>3590</v>
      </c>
      <c r="D662" s="21">
        <v>400</v>
      </c>
      <c r="E662" s="21">
        <v>10</v>
      </c>
      <c r="F662" s="36">
        <f t="shared" si="35"/>
        <v>0.4</v>
      </c>
      <c r="G662" s="201">
        <f t="shared" si="36"/>
        <v>1436</v>
      </c>
      <c r="H662" s="577">
        <f t="shared" si="37"/>
        <v>35900</v>
      </c>
    </row>
    <row r="663" spans="2:8" hidden="1" outlineLevel="2">
      <c r="B663" s="276" t="s">
        <v>1742</v>
      </c>
      <c r="C663" s="81">
        <v>136</v>
      </c>
      <c r="D663" s="21">
        <v>400</v>
      </c>
      <c r="E663" s="21">
        <v>10</v>
      </c>
      <c r="F663" s="36">
        <f t="shared" si="35"/>
        <v>0.4</v>
      </c>
      <c r="G663" s="201">
        <f t="shared" si="36"/>
        <v>54.400000000000006</v>
      </c>
      <c r="H663" s="577">
        <f t="shared" si="37"/>
        <v>1360</v>
      </c>
    </row>
    <row r="664" spans="2:8" hidden="1" outlineLevel="2">
      <c r="B664" s="276" t="s">
        <v>1743</v>
      </c>
      <c r="C664" s="81">
        <v>5327</v>
      </c>
      <c r="D664" s="21">
        <v>400</v>
      </c>
      <c r="E664" s="21">
        <v>10</v>
      </c>
      <c r="F664" s="36">
        <f t="shared" si="35"/>
        <v>0.4</v>
      </c>
      <c r="G664" s="201">
        <f t="shared" si="36"/>
        <v>2130.8000000000002</v>
      </c>
      <c r="H664" s="577">
        <f t="shared" si="37"/>
        <v>53270</v>
      </c>
    </row>
    <row r="665" spans="2:8" hidden="1" outlineLevel="2">
      <c r="B665" s="276" t="s">
        <v>1744</v>
      </c>
      <c r="C665" s="81">
        <v>4993</v>
      </c>
      <c r="D665" s="21">
        <v>400</v>
      </c>
      <c r="E665" s="21">
        <v>10</v>
      </c>
      <c r="F665" s="36">
        <f t="shared" si="35"/>
        <v>0.4</v>
      </c>
      <c r="G665" s="201">
        <f t="shared" si="36"/>
        <v>1997.2</v>
      </c>
      <c r="H665" s="577">
        <f t="shared" si="37"/>
        <v>49930</v>
      </c>
    </row>
    <row r="666" spans="2:8" hidden="1" outlineLevel="2">
      <c r="B666" s="276" t="s">
        <v>1745</v>
      </c>
      <c r="C666" s="81">
        <v>6337</v>
      </c>
      <c r="D666" s="21">
        <v>400</v>
      </c>
      <c r="E666" s="21">
        <v>10</v>
      </c>
      <c r="F666" s="36">
        <f t="shared" si="35"/>
        <v>0.4</v>
      </c>
      <c r="G666" s="201">
        <f t="shared" si="36"/>
        <v>2534.8000000000002</v>
      </c>
      <c r="H666" s="577">
        <f t="shared" si="37"/>
        <v>63370</v>
      </c>
    </row>
    <row r="667" spans="2:8" hidden="1" outlineLevel="2">
      <c r="B667" s="276" t="s">
        <v>1746</v>
      </c>
      <c r="C667" s="81">
        <v>3995</v>
      </c>
      <c r="D667" s="21">
        <v>400</v>
      </c>
      <c r="E667" s="21">
        <v>10</v>
      </c>
      <c r="F667" s="36">
        <f t="shared" si="35"/>
        <v>0.4</v>
      </c>
      <c r="G667" s="201">
        <f t="shared" si="36"/>
        <v>1598</v>
      </c>
      <c r="H667" s="577">
        <f t="shared" si="37"/>
        <v>39950</v>
      </c>
    </row>
    <row r="668" spans="2:8" hidden="1" outlineLevel="2">
      <c r="B668" s="276" t="s">
        <v>1747</v>
      </c>
      <c r="C668" s="81">
        <v>617</v>
      </c>
      <c r="D668" s="21">
        <v>400</v>
      </c>
      <c r="E668" s="21">
        <v>10</v>
      </c>
      <c r="F668" s="36">
        <f t="shared" si="35"/>
        <v>0.4</v>
      </c>
      <c r="G668" s="201">
        <f t="shared" si="36"/>
        <v>246.8</v>
      </c>
      <c r="H668" s="577">
        <f t="shared" si="37"/>
        <v>6170</v>
      </c>
    </row>
    <row r="669" spans="2:8" hidden="1" outlineLevel="2">
      <c r="B669" s="276" t="s">
        <v>1748</v>
      </c>
      <c r="C669" s="81">
        <v>2708</v>
      </c>
      <c r="D669" s="21">
        <v>400</v>
      </c>
      <c r="E669" s="21">
        <v>10</v>
      </c>
      <c r="F669" s="36">
        <f t="shared" si="35"/>
        <v>0.4</v>
      </c>
      <c r="G669" s="201">
        <f t="shared" si="36"/>
        <v>1083.2</v>
      </c>
      <c r="H669" s="577">
        <f t="shared" si="37"/>
        <v>27080</v>
      </c>
    </row>
    <row r="670" spans="2:8" hidden="1" outlineLevel="2">
      <c r="B670" s="276" t="s">
        <v>1749</v>
      </c>
      <c r="C670" s="81">
        <v>10565</v>
      </c>
      <c r="D670" s="81">
        <v>63</v>
      </c>
      <c r="E670" s="21">
        <v>10</v>
      </c>
      <c r="F670" s="36">
        <f t="shared" si="35"/>
        <v>6.3E-2</v>
      </c>
      <c r="G670" s="201">
        <f t="shared" si="36"/>
        <v>665.59500000000003</v>
      </c>
      <c r="H670" s="577">
        <f t="shared" si="37"/>
        <v>105650</v>
      </c>
    </row>
    <row r="671" spans="2:8" hidden="1" outlineLevel="2">
      <c r="B671" s="276" t="s">
        <v>1750</v>
      </c>
      <c r="C671" s="81">
        <v>2366</v>
      </c>
      <c r="D671" s="81">
        <v>100</v>
      </c>
      <c r="E671" s="21">
        <v>10</v>
      </c>
      <c r="F671" s="36">
        <f t="shared" si="35"/>
        <v>0.1</v>
      </c>
      <c r="G671" s="201">
        <f t="shared" si="36"/>
        <v>236.60000000000002</v>
      </c>
      <c r="H671" s="577">
        <f t="shared" si="37"/>
        <v>23660</v>
      </c>
    </row>
    <row r="672" spans="2:8" hidden="1" outlineLevel="2">
      <c r="B672" s="276" t="s">
        <v>1751</v>
      </c>
      <c r="C672" s="81">
        <v>3875</v>
      </c>
      <c r="D672" s="81">
        <v>100</v>
      </c>
      <c r="E672" s="21">
        <v>10</v>
      </c>
      <c r="F672" s="36">
        <f t="shared" si="35"/>
        <v>0.1</v>
      </c>
      <c r="G672" s="201">
        <f t="shared" si="36"/>
        <v>387.5</v>
      </c>
      <c r="H672" s="577">
        <f t="shared" si="37"/>
        <v>38750</v>
      </c>
    </row>
    <row r="673" spans="2:8" hidden="1" outlineLevel="2">
      <c r="B673" s="276" t="s">
        <v>1752</v>
      </c>
      <c r="C673" s="81">
        <v>1457</v>
      </c>
      <c r="D673" s="81">
        <v>400</v>
      </c>
      <c r="E673" s="21">
        <v>10</v>
      </c>
      <c r="F673" s="36">
        <f t="shared" si="35"/>
        <v>0.4</v>
      </c>
      <c r="G673" s="201">
        <f t="shared" si="36"/>
        <v>582.80000000000007</v>
      </c>
      <c r="H673" s="577">
        <f t="shared" si="37"/>
        <v>14570</v>
      </c>
    </row>
    <row r="674" spans="2:8" hidden="1" outlineLevel="2">
      <c r="B674" s="276" t="s">
        <v>1753</v>
      </c>
      <c r="C674" s="81">
        <v>3319</v>
      </c>
      <c r="D674" s="81">
        <v>156</v>
      </c>
      <c r="E674" s="21">
        <v>10</v>
      </c>
      <c r="F674" s="36">
        <f t="shared" si="35"/>
        <v>0.156</v>
      </c>
      <c r="G674" s="201">
        <f t="shared" si="36"/>
        <v>517.76400000000001</v>
      </c>
      <c r="H674" s="577">
        <f t="shared" si="37"/>
        <v>33190</v>
      </c>
    </row>
    <row r="675" spans="2:8" hidden="1" outlineLevel="2">
      <c r="B675" s="276" t="s">
        <v>1754</v>
      </c>
      <c r="C675" s="81">
        <v>1375</v>
      </c>
      <c r="D675" s="81">
        <v>225</v>
      </c>
      <c r="E675" s="21">
        <v>10</v>
      </c>
      <c r="F675" s="36">
        <f t="shared" si="35"/>
        <v>0.22500000000000001</v>
      </c>
      <c r="G675" s="201">
        <f t="shared" si="36"/>
        <v>309.375</v>
      </c>
      <c r="H675" s="577">
        <f t="shared" si="37"/>
        <v>13750</v>
      </c>
    </row>
    <row r="676" spans="2:8" hidden="1" outlineLevel="2">
      <c r="B676" s="276" t="s">
        <v>1755</v>
      </c>
      <c r="C676" s="81">
        <v>761</v>
      </c>
      <c r="D676" s="81">
        <v>225</v>
      </c>
      <c r="E676" s="21">
        <v>10</v>
      </c>
      <c r="F676" s="36">
        <f t="shared" si="35"/>
        <v>0.22500000000000001</v>
      </c>
      <c r="G676" s="201">
        <f t="shared" si="36"/>
        <v>171.22499999999999</v>
      </c>
      <c r="H676" s="577">
        <f t="shared" si="37"/>
        <v>7610</v>
      </c>
    </row>
    <row r="677" spans="2:8" hidden="1" outlineLevel="2">
      <c r="B677" s="276" t="s">
        <v>1756</v>
      </c>
      <c r="C677" s="81">
        <v>1134</v>
      </c>
      <c r="D677" s="81">
        <v>460</v>
      </c>
      <c r="E677" s="21">
        <v>10</v>
      </c>
      <c r="F677" s="36">
        <f t="shared" si="35"/>
        <v>0.46</v>
      </c>
      <c r="G677" s="201">
        <f t="shared" si="36"/>
        <v>521.64</v>
      </c>
      <c r="H677" s="577">
        <f t="shared" si="37"/>
        <v>11340</v>
      </c>
    </row>
    <row r="678" spans="2:8" hidden="1" outlineLevel="2">
      <c r="B678" s="276" t="s">
        <v>1757</v>
      </c>
      <c r="C678" s="81">
        <v>2978</v>
      </c>
      <c r="D678" s="81">
        <v>200</v>
      </c>
      <c r="E678" s="21">
        <v>10</v>
      </c>
      <c r="F678" s="36">
        <f t="shared" si="35"/>
        <v>0.2</v>
      </c>
      <c r="G678" s="201">
        <f t="shared" si="36"/>
        <v>595.6</v>
      </c>
      <c r="H678" s="577">
        <f t="shared" si="37"/>
        <v>29780</v>
      </c>
    </row>
    <row r="679" spans="2:8" hidden="1" outlineLevel="2">
      <c r="B679" s="276" t="s">
        <v>1758</v>
      </c>
      <c r="C679" s="81">
        <v>1196</v>
      </c>
      <c r="D679" s="81">
        <v>120</v>
      </c>
      <c r="E679" s="21">
        <v>10</v>
      </c>
      <c r="F679" s="36">
        <f t="shared" si="35"/>
        <v>0.12</v>
      </c>
      <c r="G679" s="201">
        <f t="shared" si="36"/>
        <v>143.51999999999998</v>
      </c>
      <c r="H679" s="577">
        <f t="shared" si="37"/>
        <v>11960</v>
      </c>
    </row>
    <row r="680" spans="2:8" hidden="1" outlineLevel="2">
      <c r="B680" s="276" t="s">
        <v>1759</v>
      </c>
      <c r="C680" s="81">
        <v>1361</v>
      </c>
      <c r="D680" s="21">
        <v>200</v>
      </c>
      <c r="E680" s="21">
        <v>10</v>
      </c>
      <c r="F680" s="36">
        <f t="shared" si="35"/>
        <v>0.2</v>
      </c>
      <c r="G680" s="201">
        <f t="shared" si="36"/>
        <v>272.2</v>
      </c>
      <c r="H680" s="577">
        <f t="shared" si="37"/>
        <v>13610</v>
      </c>
    </row>
    <row r="681" spans="2:8" hidden="1" outlineLevel="2">
      <c r="B681" s="276" t="s">
        <v>1760</v>
      </c>
      <c r="C681" s="81">
        <v>3036</v>
      </c>
      <c r="D681" s="21">
        <v>200</v>
      </c>
      <c r="E681" s="21">
        <v>10</v>
      </c>
      <c r="F681" s="36">
        <f t="shared" si="35"/>
        <v>0.2</v>
      </c>
      <c r="G681" s="201">
        <f t="shared" si="36"/>
        <v>607.20000000000005</v>
      </c>
      <c r="H681" s="577">
        <f t="shared" si="37"/>
        <v>30360</v>
      </c>
    </row>
    <row r="682" spans="2:8" hidden="1" outlineLevel="2">
      <c r="B682" s="276" t="s">
        <v>1761</v>
      </c>
      <c r="C682" s="81">
        <v>148</v>
      </c>
      <c r="D682" s="21">
        <v>200</v>
      </c>
      <c r="E682" s="21">
        <v>10</v>
      </c>
      <c r="F682" s="36">
        <f t="shared" si="35"/>
        <v>0.2</v>
      </c>
      <c r="G682" s="201">
        <f t="shared" si="36"/>
        <v>29.6</v>
      </c>
      <c r="H682" s="577">
        <f t="shared" si="37"/>
        <v>1480</v>
      </c>
    </row>
    <row r="683" spans="2:8" hidden="1" outlineLevel="2">
      <c r="B683" s="276" t="s">
        <v>1762</v>
      </c>
      <c r="C683" s="81">
        <v>72900</v>
      </c>
      <c r="D683" s="21">
        <v>200</v>
      </c>
      <c r="E683" s="21">
        <v>10</v>
      </c>
      <c r="F683" s="36">
        <f t="shared" si="35"/>
        <v>0.2</v>
      </c>
      <c r="G683" s="201">
        <f t="shared" si="36"/>
        <v>14580</v>
      </c>
      <c r="H683" s="577">
        <f t="shared" si="37"/>
        <v>729000</v>
      </c>
    </row>
    <row r="684" spans="2:8" hidden="1" outlineLevel="2">
      <c r="B684" s="276" t="s">
        <v>1763</v>
      </c>
      <c r="C684" s="81">
        <v>12389</v>
      </c>
      <c r="D684" s="21">
        <v>200</v>
      </c>
      <c r="E684" s="21">
        <v>10</v>
      </c>
      <c r="F684" s="36">
        <f t="shared" si="35"/>
        <v>0.2</v>
      </c>
      <c r="G684" s="201">
        <f t="shared" si="36"/>
        <v>2477.8000000000002</v>
      </c>
      <c r="H684" s="577">
        <f t="shared" si="37"/>
        <v>123890</v>
      </c>
    </row>
    <row r="685" spans="2:8" hidden="1" outlineLevel="2">
      <c r="B685" s="276" t="s">
        <v>1764</v>
      </c>
      <c r="C685" s="81">
        <v>9886</v>
      </c>
      <c r="D685" s="21">
        <v>200</v>
      </c>
      <c r="E685" s="21">
        <v>10</v>
      </c>
      <c r="F685" s="36">
        <f t="shared" si="35"/>
        <v>0.2</v>
      </c>
      <c r="G685" s="201">
        <f t="shared" si="36"/>
        <v>1977.2</v>
      </c>
      <c r="H685" s="577">
        <f t="shared" si="37"/>
        <v>98860</v>
      </c>
    </row>
    <row r="686" spans="2:8" hidden="1" outlineLevel="2">
      <c r="B686" s="276" t="s">
        <v>1765</v>
      </c>
      <c r="C686" s="81">
        <v>7567</v>
      </c>
      <c r="D686" s="21">
        <v>200</v>
      </c>
      <c r="E686" s="21">
        <v>10</v>
      </c>
      <c r="F686" s="36">
        <f t="shared" si="35"/>
        <v>0.2</v>
      </c>
      <c r="G686" s="201">
        <f t="shared" si="36"/>
        <v>1513.4</v>
      </c>
      <c r="H686" s="577">
        <f t="shared" si="37"/>
        <v>75670</v>
      </c>
    </row>
    <row r="687" spans="2:8" hidden="1" outlineLevel="2">
      <c r="B687" s="276" t="s">
        <v>1766</v>
      </c>
      <c r="C687" s="81">
        <v>1073</v>
      </c>
      <c r="D687" s="21">
        <v>200</v>
      </c>
      <c r="E687" s="21">
        <v>10</v>
      </c>
      <c r="F687" s="36">
        <f t="shared" si="35"/>
        <v>0.2</v>
      </c>
      <c r="G687" s="201">
        <f t="shared" si="36"/>
        <v>214.60000000000002</v>
      </c>
      <c r="H687" s="577">
        <f t="shared" si="37"/>
        <v>10730</v>
      </c>
    </row>
    <row r="688" spans="2:8" hidden="1" outlineLevel="2">
      <c r="B688" s="276" t="s">
        <v>1767</v>
      </c>
      <c r="C688" s="81">
        <v>2726</v>
      </c>
      <c r="D688" s="21">
        <v>200</v>
      </c>
      <c r="E688" s="21">
        <v>10</v>
      </c>
      <c r="F688" s="36">
        <f t="shared" si="35"/>
        <v>0.2</v>
      </c>
      <c r="G688" s="201">
        <f t="shared" si="36"/>
        <v>545.20000000000005</v>
      </c>
      <c r="H688" s="577">
        <f t="shared" si="37"/>
        <v>27260</v>
      </c>
    </row>
    <row r="689" spans="2:8" hidden="1" outlineLevel="2">
      <c r="B689" s="276" t="s">
        <v>1768</v>
      </c>
      <c r="C689" s="81">
        <v>54375</v>
      </c>
      <c r="D689" s="81">
        <v>460</v>
      </c>
      <c r="E689" s="21">
        <v>10</v>
      </c>
      <c r="F689" s="36">
        <f t="shared" ref="F689:F719" si="38">E689*D689/10000</f>
        <v>0.46</v>
      </c>
      <c r="G689" s="201">
        <f t="shared" ref="G689:G719" si="39">F689*C689</f>
        <v>25012.5</v>
      </c>
      <c r="H689" s="577">
        <f t="shared" ref="H689:H719" si="40">E689*C689</f>
        <v>543750</v>
      </c>
    </row>
    <row r="690" spans="2:8" hidden="1" outlineLevel="2">
      <c r="B690" s="276" t="s">
        <v>1769</v>
      </c>
      <c r="C690" s="81">
        <v>4921</v>
      </c>
      <c r="D690" s="81">
        <v>460</v>
      </c>
      <c r="E690" s="21">
        <v>10</v>
      </c>
      <c r="F690" s="36">
        <f t="shared" si="38"/>
        <v>0.46</v>
      </c>
      <c r="G690" s="201">
        <f t="shared" si="39"/>
        <v>2263.6600000000003</v>
      </c>
      <c r="H690" s="577">
        <f t="shared" si="40"/>
        <v>49210</v>
      </c>
    </row>
    <row r="691" spans="2:8" hidden="1" outlineLevel="2">
      <c r="B691" s="276" t="s">
        <v>1770</v>
      </c>
      <c r="C691" s="81">
        <v>3103</v>
      </c>
      <c r="D691" s="81">
        <v>460</v>
      </c>
      <c r="E691" s="21">
        <v>10</v>
      </c>
      <c r="F691" s="36">
        <f t="shared" si="38"/>
        <v>0.46</v>
      </c>
      <c r="G691" s="201">
        <f t="shared" si="39"/>
        <v>1427.38</v>
      </c>
      <c r="H691" s="577">
        <f t="shared" si="40"/>
        <v>31030</v>
      </c>
    </row>
    <row r="692" spans="2:8" hidden="1" outlineLevel="2">
      <c r="B692" s="276" t="s">
        <v>1771</v>
      </c>
      <c r="C692" s="81">
        <v>3412</v>
      </c>
      <c r="D692" s="81">
        <v>460</v>
      </c>
      <c r="E692" s="21">
        <v>10</v>
      </c>
      <c r="F692" s="36">
        <f t="shared" si="38"/>
        <v>0.46</v>
      </c>
      <c r="G692" s="201">
        <f t="shared" si="39"/>
        <v>1569.52</v>
      </c>
      <c r="H692" s="577">
        <f t="shared" si="40"/>
        <v>34120</v>
      </c>
    </row>
    <row r="693" spans="2:8" hidden="1" outlineLevel="2">
      <c r="B693" s="276" t="s">
        <v>1772</v>
      </c>
      <c r="C693" s="81">
        <v>3483</v>
      </c>
      <c r="D693" s="81">
        <v>50</v>
      </c>
      <c r="E693" s="21">
        <v>10</v>
      </c>
      <c r="F693" s="36">
        <f t="shared" si="38"/>
        <v>0.05</v>
      </c>
      <c r="G693" s="201">
        <f t="shared" si="39"/>
        <v>174.15</v>
      </c>
      <c r="H693" s="577">
        <f t="shared" si="40"/>
        <v>34830</v>
      </c>
    </row>
    <row r="694" spans="2:8" hidden="1" outlineLevel="2">
      <c r="B694" s="276" t="s">
        <v>1773</v>
      </c>
      <c r="C694" s="81">
        <v>26</v>
      </c>
      <c r="D694" s="81">
        <v>300</v>
      </c>
      <c r="E694" s="21">
        <v>10</v>
      </c>
      <c r="F694" s="36">
        <f t="shared" si="38"/>
        <v>0.3</v>
      </c>
      <c r="G694" s="201">
        <f t="shared" si="39"/>
        <v>7.8</v>
      </c>
      <c r="H694" s="577">
        <f t="shared" si="40"/>
        <v>260</v>
      </c>
    </row>
    <row r="695" spans="2:8" hidden="1" outlineLevel="2">
      <c r="B695" s="276" t="s">
        <v>1774</v>
      </c>
      <c r="C695" s="81">
        <v>57333</v>
      </c>
      <c r="D695" s="81">
        <v>300</v>
      </c>
      <c r="E695" s="21">
        <v>10</v>
      </c>
      <c r="F695" s="36">
        <f t="shared" si="38"/>
        <v>0.3</v>
      </c>
      <c r="G695" s="201">
        <f t="shared" si="39"/>
        <v>17199.899999999998</v>
      </c>
      <c r="H695" s="577">
        <f t="shared" si="40"/>
        <v>573330</v>
      </c>
    </row>
    <row r="696" spans="2:8" hidden="1" outlineLevel="2">
      <c r="B696" s="276" t="s">
        <v>1775</v>
      </c>
      <c r="C696" s="81">
        <v>8999</v>
      </c>
      <c r="D696" s="81">
        <v>300</v>
      </c>
      <c r="E696" s="21">
        <v>10</v>
      </c>
      <c r="F696" s="36">
        <f t="shared" si="38"/>
        <v>0.3</v>
      </c>
      <c r="G696" s="201">
        <f t="shared" si="39"/>
        <v>2699.7</v>
      </c>
      <c r="H696" s="577">
        <f t="shared" si="40"/>
        <v>89990</v>
      </c>
    </row>
    <row r="697" spans="2:8" hidden="1" outlineLevel="2">
      <c r="B697" s="276" t="s">
        <v>1776</v>
      </c>
      <c r="C697" s="81">
        <v>2676</v>
      </c>
      <c r="D697" s="81">
        <v>300</v>
      </c>
      <c r="E697" s="21">
        <v>10</v>
      </c>
      <c r="F697" s="36">
        <f t="shared" si="38"/>
        <v>0.3</v>
      </c>
      <c r="G697" s="201">
        <f t="shared" si="39"/>
        <v>802.8</v>
      </c>
      <c r="H697" s="577">
        <f t="shared" si="40"/>
        <v>26760</v>
      </c>
    </row>
    <row r="698" spans="2:8" hidden="1" outlineLevel="2">
      <c r="B698" s="276" t="s">
        <v>1777</v>
      </c>
      <c r="C698" s="81">
        <v>3381</v>
      </c>
      <c r="D698" s="81">
        <v>300</v>
      </c>
      <c r="E698" s="21">
        <v>10</v>
      </c>
      <c r="F698" s="36">
        <f t="shared" si="38"/>
        <v>0.3</v>
      </c>
      <c r="G698" s="201">
        <f t="shared" si="39"/>
        <v>1014.3</v>
      </c>
      <c r="H698" s="577">
        <f t="shared" si="40"/>
        <v>33810</v>
      </c>
    </row>
    <row r="699" spans="2:8" hidden="1" outlineLevel="2">
      <c r="B699" s="276" t="s">
        <v>1778</v>
      </c>
      <c r="C699" s="81">
        <v>29492</v>
      </c>
      <c r="D699" s="81">
        <v>300</v>
      </c>
      <c r="E699" s="21">
        <v>10</v>
      </c>
      <c r="F699" s="36">
        <f t="shared" si="38"/>
        <v>0.3</v>
      </c>
      <c r="G699" s="201">
        <f t="shared" si="39"/>
        <v>8847.6</v>
      </c>
      <c r="H699" s="577">
        <f t="shared" si="40"/>
        <v>294920</v>
      </c>
    </row>
    <row r="700" spans="2:8" hidden="1" outlineLevel="2">
      <c r="B700" s="276" t="s">
        <v>1779</v>
      </c>
      <c r="C700" s="81">
        <v>8319</v>
      </c>
      <c r="D700" s="81">
        <v>300</v>
      </c>
      <c r="E700" s="21">
        <v>10</v>
      </c>
      <c r="F700" s="36">
        <f t="shared" si="38"/>
        <v>0.3</v>
      </c>
      <c r="G700" s="201">
        <f t="shared" si="39"/>
        <v>2495.6999999999998</v>
      </c>
      <c r="H700" s="577">
        <f t="shared" si="40"/>
        <v>83190</v>
      </c>
    </row>
    <row r="701" spans="2:8" hidden="1" outlineLevel="2">
      <c r="B701" s="276" t="s">
        <v>1780</v>
      </c>
      <c r="C701" s="81">
        <v>3154</v>
      </c>
      <c r="D701" s="81">
        <v>300</v>
      </c>
      <c r="E701" s="21">
        <v>10</v>
      </c>
      <c r="F701" s="36">
        <f t="shared" si="38"/>
        <v>0.3</v>
      </c>
      <c r="G701" s="201">
        <f t="shared" si="39"/>
        <v>946.19999999999993</v>
      </c>
      <c r="H701" s="577">
        <f t="shared" si="40"/>
        <v>31540</v>
      </c>
    </row>
    <row r="702" spans="2:8" hidden="1" outlineLevel="2">
      <c r="B702" s="276" t="s">
        <v>1781</v>
      </c>
      <c r="C702" s="81">
        <v>2627</v>
      </c>
      <c r="D702" s="81">
        <v>300</v>
      </c>
      <c r="E702" s="21">
        <v>10</v>
      </c>
      <c r="F702" s="36">
        <f t="shared" si="38"/>
        <v>0.3</v>
      </c>
      <c r="G702" s="201">
        <f t="shared" si="39"/>
        <v>788.1</v>
      </c>
      <c r="H702" s="577">
        <f t="shared" si="40"/>
        <v>26270</v>
      </c>
    </row>
    <row r="703" spans="2:8" hidden="1" outlineLevel="2">
      <c r="B703" s="276" t="s">
        <v>1782</v>
      </c>
      <c r="C703" s="81">
        <v>654</v>
      </c>
      <c r="D703" s="81">
        <v>300</v>
      </c>
      <c r="E703" s="21">
        <v>10</v>
      </c>
      <c r="F703" s="36">
        <f t="shared" si="38"/>
        <v>0.3</v>
      </c>
      <c r="G703" s="201">
        <f t="shared" si="39"/>
        <v>196.2</v>
      </c>
      <c r="H703" s="577">
        <f t="shared" si="40"/>
        <v>6540</v>
      </c>
    </row>
    <row r="704" spans="2:8" hidden="1" outlineLevel="2">
      <c r="B704" s="276" t="s">
        <v>1783</v>
      </c>
      <c r="C704" s="81">
        <v>2406</v>
      </c>
      <c r="D704" s="21">
        <v>600</v>
      </c>
      <c r="E704" s="21">
        <v>10</v>
      </c>
      <c r="F704" s="36">
        <f t="shared" si="38"/>
        <v>0.6</v>
      </c>
      <c r="G704" s="201">
        <f t="shared" si="39"/>
        <v>1443.6</v>
      </c>
      <c r="H704" s="577">
        <f t="shared" si="40"/>
        <v>24060</v>
      </c>
    </row>
    <row r="705" spans="2:9" hidden="1" outlineLevel="2">
      <c r="B705" s="276" t="s">
        <v>1784</v>
      </c>
      <c r="C705" s="81">
        <v>2348</v>
      </c>
      <c r="D705" s="21">
        <v>600</v>
      </c>
      <c r="E705" s="21">
        <v>10</v>
      </c>
      <c r="F705" s="36">
        <f t="shared" si="38"/>
        <v>0.6</v>
      </c>
      <c r="G705" s="201">
        <f t="shared" si="39"/>
        <v>1408.8</v>
      </c>
      <c r="H705" s="577">
        <f t="shared" si="40"/>
        <v>23480</v>
      </c>
    </row>
    <row r="706" spans="2:9" hidden="1" outlineLevel="2">
      <c r="B706" s="276" t="s">
        <v>1785</v>
      </c>
      <c r="C706" s="81">
        <v>3393</v>
      </c>
      <c r="D706" s="21">
        <v>600</v>
      </c>
      <c r="E706" s="21">
        <v>10</v>
      </c>
      <c r="F706" s="36">
        <f t="shared" si="38"/>
        <v>0.6</v>
      </c>
      <c r="G706" s="201">
        <f t="shared" si="39"/>
        <v>2035.8</v>
      </c>
      <c r="H706" s="577">
        <f t="shared" si="40"/>
        <v>33930</v>
      </c>
    </row>
    <row r="707" spans="2:9" hidden="1" outlineLevel="2">
      <c r="B707" s="276" t="s">
        <v>1786</v>
      </c>
      <c r="C707" s="81">
        <v>517</v>
      </c>
      <c r="D707" s="21">
        <v>600</v>
      </c>
      <c r="E707" s="21">
        <v>10</v>
      </c>
      <c r="F707" s="36">
        <f t="shared" si="38"/>
        <v>0.6</v>
      </c>
      <c r="G707" s="201">
        <f t="shared" si="39"/>
        <v>310.2</v>
      </c>
      <c r="H707" s="577">
        <f t="shared" si="40"/>
        <v>5170</v>
      </c>
    </row>
    <row r="708" spans="2:9" hidden="1" outlineLevel="2">
      <c r="B708" s="276" t="s">
        <v>1787</v>
      </c>
      <c r="C708" s="81">
        <v>55479</v>
      </c>
      <c r="D708" s="21">
        <v>600</v>
      </c>
      <c r="E708" s="21">
        <v>10</v>
      </c>
      <c r="F708" s="36">
        <f t="shared" si="38"/>
        <v>0.6</v>
      </c>
      <c r="G708" s="201">
        <f t="shared" si="39"/>
        <v>33287.4</v>
      </c>
      <c r="H708" s="577">
        <f t="shared" si="40"/>
        <v>554790</v>
      </c>
    </row>
    <row r="709" spans="2:9" hidden="1" outlineLevel="2">
      <c r="B709" s="276" t="s">
        <v>1788</v>
      </c>
      <c r="C709" s="81">
        <v>9058</v>
      </c>
      <c r="D709" s="21">
        <v>600</v>
      </c>
      <c r="E709" s="21">
        <v>10</v>
      </c>
      <c r="F709" s="36">
        <f t="shared" si="38"/>
        <v>0.6</v>
      </c>
      <c r="G709" s="201">
        <f t="shared" si="39"/>
        <v>5434.8</v>
      </c>
      <c r="H709" s="577">
        <f t="shared" si="40"/>
        <v>90580</v>
      </c>
    </row>
    <row r="710" spans="2:9" hidden="1" outlineLevel="2">
      <c r="B710" s="276" t="s">
        <v>1789</v>
      </c>
      <c r="C710" s="81">
        <v>10900</v>
      </c>
      <c r="D710" s="21">
        <v>600</v>
      </c>
      <c r="E710" s="21">
        <v>10</v>
      </c>
      <c r="F710" s="36">
        <f t="shared" si="38"/>
        <v>0.6</v>
      </c>
      <c r="G710" s="201">
        <f t="shared" si="39"/>
        <v>6540</v>
      </c>
      <c r="H710" s="577">
        <f t="shared" si="40"/>
        <v>109000</v>
      </c>
    </row>
    <row r="711" spans="2:9" hidden="1" outlineLevel="2">
      <c r="B711" s="276" t="s">
        <v>1790</v>
      </c>
      <c r="C711" s="81">
        <v>16899</v>
      </c>
      <c r="D711" s="21">
        <v>600</v>
      </c>
      <c r="E711" s="21">
        <v>10</v>
      </c>
      <c r="F711" s="36">
        <f t="shared" si="38"/>
        <v>0.6</v>
      </c>
      <c r="G711" s="201">
        <f t="shared" si="39"/>
        <v>10139.4</v>
      </c>
      <c r="H711" s="577">
        <f t="shared" si="40"/>
        <v>168990</v>
      </c>
    </row>
    <row r="712" spans="2:9" hidden="1" outlineLevel="2">
      <c r="B712" s="276" t="s">
        <v>1791</v>
      </c>
      <c r="C712" s="81">
        <v>8577</v>
      </c>
      <c r="D712" s="21">
        <v>600</v>
      </c>
      <c r="E712" s="21">
        <v>10</v>
      </c>
      <c r="F712" s="36">
        <f t="shared" si="38"/>
        <v>0.6</v>
      </c>
      <c r="G712" s="201">
        <f t="shared" si="39"/>
        <v>5146.2</v>
      </c>
      <c r="H712" s="577">
        <f t="shared" si="40"/>
        <v>85770</v>
      </c>
    </row>
    <row r="713" spans="2:9" hidden="1" outlineLevel="2">
      <c r="B713" s="276" t="s">
        <v>1792</v>
      </c>
      <c r="C713" s="81">
        <v>1048</v>
      </c>
      <c r="D713" s="21">
        <v>600</v>
      </c>
      <c r="E713" s="21">
        <v>10</v>
      </c>
      <c r="F713" s="36">
        <f t="shared" si="38"/>
        <v>0.6</v>
      </c>
      <c r="G713" s="201">
        <f t="shared" si="39"/>
        <v>628.79999999999995</v>
      </c>
      <c r="H713" s="577">
        <f t="shared" si="40"/>
        <v>10480</v>
      </c>
    </row>
    <row r="714" spans="2:9" hidden="1" outlineLevel="2">
      <c r="B714" s="276" t="s">
        <v>1793</v>
      </c>
      <c r="C714" s="81">
        <v>33036</v>
      </c>
      <c r="D714" s="21">
        <v>600</v>
      </c>
      <c r="E714" s="21">
        <v>10</v>
      </c>
      <c r="F714" s="36">
        <f t="shared" si="38"/>
        <v>0.6</v>
      </c>
      <c r="G714" s="201">
        <f t="shared" si="39"/>
        <v>19821.599999999999</v>
      </c>
      <c r="H714" s="577">
        <f t="shared" si="40"/>
        <v>330360</v>
      </c>
    </row>
    <row r="715" spans="2:9" hidden="1" outlineLevel="2">
      <c r="B715" s="276" t="s">
        <v>1794</v>
      </c>
      <c r="C715" s="81">
        <v>5035</v>
      </c>
      <c r="D715" s="21">
        <v>600</v>
      </c>
      <c r="E715" s="21">
        <v>10</v>
      </c>
      <c r="F715" s="36">
        <f t="shared" si="38"/>
        <v>0.6</v>
      </c>
      <c r="G715" s="201">
        <f t="shared" si="39"/>
        <v>3021</v>
      </c>
      <c r="H715" s="577">
        <f t="shared" si="40"/>
        <v>50350</v>
      </c>
    </row>
    <row r="716" spans="2:9" hidden="1" outlineLevel="2">
      <c r="B716" s="276" t="s">
        <v>1795</v>
      </c>
      <c r="C716" s="81">
        <v>105</v>
      </c>
      <c r="D716" s="21">
        <v>600</v>
      </c>
      <c r="E716" s="21">
        <v>10</v>
      </c>
      <c r="F716" s="36">
        <f t="shared" si="38"/>
        <v>0.6</v>
      </c>
      <c r="G716" s="201">
        <f t="shared" si="39"/>
        <v>63</v>
      </c>
      <c r="H716" s="577">
        <f t="shared" si="40"/>
        <v>1050</v>
      </c>
    </row>
    <row r="717" spans="2:9" hidden="1" outlineLevel="2">
      <c r="B717" s="276" t="s">
        <v>1796</v>
      </c>
      <c r="C717" s="81">
        <v>443</v>
      </c>
      <c r="D717" s="81">
        <v>100</v>
      </c>
      <c r="E717" s="21">
        <v>10</v>
      </c>
      <c r="F717" s="36">
        <f t="shared" si="38"/>
        <v>0.1</v>
      </c>
      <c r="G717" s="201">
        <f t="shared" si="39"/>
        <v>44.300000000000004</v>
      </c>
      <c r="H717" s="577">
        <f t="shared" si="40"/>
        <v>4430</v>
      </c>
    </row>
    <row r="718" spans="2:9" hidden="1" outlineLevel="2">
      <c r="B718" s="276" t="s">
        <v>1797</v>
      </c>
      <c r="C718" s="81">
        <v>13738</v>
      </c>
      <c r="D718" s="21">
        <v>1059</v>
      </c>
      <c r="E718" s="21">
        <v>10</v>
      </c>
      <c r="F718" s="36">
        <f t="shared" si="38"/>
        <v>1.0589999999999999</v>
      </c>
      <c r="G718" s="201">
        <f t="shared" si="39"/>
        <v>14548.541999999999</v>
      </c>
      <c r="H718" s="577">
        <f t="shared" si="40"/>
        <v>137380</v>
      </c>
    </row>
    <row r="719" spans="2:9" ht="14.5" hidden="1" outlineLevel="2" thickBot="1">
      <c r="B719" s="276" t="s">
        <v>1798</v>
      </c>
      <c r="C719" s="81">
        <v>992</v>
      </c>
      <c r="D719" s="81">
        <v>154</v>
      </c>
      <c r="E719" s="21">
        <v>10</v>
      </c>
      <c r="F719" s="36">
        <f t="shared" si="38"/>
        <v>0.154</v>
      </c>
      <c r="G719" s="201">
        <f t="shared" si="39"/>
        <v>152.768</v>
      </c>
      <c r="H719" s="577">
        <f t="shared" si="40"/>
        <v>9920</v>
      </c>
    </row>
    <row r="720" spans="2:9" ht="14.5" hidden="1" outlineLevel="1" collapsed="1" thickBot="1">
      <c r="B720" s="282" t="s">
        <v>1799</v>
      </c>
      <c r="C720" s="799">
        <f>SUM(C639:C719)</f>
        <v>750681</v>
      </c>
      <c r="D720" s="799"/>
      <c r="E720" s="799"/>
      <c r="F720" s="799"/>
      <c r="G720" s="799">
        <f>SUM(G639:G719)</f>
        <v>238724.13200000001</v>
      </c>
      <c r="H720" s="469">
        <f>SUM(H639:H719)</f>
        <v>7506810</v>
      </c>
      <c r="I720" t="s">
        <v>1800</v>
      </c>
    </row>
    <row r="721" spans="2:11" ht="14.5" hidden="1" outlineLevel="1" thickBot="1">
      <c r="B721" s="282" t="s">
        <v>1801</v>
      </c>
      <c r="C721" s="799">
        <f>C720+C638+C482+C422+C417+C375</f>
        <v>14548594</v>
      </c>
      <c r="D721" s="799"/>
      <c r="E721" s="799"/>
      <c r="F721" s="799"/>
      <c r="G721" s="800">
        <f>G720+G638+G482+G422+G417+G375</f>
        <v>2208255.3829999999</v>
      </c>
      <c r="H721" s="801">
        <f>H720+H638+H482+H422+H417+H375</f>
        <v>172548546</v>
      </c>
      <c r="I721" s="3" t="s">
        <v>1802</v>
      </c>
    </row>
    <row r="722" spans="2:11" hidden="1" outlineLevel="1">
      <c r="I722" s="76"/>
      <c r="J722" s="24"/>
    </row>
    <row r="723" spans="2:11" collapsed="1">
      <c r="G723" s="76"/>
      <c r="J723" s="1015"/>
      <c r="K723" s="1251"/>
    </row>
    <row r="724" spans="2:11" ht="18">
      <c r="B724" s="258" t="s">
        <v>1803</v>
      </c>
    </row>
    <row r="726" spans="2:11" ht="14.5" hidden="1" outlineLevel="1" thickBot="1">
      <c r="B726" s="1251" t="s">
        <v>1804</v>
      </c>
    </row>
    <row r="727" spans="2:11" ht="28.5" hidden="1" outlineLevel="1" thickBot="1">
      <c r="B727" s="670" t="s">
        <v>684</v>
      </c>
      <c r="C727" s="671" t="s">
        <v>685</v>
      </c>
      <c r="D727" s="671" t="s">
        <v>1165</v>
      </c>
      <c r="E727" s="671" t="s">
        <v>1442</v>
      </c>
      <c r="F727" s="671" t="s">
        <v>1167</v>
      </c>
      <c r="G727" s="671" t="s">
        <v>1168</v>
      </c>
      <c r="H727" s="672" t="s">
        <v>1443</v>
      </c>
    </row>
    <row r="728" spans="2:11" hidden="1" outlineLevel="2">
      <c r="B728" s="276" t="s">
        <v>1805</v>
      </c>
      <c r="C728" s="11">
        <v>85</v>
      </c>
      <c r="D728" s="1307">
        <v>100</v>
      </c>
      <c r="E728" s="1307">
        <v>10</v>
      </c>
      <c r="F728" s="168">
        <f>E728*D728/10000</f>
        <v>0.1</v>
      </c>
      <c r="G728" s="11">
        <f>F728*C728</f>
        <v>8.5</v>
      </c>
      <c r="H728" s="12">
        <f>E728*C728</f>
        <v>850</v>
      </c>
    </row>
    <row r="729" spans="2:11" hidden="1" outlineLevel="2">
      <c r="B729" s="276" t="s">
        <v>1806</v>
      </c>
      <c r="C729" s="11">
        <v>66</v>
      </c>
      <c r="D729" s="1307">
        <v>100</v>
      </c>
      <c r="E729" s="1307">
        <v>10</v>
      </c>
      <c r="F729" s="168">
        <f t="shared" ref="F729:F757" si="41">E729*D729/10000</f>
        <v>0.1</v>
      </c>
      <c r="G729" s="11">
        <f t="shared" ref="G729:G757" si="42">F729*C729</f>
        <v>6.6000000000000005</v>
      </c>
      <c r="H729" s="12">
        <f t="shared" ref="H729:H757" si="43">E729*C729</f>
        <v>660</v>
      </c>
    </row>
    <row r="730" spans="2:11" hidden="1" outlineLevel="2">
      <c r="B730" s="276" t="s">
        <v>1807</v>
      </c>
      <c r="C730" s="11">
        <v>104395</v>
      </c>
      <c r="D730" s="1307">
        <v>100</v>
      </c>
      <c r="E730" s="1307">
        <v>10</v>
      </c>
      <c r="F730" s="168">
        <f t="shared" si="41"/>
        <v>0.1</v>
      </c>
      <c r="G730" s="11">
        <f t="shared" si="42"/>
        <v>10439.5</v>
      </c>
      <c r="H730" s="12">
        <f t="shared" si="43"/>
        <v>1043950</v>
      </c>
    </row>
    <row r="731" spans="2:11" hidden="1" outlineLevel="2">
      <c r="B731" s="276" t="s">
        <v>1808</v>
      </c>
      <c r="C731" s="11">
        <v>19341</v>
      </c>
      <c r="D731" s="1307">
        <v>100</v>
      </c>
      <c r="E731" s="1307">
        <v>10</v>
      </c>
      <c r="F731" s="168">
        <f t="shared" si="41"/>
        <v>0.1</v>
      </c>
      <c r="G731" s="11">
        <f t="shared" si="42"/>
        <v>1934.1000000000001</v>
      </c>
      <c r="H731" s="12">
        <f t="shared" si="43"/>
        <v>193410</v>
      </c>
    </row>
    <row r="732" spans="2:11" hidden="1" outlineLevel="2">
      <c r="B732" s="276" t="s">
        <v>1809</v>
      </c>
      <c r="C732" s="11">
        <v>16998</v>
      </c>
      <c r="D732" s="1307">
        <v>100</v>
      </c>
      <c r="E732" s="1307">
        <v>10</v>
      </c>
      <c r="F732" s="168">
        <f t="shared" si="41"/>
        <v>0.1</v>
      </c>
      <c r="G732" s="11">
        <f t="shared" si="42"/>
        <v>1699.8000000000002</v>
      </c>
      <c r="H732" s="12">
        <f t="shared" si="43"/>
        <v>169980</v>
      </c>
    </row>
    <row r="733" spans="2:11" hidden="1" outlineLevel="2">
      <c r="B733" s="276" t="s">
        <v>1810</v>
      </c>
      <c r="C733" s="11">
        <v>8267</v>
      </c>
      <c r="D733" s="1307">
        <v>100</v>
      </c>
      <c r="E733" s="1307">
        <v>10</v>
      </c>
      <c r="F733" s="168">
        <f t="shared" si="41"/>
        <v>0.1</v>
      </c>
      <c r="G733" s="11">
        <f t="shared" si="42"/>
        <v>826.7</v>
      </c>
      <c r="H733" s="12">
        <f t="shared" si="43"/>
        <v>82670</v>
      </c>
    </row>
    <row r="734" spans="2:11" hidden="1" outlineLevel="2">
      <c r="B734" s="276" t="s">
        <v>1811</v>
      </c>
      <c r="C734" s="11">
        <v>30235</v>
      </c>
      <c r="D734" s="1307">
        <v>100</v>
      </c>
      <c r="E734" s="1307">
        <v>10</v>
      </c>
      <c r="F734" s="168">
        <f t="shared" si="41"/>
        <v>0.1</v>
      </c>
      <c r="G734" s="11">
        <f t="shared" si="42"/>
        <v>3023.5</v>
      </c>
      <c r="H734" s="12">
        <f t="shared" si="43"/>
        <v>302350</v>
      </c>
    </row>
    <row r="735" spans="2:11" hidden="1" outlineLevel="2">
      <c r="B735" s="276" t="s">
        <v>1812</v>
      </c>
      <c r="C735" s="11">
        <v>207314</v>
      </c>
      <c r="D735" s="1307">
        <v>100</v>
      </c>
      <c r="E735" s="1307">
        <v>10</v>
      </c>
      <c r="F735" s="168">
        <f t="shared" si="41"/>
        <v>0.1</v>
      </c>
      <c r="G735" s="11">
        <f t="shared" si="42"/>
        <v>20731.400000000001</v>
      </c>
      <c r="H735" s="12">
        <f t="shared" si="43"/>
        <v>2073140</v>
      </c>
    </row>
    <row r="736" spans="2:11" hidden="1" outlineLevel="2">
      <c r="B736" s="276" t="s">
        <v>1813</v>
      </c>
      <c r="C736" s="11">
        <v>8899</v>
      </c>
      <c r="D736" s="1307">
        <v>100</v>
      </c>
      <c r="E736" s="1307">
        <v>10</v>
      </c>
      <c r="F736" s="168">
        <f t="shared" si="41"/>
        <v>0.1</v>
      </c>
      <c r="G736" s="11">
        <f t="shared" si="42"/>
        <v>889.90000000000009</v>
      </c>
      <c r="H736" s="12">
        <f t="shared" si="43"/>
        <v>88990</v>
      </c>
    </row>
    <row r="737" spans="2:8" hidden="1" outlineLevel="2">
      <c r="B737" s="276" t="s">
        <v>1814</v>
      </c>
      <c r="C737" s="11">
        <v>58089</v>
      </c>
      <c r="D737" s="1307">
        <v>100</v>
      </c>
      <c r="E737" s="1307">
        <v>10</v>
      </c>
      <c r="F737" s="168">
        <f t="shared" si="41"/>
        <v>0.1</v>
      </c>
      <c r="G737" s="11">
        <f t="shared" si="42"/>
        <v>5808.9000000000005</v>
      </c>
      <c r="H737" s="12">
        <f t="shared" si="43"/>
        <v>580890</v>
      </c>
    </row>
    <row r="738" spans="2:8" hidden="1" outlineLevel="2">
      <c r="B738" s="276" t="s">
        <v>1815</v>
      </c>
      <c r="C738" s="11">
        <v>153147</v>
      </c>
      <c r="D738" s="1307">
        <v>100</v>
      </c>
      <c r="E738" s="1307">
        <v>10</v>
      </c>
      <c r="F738" s="168">
        <f t="shared" si="41"/>
        <v>0.1</v>
      </c>
      <c r="G738" s="11">
        <f t="shared" si="42"/>
        <v>15314.7</v>
      </c>
      <c r="H738" s="12">
        <f t="shared" si="43"/>
        <v>1531470</v>
      </c>
    </row>
    <row r="739" spans="2:8" hidden="1" outlineLevel="2">
      <c r="B739" s="276" t="s">
        <v>1816</v>
      </c>
      <c r="C739" s="11">
        <v>92095</v>
      </c>
      <c r="D739" s="1307">
        <v>100</v>
      </c>
      <c r="E739" s="1307">
        <v>10</v>
      </c>
      <c r="F739" s="168">
        <f t="shared" si="41"/>
        <v>0.1</v>
      </c>
      <c r="G739" s="11">
        <f t="shared" si="42"/>
        <v>9209.5</v>
      </c>
      <c r="H739" s="12">
        <f t="shared" si="43"/>
        <v>920950</v>
      </c>
    </row>
    <row r="740" spans="2:8" hidden="1" outlineLevel="2">
      <c r="B740" s="276" t="s">
        <v>1817</v>
      </c>
      <c r="C740" s="11">
        <v>216643</v>
      </c>
      <c r="D740" s="1307">
        <v>100</v>
      </c>
      <c r="E740" s="1307">
        <v>10</v>
      </c>
      <c r="F740" s="168">
        <f t="shared" si="41"/>
        <v>0.1</v>
      </c>
      <c r="G740" s="11">
        <f t="shared" si="42"/>
        <v>21664.300000000003</v>
      </c>
      <c r="H740" s="12">
        <f t="shared" si="43"/>
        <v>2166430</v>
      </c>
    </row>
    <row r="741" spans="2:8" hidden="1" outlineLevel="2">
      <c r="B741" s="276" t="s">
        <v>1818</v>
      </c>
      <c r="C741" s="11">
        <v>4239</v>
      </c>
      <c r="D741" s="1307">
        <v>100</v>
      </c>
      <c r="E741" s="1307">
        <v>10</v>
      </c>
      <c r="F741" s="168">
        <f t="shared" si="41"/>
        <v>0.1</v>
      </c>
      <c r="G741" s="11">
        <f t="shared" si="42"/>
        <v>423.90000000000003</v>
      </c>
      <c r="H741" s="12">
        <f t="shared" si="43"/>
        <v>42390</v>
      </c>
    </row>
    <row r="742" spans="2:8" hidden="1" outlineLevel="2">
      <c r="B742" s="276" t="s">
        <v>1819</v>
      </c>
      <c r="C742" s="11">
        <v>21229</v>
      </c>
      <c r="D742" s="1307">
        <v>100</v>
      </c>
      <c r="E742" s="1307">
        <v>10</v>
      </c>
      <c r="F742" s="168">
        <f t="shared" si="41"/>
        <v>0.1</v>
      </c>
      <c r="G742" s="11">
        <f t="shared" si="42"/>
        <v>2122.9</v>
      </c>
      <c r="H742" s="12">
        <f t="shared" si="43"/>
        <v>212290</v>
      </c>
    </row>
    <row r="743" spans="2:8" hidden="1" outlineLevel="2">
      <c r="B743" s="276" t="s">
        <v>1820</v>
      </c>
      <c r="C743" s="11">
        <v>325145</v>
      </c>
      <c r="D743" s="1307">
        <v>100</v>
      </c>
      <c r="E743" s="1307">
        <v>10</v>
      </c>
      <c r="F743" s="168">
        <f t="shared" si="41"/>
        <v>0.1</v>
      </c>
      <c r="G743" s="11">
        <f t="shared" si="42"/>
        <v>32514.5</v>
      </c>
      <c r="H743" s="12">
        <f t="shared" si="43"/>
        <v>3251450</v>
      </c>
    </row>
    <row r="744" spans="2:8" hidden="1" outlineLevel="2">
      <c r="B744" s="276" t="s">
        <v>1821</v>
      </c>
      <c r="C744" s="11">
        <v>21794</v>
      </c>
      <c r="D744" s="1307">
        <v>100</v>
      </c>
      <c r="E744" s="1307">
        <v>10</v>
      </c>
      <c r="F744" s="168">
        <f t="shared" si="41"/>
        <v>0.1</v>
      </c>
      <c r="G744" s="11">
        <f t="shared" si="42"/>
        <v>2179.4</v>
      </c>
      <c r="H744" s="12">
        <f t="shared" si="43"/>
        <v>217940</v>
      </c>
    </row>
    <row r="745" spans="2:8" hidden="1" outlineLevel="2">
      <c r="B745" s="276" t="s">
        <v>1822</v>
      </c>
      <c r="C745" s="11">
        <v>175302</v>
      </c>
      <c r="D745" s="1307">
        <v>100</v>
      </c>
      <c r="E745" s="1307">
        <v>10</v>
      </c>
      <c r="F745" s="168">
        <f t="shared" si="41"/>
        <v>0.1</v>
      </c>
      <c r="G745" s="11">
        <f t="shared" si="42"/>
        <v>17530.2</v>
      </c>
      <c r="H745" s="12">
        <f t="shared" si="43"/>
        <v>1753020</v>
      </c>
    </row>
    <row r="746" spans="2:8" hidden="1" outlineLevel="2">
      <c r="B746" s="276" t="s">
        <v>1823</v>
      </c>
      <c r="C746" s="11">
        <v>3401</v>
      </c>
      <c r="D746" s="1307">
        <v>100</v>
      </c>
      <c r="E746" s="1307">
        <v>10</v>
      </c>
      <c r="F746" s="168">
        <f t="shared" si="41"/>
        <v>0.1</v>
      </c>
      <c r="G746" s="11">
        <f t="shared" si="42"/>
        <v>340.1</v>
      </c>
      <c r="H746" s="12">
        <f t="shared" si="43"/>
        <v>34010</v>
      </c>
    </row>
    <row r="747" spans="2:8" hidden="1" outlineLevel="2">
      <c r="B747" s="276" t="s">
        <v>1824</v>
      </c>
      <c r="C747" s="11">
        <v>14350</v>
      </c>
      <c r="D747" s="1307">
        <v>25</v>
      </c>
      <c r="E747" s="1307">
        <v>5</v>
      </c>
      <c r="F747" s="168">
        <f t="shared" si="41"/>
        <v>1.2500000000000001E-2</v>
      </c>
      <c r="G747" s="11">
        <f t="shared" si="42"/>
        <v>179.375</v>
      </c>
      <c r="H747" s="12">
        <f t="shared" si="43"/>
        <v>71750</v>
      </c>
    </row>
    <row r="748" spans="2:8" hidden="1" outlineLevel="2">
      <c r="B748" s="276" t="s">
        <v>1825</v>
      </c>
      <c r="C748" s="11">
        <v>12148</v>
      </c>
      <c r="D748" s="1307">
        <v>25</v>
      </c>
      <c r="E748" s="1307">
        <v>5</v>
      </c>
      <c r="F748" s="168">
        <f t="shared" si="41"/>
        <v>1.2500000000000001E-2</v>
      </c>
      <c r="G748" s="11">
        <f t="shared" si="42"/>
        <v>151.85</v>
      </c>
      <c r="H748" s="12">
        <f t="shared" si="43"/>
        <v>60740</v>
      </c>
    </row>
    <row r="749" spans="2:8" hidden="1" outlineLevel="2">
      <c r="B749" s="276" t="s">
        <v>1826</v>
      </c>
      <c r="C749" s="11">
        <v>10415</v>
      </c>
      <c r="D749" s="1307">
        <v>275</v>
      </c>
      <c r="E749" s="1307">
        <v>12</v>
      </c>
      <c r="F749" s="168">
        <f t="shared" si="41"/>
        <v>0.33</v>
      </c>
      <c r="G749" s="11">
        <f t="shared" si="42"/>
        <v>3436.9500000000003</v>
      </c>
      <c r="H749" s="12">
        <f t="shared" si="43"/>
        <v>124980</v>
      </c>
    </row>
    <row r="750" spans="2:8" hidden="1" outlineLevel="2">
      <c r="B750" s="276" t="s">
        <v>1827</v>
      </c>
      <c r="C750" s="11">
        <v>2393</v>
      </c>
      <c r="D750" s="1307">
        <v>400</v>
      </c>
      <c r="E750" s="1307">
        <v>10</v>
      </c>
      <c r="F750" s="168">
        <f t="shared" si="41"/>
        <v>0.4</v>
      </c>
      <c r="G750" s="11">
        <f t="shared" si="42"/>
        <v>957.2</v>
      </c>
      <c r="H750" s="12">
        <f t="shared" si="43"/>
        <v>23930</v>
      </c>
    </row>
    <row r="751" spans="2:8" hidden="1" outlineLevel="2">
      <c r="B751" s="276" t="s">
        <v>1828</v>
      </c>
      <c r="C751" s="11">
        <v>1807</v>
      </c>
      <c r="D751" s="1307">
        <v>400</v>
      </c>
      <c r="E751" s="1307">
        <v>10</v>
      </c>
      <c r="F751" s="168">
        <f t="shared" si="41"/>
        <v>0.4</v>
      </c>
      <c r="G751" s="11">
        <f t="shared" si="42"/>
        <v>722.80000000000007</v>
      </c>
      <c r="H751" s="12">
        <f t="shared" si="43"/>
        <v>18070</v>
      </c>
    </row>
    <row r="752" spans="2:8" hidden="1" outlineLevel="2">
      <c r="B752" s="276" t="s">
        <v>1829</v>
      </c>
      <c r="C752" s="11">
        <v>264</v>
      </c>
      <c r="D752" s="1307">
        <v>400</v>
      </c>
      <c r="E752" s="1307">
        <v>10</v>
      </c>
      <c r="F752" s="168">
        <f t="shared" si="41"/>
        <v>0.4</v>
      </c>
      <c r="G752" s="11">
        <f t="shared" si="42"/>
        <v>105.60000000000001</v>
      </c>
      <c r="H752" s="12">
        <f t="shared" si="43"/>
        <v>2640</v>
      </c>
    </row>
    <row r="753" spans="2:8" hidden="1" outlineLevel="2">
      <c r="B753" s="276" t="s">
        <v>1830</v>
      </c>
      <c r="C753" s="11">
        <v>6927</v>
      </c>
      <c r="D753" s="1307">
        <v>400</v>
      </c>
      <c r="E753" s="1307">
        <v>10</v>
      </c>
      <c r="F753" s="168">
        <f t="shared" si="41"/>
        <v>0.4</v>
      </c>
      <c r="G753" s="11">
        <f t="shared" si="42"/>
        <v>2770.8</v>
      </c>
      <c r="H753" s="12">
        <f t="shared" si="43"/>
        <v>69270</v>
      </c>
    </row>
    <row r="754" spans="2:8" hidden="1" outlineLevel="2">
      <c r="B754" s="276" t="s">
        <v>1831</v>
      </c>
      <c r="C754" s="11">
        <v>18449</v>
      </c>
      <c r="D754" s="1307">
        <v>400</v>
      </c>
      <c r="E754" s="1307">
        <v>10</v>
      </c>
      <c r="F754" s="168">
        <f t="shared" si="41"/>
        <v>0.4</v>
      </c>
      <c r="G754" s="11">
        <f t="shared" si="42"/>
        <v>7379.6</v>
      </c>
      <c r="H754" s="12">
        <f t="shared" si="43"/>
        <v>184490</v>
      </c>
    </row>
    <row r="755" spans="2:8" hidden="1" outlineLevel="2">
      <c r="B755" s="276" t="s">
        <v>1832</v>
      </c>
      <c r="C755" s="11">
        <v>68822</v>
      </c>
      <c r="D755" s="1307">
        <v>400</v>
      </c>
      <c r="E755" s="1307">
        <v>10</v>
      </c>
      <c r="F755" s="168">
        <f t="shared" si="41"/>
        <v>0.4</v>
      </c>
      <c r="G755" s="11">
        <f t="shared" si="42"/>
        <v>27528.800000000003</v>
      </c>
      <c r="H755" s="12">
        <f t="shared" si="43"/>
        <v>688220</v>
      </c>
    </row>
    <row r="756" spans="2:8" hidden="1" outlineLevel="2">
      <c r="B756" s="276" t="s">
        <v>1833</v>
      </c>
      <c r="C756" s="11">
        <v>1479</v>
      </c>
      <c r="D756" s="1307">
        <v>400</v>
      </c>
      <c r="E756" s="1307">
        <v>10</v>
      </c>
      <c r="F756" s="168">
        <f t="shared" si="41"/>
        <v>0.4</v>
      </c>
      <c r="G756" s="11">
        <f t="shared" si="42"/>
        <v>591.6</v>
      </c>
      <c r="H756" s="12">
        <f t="shared" si="43"/>
        <v>14790</v>
      </c>
    </row>
    <row r="757" spans="2:8" ht="14.5" hidden="1" outlineLevel="2" thickBot="1">
      <c r="B757" s="276" t="s">
        <v>1834</v>
      </c>
      <c r="C757" s="11">
        <v>1642</v>
      </c>
      <c r="D757" s="11">
        <v>57</v>
      </c>
      <c r="E757" s="11">
        <v>10</v>
      </c>
      <c r="F757" s="168">
        <f t="shared" si="41"/>
        <v>5.7000000000000002E-2</v>
      </c>
      <c r="G757" s="11">
        <f t="shared" si="42"/>
        <v>93.594000000000008</v>
      </c>
      <c r="H757" s="12">
        <f t="shared" si="43"/>
        <v>16420</v>
      </c>
    </row>
    <row r="758" spans="2:8" ht="14.5" hidden="1" outlineLevel="1" collapsed="1" thickBot="1">
      <c r="B758" s="282" t="s">
        <v>1835</v>
      </c>
      <c r="C758" s="799">
        <f>SUM(C728:C757)</f>
        <v>1605380</v>
      </c>
      <c r="D758" s="799"/>
      <c r="E758" s="799"/>
      <c r="F758" s="799"/>
      <c r="G758" s="800">
        <f>SUM(G728:G757)</f>
        <v>190586.56900000002</v>
      </c>
      <c r="H758" s="801">
        <f>SUM(H728:H757)</f>
        <v>15942140</v>
      </c>
    </row>
    <row r="759" spans="2:8" hidden="1" outlineLevel="2">
      <c r="B759" s="276" t="s">
        <v>1836</v>
      </c>
      <c r="C759" s="11">
        <v>21</v>
      </c>
      <c r="D759" s="1307">
        <v>100</v>
      </c>
      <c r="E759" s="1307">
        <v>10</v>
      </c>
      <c r="F759" s="36">
        <f>E759*D759/10000</f>
        <v>0.1</v>
      </c>
      <c r="G759" s="201">
        <f>F759*C759</f>
        <v>2.1</v>
      </c>
      <c r="H759" s="577">
        <f>E759*C759</f>
        <v>210</v>
      </c>
    </row>
    <row r="760" spans="2:8" hidden="1" outlineLevel="2">
      <c r="B760" s="276" t="s">
        <v>1837</v>
      </c>
      <c r="C760" s="11">
        <v>4119</v>
      </c>
      <c r="D760" s="1307">
        <v>100</v>
      </c>
      <c r="E760" s="1307">
        <v>10</v>
      </c>
      <c r="F760" s="168">
        <f t="shared" ref="F760:F798" si="44">E760*D760/10000</f>
        <v>0.1</v>
      </c>
      <c r="G760" s="201">
        <f t="shared" ref="G760:G798" si="45">F760*C760</f>
        <v>411.90000000000003</v>
      </c>
      <c r="H760" s="577">
        <f t="shared" ref="H760:H798" si="46">E760*C760</f>
        <v>41190</v>
      </c>
    </row>
    <row r="761" spans="2:8" hidden="1" outlineLevel="2">
      <c r="B761" s="276" t="s">
        <v>1838</v>
      </c>
      <c r="C761" s="11">
        <v>197164</v>
      </c>
      <c r="D761" s="1307">
        <v>100</v>
      </c>
      <c r="E761" s="1307">
        <v>10</v>
      </c>
      <c r="F761" s="168">
        <f t="shared" si="44"/>
        <v>0.1</v>
      </c>
      <c r="G761" s="201">
        <f t="shared" si="45"/>
        <v>19716.400000000001</v>
      </c>
      <c r="H761" s="577">
        <f t="shared" si="46"/>
        <v>1971640</v>
      </c>
    </row>
    <row r="762" spans="2:8" hidden="1" outlineLevel="2">
      <c r="B762" s="276" t="s">
        <v>1839</v>
      </c>
      <c r="C762" s="11">
        <v>3995</v>
      </c>
      <c r="D762" s="1307">
        <v>100</v>
      </c>
      <c r="E762" s="1307">
        <v>10</v>
      </c>
      <c r="F762" s="168">
        <f t="shared" si="44"/>
        <v>0.1</v>
      </c>
      <c r="G762" s="201">
        <f t="shared" si="45"/>
        <v>399.5</v>
      </c>
      <c r="H762" s="577">
        <f t="shared" si="46"/>
        <v>39950</v>
      </c>
    </row>
    <row r="763" spans="2:8" hidden="1" outlineLevel="2">
      <c r="B763" s="276" t="s">
        <v>1840</v>
      </c>
      <c r="C763" s="11">
        <v>3824</v>
      </c>
      <c r="D763" s="1307">
        <v>100</v>
      </c>
      <c r="E763" s="1307">
        <v>10</v>
      </c>
      <c r="F763" s="168">
        <f t="shared" si="44"/>
        <v>0.1</v>
      </c>
      <c r="G763" s="11">
        <f t="shared" si="45"/>
        <v>382.40000000000003</v>
      </c>
      <c r="H763" s="12">
        <f t="shared" si="46"/>
        <v>38240</v>
      </c>
    </row>
    <row r="764" spans="2:8" hidden="1" outlineLevel="2">
      <c r="B764" s="276" t="s">
        <v>1841</v>
      </c>
      <c r="C764" s="11">
        <v>14816</v>
      </c>
      <c r="D764" s="1307">
        <v>120</v>
      </c>
      <c r="E764" s="1307">
        <v>10</v>
      </c>
      <c r="F764" s="168">
        <f t="shared" si="44"/>
        <v>0.12</v>
      </c>
      <c r="G764" s="11">
        <f t="shared" si="45"/>
        <v>1777.9199999999998</v>
      </c>
      <c r="H764" s="12">
        <f t="shared" si="46"/>
        <v>148160</v>
      </c>
    </row>
    <row r="765" spans="2:8" hidden="1" outlineLevel="2">
      <c r="B765" s="276" t="s">
        <v>1842</v>
      </c>
      <c r="C765" s="11">
        <v>30796</v>
      </c>
      <c r="D765" s="1307">
        <v>156</v>
      </c>
      <c r="E765" s="1307">
        <v>10</v>
      </c>
      <c r="F765" s="168">
        <f t="shared" si="44"/>
        <v>0.156</v>
      </c>
      <c r="G765" s="11">
        <f t="shared" si="45"/>
        <v>4804.1760000000004</v>
      </c>
      <c r="H765" s="12">
        <f t="shared" si="46"/>
        <v>307960</v>
      </c>
    </row>
    <row r="766" spans="2:8" hidden="1" outlineLevel="2">
      <c r="B766" s="276" t="s">
        <v>1843</v>
      </c>
      <c r="C766" s="11">
        <v>211977</v>
      </c>
      <c r="D766" s="1307">
        <v>156</v>
      </c>
      <c r="E766" s="1307">
        <v>10</v>
      </c>
      <c r="F766" s="168">
        <f t="shared" si="44"/>
        <v>0.156</v>
      </c>
      <c r="G766" s="11">
        <f t="shared" si="45"/>
        <v>33068.411999999997</v>
      </c>
      <c r="H766" s="12">
        <f t="shared" si="46"/>
        <v>2119770</v>
      </c>
    </row>
    <row r="767" spans="2:8" hidden="1" outlineLevel="2">
      <c r="B767" s="276" t="s">
        <v>1844</v>
      </c>
      <c r="C767" s="11">
        <v>2454</v>
      </c>
      <c r="D767" s="1307">
        <v>156</v>
      </c>
      <c r="E767" s="1307">
        <v>10</v>
      </c>
      <c r="F767" s="168">
        <f t="shared" si="44"/>
        <v>0.156</v>
      </c>
      <c r="G767" s="11">
        <f t="shared" si="45"/>
        <v>382.82400000000001</v>
      </c>
      <c r="H767" s="12">
        <f t="shared" si="46"/>
        <v>24540</v>
      </c>
    </row>
    <row r="768" spans="2:8" hidden="1" outlineLevel="2">
      <c r="B768" s="276" t="s">
        <v>1845</v>
      </c>
      <c r="C768" s="11">
        <v>2801</v>
      </c>
      <c r="D768" s="1307">
        <v>200</v>
      </c>
      <c r="E768" s="1307">
        <v>10</v>
      </c>
      <c r="F768" s="168">
        <f t="shared" si="44"/>
        <v>0.2</v>
      </c>
      <c r="G768" s="11">
        <f t="shared" si="45"/>
        <v>560.20000000000005</v>
      </c>
      <c r="H768" s="12">
        <f t="shared" si="46"/>
        <v>28010</v>
      </c>
    </row>
    <row r="769" spans="2:8" hidden="1" outlineLevel="2">
      <c r="B769" s="276" t="s">
        <v>1846</v>
      </c>
      <c r="C769" s="11">
        <v>36737</v>
      </c>
      <c r="D769" s="1307">
        <v>200</v>
      </c>
      <c r="E769" s="1307">
        <v>10</v>
      </c>
      <c r="F769" s="168">
        <f t="shared" si="44"/>
        <v>0.2</v>
      </c>
      <c r="G769" s="11">
        <f t="shared" si="45"/>
        <v>7347.4000000000005</v>
      </c>
      <c r="H769" s="12">
        <f t="shared" si="46"/>
        <v>367370</v>
      </c>
    </row>
    <row r="770" spans="2:8" hidden="1" outlineLevel="2">
      <c r="B770" s="276" t="s">
        <v>1847</v>
      </c>
      <c r="C770" s="11">
        <v>256</v>
      </c>
      <c r="D770" s="1307">
        <v>200</v>
      </c>
      <c r="E770" s="1307">
        <v>10</v>
      </c>
      <c r="F770" s="168">
        <f t="shared" si="44"/>
        <v>0.2</v>
      </c>
      <c r="G770" s="11">
        <f t="shared" si="45"/>
        <v>51.2</v>
      </c>
      <c r="H770" s="12">
        <f t="shared" si="46"/>
        <v>2560</v>
      </c>
    </row>
    <row r="771" spans="2:8" hidden="1" outlineLevel="2">
      <c r="B771" s="276" t="s">
        <v>1848</v>
      </c>
      <c r="C771" s="11">
        <v>742</v>
      </c>
      <c r="D771" s="1307">
        <v>200</v>
      </c>
      <c r="E771" s="1307">
        <v>16</v>
      </c>
      <c r="F771" s="168">
        <f t="shared" si="44"/>
        <v>0.32</v>
      </c>
      <c r="G771" s="11">
        <f t="shared" si="45"/>
        <v>237.44</v>
      </c>
      <c r="H771" s="12">
        <f t="shared" si="46"/>
        <v>11872</v>
      </c>
    </row>
    <row r="772" spans="2:8" hidden="1" outlineLevel="2">
      <c r="B772" s="276" t="s">
        <v>1849</v>
      </c>
      <c r="C772" s="11">
        <v>10662</v>
      </c>
      <c r="D772" s="1307">
        <v>225</v>
      </c>
      <c r="E772" s="1307">
        <v>10</v>
      </c>
      <c r="F772" s="168">
        <f t="shared" si="44"/>
        <v>0.22500000000000001</v>
      </c>
      <c r="G772" s="11">
        <f t="shared" si="45"/>
        <v>2398.9500000000003</v>
      </c>
      <c r="H772" s="12">
        <f t="shared" si="46"/>
        <v>106620</v>
      </c>
    </row>
    <row r="773" spans="2:8" hidden="1" outlineLevel="2">
      <c r="B773" s="276" t="s">
        <v>1850</v>
      </c>
      <c r="C773" s="11">
        <v>2840</v>
      </c>
      <c r="D773" s="1307">
        <v>225</v>
      </c>
      <c r="E773" s="1307">
        <v>10</v>
      </c>
      <c r="F773" s="168">
        <f t="shared" si="44"/>
        <v>0.22500000000000001</v>
      </c>
      <c r="G773" s="11">
        <f t="shared" si="45"/>
        <v>639</v>
      </c>
      <c r="H773" s="12">
        <f t="shared" si="46"/>
        <v>28400</v>
      </c>
    </row>
    <row r="774" spans="2:8" hidden="1" outlineLevel="2">
      <c r="B774" s="276" t="s">
        <v>1851</v>
      </c>
      <c r="C774" s="11">
        <v>1191</v>
      </c>
      <c r="D774" s="1307">
        <v>225</v>
      </c>
      <c r="E774" s="1307">
        <v>10</v>
      </c>
      <c r="F774" s="168">
        <f t="shared" si="44"/>
        <v>0.22500000000000001</v>
      </c>
      <c r="G774" s="11">
        <f t="shared" si="45"/>
        <v>267.97500000000002</v>
      </c>
      <c r="H774" s="12">
        <f t="shared" si="46"/>
        <v>11910</v>
      </c>
    </row>
    <row r="775" spans="2:8" hidden="1" outlineLevel="2">
      <c r="B775" s="276" t="s">
        <v>1852</v>
      </c>
      <c r="C775" s="11">
        <v>1097</v>
      </c>
      <c r="D775" s="1307">
        <v>400</v>
      </c>
      <c r="E775" s="1307">
        <v>10</v>
      </c>
      <c r="F775" s="168">
        <f t="shared" si="44"/>
        <v>0.4</v>
      </c>
      <c r="G775" s="11">
        <f t="shared" si="45"/>
        <v>438.8</v>
      </c>
      <c r="H775" s="12">
        <f t="shared" si="46"/>
        <v>10970</v>
      </c>
    </row>
    <row r="776" spans="2:8" hidden="1" outlineLevel="2">
      <c r="B776" s="276" t="s">
        <v>1853</v>
      </c>
      <c r="C776" s="11">
        <v>60</v>
      </c>
      <c r="D776" s="1307">
        <v>63</v>
      </c>
      <c r="E776" s="1307">
        <v>10</v>
      </c>
      <c r="F776" s="168">
        <f t="shared" si="44"/>
        <v>6.3E-2</v>
      </c>
      <c r="G776" s="11">
        <f t="shared" si="45"/>
        <v>3.7800000000000002</v>
      </c>
      <c r="H776" s="12">
        <f t="shared" si="46"/>
        <v>600</v>
      </c>
    </row>
    <row r="777" spans="2:8" hidden="1" outlineLevel="2">
      <c r="B777" s="276" t="s">
        <v>1854</v>
      </c>
      <c r="C777" s="11">
        <v>1140</v>
      </c>
      <c r="D777" s="1307">
        <v>63</v>
      </c>
      <c r="E777" s="1307">
        <v>10</v>
      </c>
      <c r="F777" s="168">
        <f t="shared" si="44"/>
        <v>6.3E-2</v>
      </c>
      <c r="G777" s="11">
        <f t="shared" si="45"/>
        <v>71.820000000000007</v>
      </c>
      <c r="H777" s="12">
        <f t="shared" si="46"/>
        <v>11400</v>
      </c>
    </row>
    <row r="778" spans="2:8" hidden="1" outlineLevel="2">
      <c r="B778" s="276" t="s">
        <v>1855</v>
      </c>
      <c r="C778" s="11">
        <v>544</v>
      </c>
      <c r="D778" s="1307">
        <v>25</v>
      </c>
      <c r="E778" s="1307">
        <v>10</v>
      </c>
      <c r="F778" s="168">
        <f t="shared" si="44"/>
        <v>2.5000000000000001E-2</v>
      </c>
      <c r="G778" s="11">
        <f t="shared" si="45"/>
        <v>13.600000000000001</v>
      </c>
      <c r="H778" s="12">
        <f t="shared" si="46"/>
        <v>5440</v>
      </c>
    </row>
    <row r="779" spans="2:8" hidden="1" outlineLevel="2">
      <c r="B779" s="276" t="s">
        <v>1856</v>
      </c>
      <c r="C779" s="11">
        <v>28433</v>
      </c>
      <c r="D779" s="1307">
        <v>460</v>
      </c>
      <c r="E779" s="1307">
        <v>10</v>
      </c>
      <c r="F779" s="168">
        <f t="shared" si="44"/>
        <v>0.46</v>
      </c>
      <c r="G779" s="11">
        <f t="shared" si="45"/>
        <v>13079.18</v>
      </c>
      <c r="H779" s="12">
        <f t="shared" si="46"/>
        <v>284330</v>
      </c>
    </row>
    <row r="780" spans="2:8" hidden="1" outlineLevel="2">
      <c r="B780" s="276" t="s">
        <v>1857</v>
      </c>
      <c r="C780" s="11">
        <v>169987</v>
      </c>
      <c r="D780" s="1307">
        <v>460</v>
      </c>
      <c r="E780" s="1307">
        <v>10</v>
      </c>
      <c r="F780" s="168">
        <f t="shared" si="44"/>
        <v>0.46</v>
      </c>
      <c r="G780" s="11">
        <f t="shared" si="45"/>
        <v>78194.02</v>
      </c>
      <c r="H780" s="12">
        <f t="shared" si="46"/>
        <v>1699870</v>
      </c>
    </row>
    <row r="781" spans="2:8" hidden="1" outlineLevel="2">
      <c r="B781" s="276" t="s">
        <v>1858</v>
      </c>
      <c r="C781" s="11">
        <v>1639</v>
      </c>
      <c r="D781" s="1307">
        <v>460</v>
      </c>
      <c r="E781" s="1307">
        <v>10</v>
      </c>
      <c r="F781" s="168">
        <f t="shared" si="44"/>
        <v>0.46</v>
      </c>
      <c r="G781" s="11">
        <f t="shared" si="45"/>
        <v>753.94</v>
      </c>
      <c r="H781" s="12">
        <f t="shared" si="46"/>
        <v>16390</v>
      </c>
    </row>
    <row r="782" spans="2:8" hidden="1" outlineLevel="2">
      <c r="B782" s="276" t="s">
        <v>1859</v>
      </c>
      <c r="C782" s="11">
        <v>41286</v>
      </c>
      <c r="D782" s="1307">
        <v>50</v>
      </c>
      <c r="E782" s="1307">
        <v>10</v>
      </c>
      <c r="F782" s="168">
        <f t="shared" si="44"/>
        <v>0.05</v>
      </c>
      <c r="G782" s="11">
        <f t="shared" si="45"/>
        <v>2064.3000000000002</v>
      </c>
      <c r="H782" s="12">
        <f t="shared" si="46"/>
        <v>412860</v>
      </c>
    </row>
    <row r="783" spans="2:8" hidden="1" outlineLevel="2">
      <c r="B783" s="276" t="s">
        <v>1860</v>
      </c>
      <c r="C783" s="11">
        <v>323</v>
      </c>
      <c r="D783" s="1307">
        <v>50</v>
      </c>
      <c r="E783" s="1307">
        <v>10</v>
      </c>
      <c r="F783" s="168">
        <f t="shared" si="44"/>
        <v>0.05</v>
      </c>
      <c r="G783" s="11">
        <f t="shared" si="45"/>
        <v>16.150000000000002</v>
      </c>
      <c r="H783" s="12">
        <f t="shared" si="46"/>
        <v>3230</v>
      </c>
    </row>
    <row r="784" spans="2:8" hidden="1" outlineLevel="2">
      <c r="B784" s="276" t="s">
        <v>1861</v>
      </c>
      <c r="C784" s="11">
        <v>971</v>
      </c>
      <c r="D784" s="1307">
        <v>50</v>
      </c>
      <c r="E784" s="1307">
        <v>16</v>
      </c>
      <c r="F784" s="168">
        <f t="shared" si="44"/>
        <v>0.08</v>
      </c>
      <c r="G784" s="11">
        <f t="shared" si="45"/>
        <v>77.680000000000007</v>
      </c>
      <c r="H784" s="12">
        <f t="shared" si="46"/>
        <v>15536</v>
      </c>
    </row>
    <row r="785" spans="2:8" hidden="1" outlineLevel="2">
      <c r="B785" s="276" t="s">
        <v>1862</v>
      </c>
      <c r="C785" s="11">
        <v>22486</v>
      </c>
      <c r="D785" s="1307">
        <v>156</v>
      </c>
      <c r="E785" s="1307">
        <v>16</v>
      </c>
      <c r="F785" s="168">
        <f t="shared" si="44"/>
        <v>0.24959999999999999</v>
      </c>
      <c r="G785" s="11">
        <f t="shared" si="45"/>
        <v>5612.5055999999995</v>
      </c>
      <c r="H785" s="12">
        <f t="shared" si="46"/>
        <v>359776</v>
      </c>
    </row>
    <row r="786" spans="2:8" hidden="1" outlineLevel="2">
      <c r="B786" s="276" t="s">
        <v>1863</v>
      </c>
      <c r="C786" s="11">
        <v>11010</v>
      </c>
      <c r="D786" s="1307">
        <v>200</v>
      </c>
      <c r="E786" s="1307">
        <v>16</v>
      </c>
      <c r="F786" s="168">
        <f t="shared" si="44"/>
        <v>0.32</v>
      </c>
      <c r="G786" s="11">
        <f t="shared" si="45"/>
        <v>3523.2000000000003</v>
      </c>
      <c r="H786" s="12">
        <f t="shared" si="46"/>
        <v>176160</v>
      </c>
    </row>
    <row r="787" spans="2:8" hidden="1" outlineLevel="2">
      <c r="B787" s="276" t="s">
        <v>1864</v>
      </c>
      <c r="C787" s="11">
        <v>12843</v>
      </c>
      <c r="D787" s="1307">
        <v>300</v>
      </c>
      <c r="E787" s="1307">
        <v>10</v>
      </c>
      <c r="F787" s="168">
        <f t="shared" si="44"/>
        <v>0.3</v>
      </c>
      <c r="G787" s="11">
        <f t="shared" si="45"/>
        <v>3852.8999999999996</v>
      </c>
      <c r="H787" s="12">
        <f t="shared" si="46"/>
        <v>128430</v>
      </c>
    </row>
    <row r="788" spans="2:8" hidden="1" outlineLevel="2">
      <c r="B788" s="276" t="s">
        <v>1865</v>
      </c>
      <c r="C788" s="11">
        <v>16303</v>
      </c>
      <c r="D788" s="1307">
        <v>60</v>
      </c>
      <c r="E788" s="1307">
        <v>16</v>
      </c>
      <c r="F788" s="168">
        <f t="shared" si="44"/>
        <v>9.6000000000000002E-2</v>
      </c>
      <c r="G788" s="11">
        <f t="shared" si="45"/>
        <v>1565.088</v>
      </c>
      <c r="H788" s="12">
        <f t="shared" si="46"/>
        <v>260848</v>
      </c>
    </row>
    <row r="789" spans="2:8" hidden="1" outlineLevel="2">
      <c r="B789" s="276" t="s">
        <v>1866</v>
      </c>
      <c r="C789" s="11">
        <v>32691</v>
      </c>
      <c r="D789" s="1307">
        <v>100</v>
      </c>
      <c r="E789" s="1307">
        <v>16</v>
      </c>
      <c r="F789" s="168">
        <f t="shared" si="44"/>
        <v>0.16</v>
      </c>
      <c r="G789" s="11">
        <f t="shared" si="45"/>
        <v>5230.5600000000004</v>
      </c>
      <c r="H789" s="12">
        <f t="shared" si="46"/>
        <v>523056</v>
      </c>
    </row>
    <row r="790" spans="2:8" hidden="1" outlineLevel="2">
      <c r="B790" s="276" t="s">
        <v>1867</v>
      </c>
      <c r="C790" s="11">
        <v>30917</v>
      </c>
      <c r="D790" s="1307">
        <v>100</v>
      </c>
      <c r="E790" s="1307">
        <v>16</v>
      </c>
      <c r="F790" s="168">
        <f t="shared" si="44"/>
        <v>0.16</v>
      </c>
      <c r="G790" s="11">
        <f t="shared" si="45"/>
        <v>4946.72</v>
      </c>
      <c r="H790" s="12">
        <f t="shared" si="46"/>
        <v>494672</v>
      </c>
    </row>
    <row r="791" spans="2:8" hidden="1" outlineLevel="2">
      <c r="B791" s="276" t="s">
        <v>1868</v>
      </c>
      <c r="C791" s="11">
        <v>27800</v>
      </c>
      <c r="D791" s="1307">
        <v>156</v>
      </c>
      <c r="E791" s="1307">
        <v>16</v>
      </c>
      <c r="F791" s="168">
        <f t="shared" si="44"/>
        <v>0.24959999999999999</v>
      </c>
      <c r="G791" s="11">
        <f t="shared" si="45"/>
        <v>6938.88</v>
      </c>
      <c r="H791" s="12">
        <f t="shared" si="46"/>
        <v>444800</v>
      </c>
    </row>
    <row r="792" spans="2:8" hidden="1" outlineLevel="2">
      <c r="B792" s="276" t="s">
        <v>1869</v>
      </c>
      <c r="C792" s="11">
        <v>9580</v>
      </c>
      <c r="D792" s="1307">
        <v>200</v>
      </c>
      <c r="E792" s="1307">
        <v>16</v>
      </c>
      <c r="F792" s="168">
        <f t="shared" si="44"/>
        <v>0.32</v>
      </c>
      <c r="G792" s="11">
        <f t="shared" si="45"/>
        <v>3065.6</v>
      </c>
      <c r="H792" s="12">
        <f t="shared" si="46"/>
        <v>153280</v>
      </c>
    </row>
    <row r="793" spans="2:8" hidden="1" outlineLevel="2">
      <c r="B793" s="276" t="s">
        <v>1870</v>
      </c>
      <c r="C793" s="11">
        <v>52</v>
      </c>
      <c r="D793" s="1307">
        <v>200</v>
      </c>
      <c r="E793" s="1307">
        <v>10</v>
      </c>
      <c r="F793" s="168">
        <f t="shared" si="44"/>
        <v>0.2</v>
      </c>
      <c r="G793" s="11">
        <f t="shared" si="45"/>
        <v>10.4</v>
      </c>
      <c r="H793" s="12">
        <f t="shared" si="46"/>
        <v>520</v>
      </c>
    </row>
    <row r="794" spans="2:8" hidden="1" outlineLevel="2">
      <c r="B794" s="276" t="s">
        <v>1871</v>
      </c>
      <c r="C794" s="11">
        <v>9890</v>
      </c>
      <c r="D794" s="1307">
        <v>200</v>
      </c>
      <c r="E794" s="1307">
        <v>16</v>
      </c>
      <c r="F794" s="168">
        <f t="shared" si="44"/>
        <v>0.32</v>
      </c>
      <c r="G794" s="11">
        <f t="shared" si="45"/>
        <v>3164.8</v>
      </c>
      <c r="H794" s="12">
        <f t="shared" si="46"/>
        <v>158240</v>
      </c>
    </row>
    <row r="795" spans="2:8" hidden="1" outlineLevel="2">
      <c r="B795" s="276" t="s">
        <v>1872</v>
      </c>
      <c r="C795" s="11">
        <v>21307</v>
      </c>
      <c r="D795" s="1307">
        <v>400</v>
      </c>
      <c r="E795" s="1307">
        <v>10</v>
      </c>
      <c r="F795" s="168">
        <f t="shared" si="44"/>
        <v>0.4</v>
      </c>
      <c r="G795" s="11">
        <f t="shared" si="45"/>
        <v>8522.8000000000011</v>
      </c>
      <c r="H795" s="12">
        <f t="shared" si="46"/>
        <v>213070</v>
      </c>
    </row>
    <row r="796" spans="2:8" hidden="1" outlineLevel="2">
      <c r="B796" s="276" t="s">
        <v>1873</v>
      </c>
      <c r="C796" s="11">
        <v>14261</v>
      </c>
      <c r="D796" s="1307">
        <v>50</v>
      </c>
      <c r="E796" s="1307">
        <v>16</v>
      </c>
      <c r="F796" s="168">
        <f t="shared" si="44"/>
        <v>0.08</v>
      </c>
      <c r="G796" s="11">
        <f t="shared" si="45"/>
        <v>1140.8800000000001</v>
      </c>
      <c r="H796" s="12">
        <f t="shared" si="46"/>
        <v>228176</v>
      </c>
    </row>
    <row r="797" spans="2:8" hidden="1" outlineLevel="2">
      <c r="B797" s="276" t="s">
        <v>1874</v>
      </c>
      <c r="C797" s="11">
        <v>23104</v>
      </c>
      <c r="D797" s="1307">
        <v>600</v>
      </c>
      <c r="E797" s="1307">
        <v>10</v>
      </c>
      <c r="F797" s="168">
        <f t="shared" si="44"/>
        <v>0.6</v>
      </c>
      <c r="G797" s="11">
        <f t="shared" si="45"/>
        <v>13862.4</v>
      </c>
      <c r="H797" s="12">
        <f t="shared" si="46"/>
        <v>231040</v>
      </c>
    </row>
    <row r="798" spans="2:8" ht="14.5" hidden="1" outlineLevel="2" thickBot="1">
      <c r="B798" s="276" t="s">
        <v>1875</v>
      </c>
      <c r="C798" s="11">
        <v>13</v>
      </c>
      <c r="D798" s="1307">
        <v>90</v>
      </c>
      <c r="E798" s="1307">
        <v>5</v>
      </c>
      <c r="F798" s="168">
        <f t="shared" si="44"/>
        <v>4.4999999999999998E-2</v>
      </c>
      <c r="G798" s="11">
        <f t="shared" si="45"/>
        <v>0.58499999999999996</v>
      </c>
      <c r="H798" s="12">
        <f t="shared" si="46"/>
        <v>65</v>
      </c>
    </row>
    <row r="799" spans="2:8" ht="14.5" hidden="1" outlineLevel="1" collapsed="1" thickBot="1">
      <c r="B799" s="282" t="s">
        <v>1876</v>
      </c>
      <c r="C799" s="799">
        <f>SUM(C759:C798)</f>
        <v>1002132</v>
      </c>
      <c r="D799" s="799"/>
      <c r="E799" s="799"/>
      <c r="F799" s="799"/>
      <c r="G799" s="800">
        <f>SUM(G759:G798)</f>
        <v>228598.38559999998</v>
      </c>
      <c r="H799" s="801">
        <f>SUM(H759:H798)</f>
        <v>11081161</v>
      </c>
    </row>
    <row r="800" spans="2:8" hidden="1" outlineLevel="2">
      <c r="B800" s="276" t="s">
        <v>1877</v>
      </c>
      <c r="C800" s="81">
        <v>321</v>
      </c>
      <c r="D800" s="21">
        <v>100</v>
      </c>
      <c r="E800" s="499">
        <v>10</v>
      </c>
      <c r="F800" s="168">
        <f t="shared" ref="F800:F818" si="47">E800*D800/10000</f>
        <v>0.1</v>
      </c>
      <c r="G800" s="11">
        <f t="shared" ref="G800:G818" si="48">F800*C800</f>
        <v>32.1</v>
      </c>
      <c r="H800" s="12">
        <f t="shared" ref="H800:H818" si="49">E800*C800</f>
        <v>3210</v>
      </c>
    </row>
    <row r="801" spans="2:8" hidden="1" outlineLevel="2">
      <c r="B801" s="276" t="s">
        <v>1878</v>
      </c>
      <c r="C801" s="81">
        <v>119</v>
      </c>
      <c r="D801" s="21">
        <v>300</v>
      </c>
      <c r="E801" s="499">
        <v>10</v>
      </c>
      <c r="F801" s="168">
        <f t="shared" si="47"/>
        <v>0.3</v>
      </c>
      <c r="G801" s="11">
        <f t="shared" si="48"/>
        <v>35.699999999999996</v>
      </c>
      <c r="H801" s="12">
        <f t="shared" si="49"/>
        <v>1190</v>
      </c>
    </row>
    <row r="802" spans="2:8" hidden="1" outlineLevel="2">
      <c r="B802" s="276" t="s">
        <v>1879</v>
      </c>
      <c r="C802" s="81">
        <v>31967</v>
      </c>
      <c r="D802" s="21">
        <v>156</v>
      </c>
      <c r="E802" s="499">
        <v>16</v>
      </c>
      <c r="F802" s="168">
        <f t="shared" si="47"/>
        <v>0.24959999999999999</v>
      </c>
      <c r="G802" s="11">
        <f t="shared" si="48"/>
        <v>7978.9631999999992</v>
      </c>
      <c r="H802" s="12">
        <f t="shared" si="49"/>
        <v>511472</v>
      </c>
    </row>
    <row r="803" spans="2:8" hidden="1" outlineLevel="2">
      <c r="B803" s="276" t="s">
        <v>1880</v>
      </c>
      <c r="C803" s="81">
        <v>10299</v>
      </c>
      <c r="D803" s="21">
        <v>180</v>
      </c>
      <c r="E803" s="499">
        <v>10</v>
      </c>
      <c r="F803" s="168">
        <f t="shared" si="47"/>
        <v>0.18</v>
      </c>
      <c r="G803" s="11">
        <f t="shared" si="48"/>
        <v>1853.82</v>
      </c>
      <c r="H803" s="12">
        <f t="shared" si="49"/>
        <v>102990</v>
      </c>
    </row>
    <row r="804" spans="2:8" hidden="1" outlineLevel="2">
      <c r="B804" s="276" t="s">
        <v>1881</v>
      </c>
      <c r="C804" s="81">
        <v>6173</v>
      </c>
      <c r="D804" s="21">
        <v>180</v>
      </c>
      <c r="E804" s="499">
        <v>10</v>
      </c>
      <c r="F804" s="168">
        <f t="shared" si="47"/>
        <v>0.18</v>
      </c>
      <c r="G804" s="11">
        <f t="shared" si="48"/>
        <v>1111.1399999999999</v>
      </c>
      <c r="H804" s="12">
        <f t="shared" si="49"/>
        <v>61730</v>
      </c>
    </row>
    <row r="805" spans="2:8" hidden="1" outlineLevel="2">
      <c r="B805" s="276" t="s">
        <v>1882</v>
      </c>
      <c r="C805" s="81">
        <v>2949</v>
      </c>
      <c r="D805" s="21">
        <v>190.5</v>
      </c>
      <c r="E805" s="499">
        <v>10</v>
      </c>
      <c r="F805" s="168">
        <f t="shared" si="47"/>
        <v>0.1905</v>
      </c>
      <c r="G805" s="11">
        <f t="shared" si="48"/>
        <v>561.78449999999998</v>
      </c>
      <c r="H805" s="12">
        <f t="shared" si="49"/>
        <v>29490</v>
      </c>
    </row>
    <row r="806" spans="2:8" hidden="1" outlineLevel="2">
      <c r="B806" s="276" t="s">
        <v>1883</v>
      </c>
      <c r="C806" s="81">
        <v>11884</v>
      </c>
      <c r="D806" s="21">
        <v>300</v>
      </c>
      <c r="E806" s="499">
        <v>16</v>
      </c>
      <c r="F806" s="168">
        <f t="shared" si="47"/>
        <v>0.48</v>
      </c>
      <c r="G806" s="11">
        <f t="shared" si="48"/>
        <v>5704.32</v>
      </c>
      <c r="H806" s="12">
        <f t="shared" si="49"/>
        <v>190144</v>
      </c>
    </row>
    <row r="807" spans="2:8" hidden="1" outlineLevel="2">
      <c r="B807" s="276" t="s">
        <v>1884</v>
      </c>
      <c r="C807" s="81">
        <v>29037</v>
      </c>
      <c r="D807" s="21">
        <v>35</v>
      </c>
      <c r="E807" s="499">
        <v>16</v>
      </c>
      <c r="F807" s="168">
        <f t="shared" si="47"/>
        <v>5.6000000000000001E-2</v>
      </c>
      <c r="G807" s="11">
        <f t="shared" si="48"/>
        <v>1626.0720000000001</v>
      </c>
      <c r="H807" s="12">
        <f t="shared" si="49"/>
        <v>464592</v>
      </c>
    </row>
    <row r="808" spans="2:8" hidden="1" outlineLevel="2">
      <c r="B808" s="276" t="s">
        <v>1885</v>
      </c>
      <c r="C808" s="81">
        <v>46628</v>
      </c>
      <c r="D808" s="21">
        <v>37.5</v>
      </c>
      <c r="E808" s="499">
        <v>10</v>
      </c>
      <c r="F808" s="168">
        <f t="shared" si="47"/>
        <v>3.7499999999999999E-2</v>
      </c>
      <c r="G808" s="11">
        <f t="shared" si="48"/>
        <v>1748.55</v>
      </c>
      <c r="H808" s="12">
        <f t="shared" si="49"/>
        <v>466280</v>
      </c>
    </row>
    <row r="809" spans="2:8" hidden="1" outlineLevel="2">
      <c r="B809" s="276" t="s">
        <v>1886</v>
      </c>
      <c r="C809" s="81">
        <v>42947</v>
      </c>
      <c r="D809" s="21">
        <v>37.5</v>
      </c>
      <c r="E809" s="499">
        <v>10</v>
      </c>
      <c r="F809" s="168">
        <f t="shared" si="47"/>
        <v>3.7499999999999999E-2</v>
      </c>
      <c r="G809" s="11">
        <f t="shared" si="48"/>
        <v>1610.5125</v>
      </c>
      <c r="H809" s="12">
        <f t="shared" si="49"/>
        <v>429470</v>
      </c>
    </row>
    <row r="810" spans="2:8" hidden="1" outlineLevel="2">
      <c r="B810" s="276" t="s">
        <v>1887</v>
      </c>
      <c r="C810" s="81">
        <v>13742</v>
      </c>
      <c r="D810" s="21">
        <v>400</v>
      </c>
      <c r="E810" s="499">
        <v>10</v>
      </c>
      <c r="F810" s="168">
        <f t="shared" si="47"/>
        <v>0.4</v>
      </c>
      <c r="G810" s="11">
        <f t="shared" si="48"/>
        <v>5496.8</v>
      </c>
      <c r="H810" s="12">
        <f t="shared" si="49"/>
        <v>137420</v>
      </c>
    </row>
    <row r="811" spans="2:8" hidden="1" outlineLevel="2">
      <c r="B811" s="276" t="s">
        <v>1888</v>
      </c>
      <c r="C811" s="81">
        <v>6107</v>
      </c>
      <c r="D811" s="21">
        <v>620</v>
      </c>
      <c r="E811" s="499">
        <v>5</v>
      </c>
      <c r="F811" s="168">
        <f t="shared" si="47"/>
        <v>0.31</v>
      </c>
      <c r="G811" s="11">
        <f t="shared" si="48"/>
        <v>1893.17</v>
      </c>
      <c r="H811" s="12">
        <f t="shared" si="49"/>
        <v>30535</v>
      </c>
    </row>
    <row r="812" spans="2:8" hidden="1" outlineLevel="2">
      <c r="B812" s="276" t="s">
        <v>1889</v>
      </c>
      <c r="C812" s="81">
        <v>2792</v>
      </c>
      <c r="D812" s="21">
        <v>640</v>
      </c>
      <c r="E812" s="499">
        <v>5</v>
      </c>
      <c r="F812" s="168">
        <f t="shared" si="47"/>
        <v>0.32</v>
      </c>
      <c r="G812" s="11">
        <f t="shared" si="48"/>
        <v>893.44</v>
      </c>
      <c r="H812" s="12">
        <f t="shared" si="49"/>
        <v>13960</v>
      </c>
    </row>
    <row r="813" spans="2:8" hidden="1" outlineLevel="2">
      <c r="B813" s="276" t="s">
        <v>1890</v>
      </c>
      <c r="C813" s="81">
        <v>3274</v>
      </c>
      <c r="D813" s="21">
        <v>660</v>
      </c>
      <c r="E813" s="499">
        <v>5</v>
      </c>
      <c r="F813" s="168">
        <f t="shared" si="47"/>
        <v>0.33</v>
      </c>
      <c r="G813" s="11">
        <f t="shared" si="48"/>
        <v>1080.42</v>
      </c>
      <c r="H813" s="12">
        <f t="shared" si="49"/>
        <v>16370</v>
      </c>
    </row>
    <row r="814" spans="2:8" hidden="1" outlineLevel="2">
      <c r="B814" s="276" t="s">
        <v>1891</v>
      </c>
      <c r="C814" s="81">
        <v>21370</v>
      </c>
      <c r="D814" s="21">
        <v>75</v>
      </c>
      <c r="E814" s="499">
        <v>10</v>
      </c>
      <c r="F814" s="168">
        <f t="shared" si="47"/>
        <v>7.4999999999999997E-2</v>
      </c>
      <c r="G814" s="11">
        <f t="shared" si="48"/>
        <v>1602.75</v>
      </c>
      <c r="H814" s="12">
        <f t="shared" si="49"/>
        <v>213700</v>
      </c>
    </row>
    <row r="815" spans="2:8" hidden="1" outlineLevel="2">
      <c r="B815" s="276" t="s">
        <v>1892</v>
      </c>
      <c r="C815" s="81">
        <v>22102</v>
      </c>
      <c r="D815" s="21">
        <v>75</v>
      </c>
      <c r="E815" s="499">
        <v>10</v>
      </c>
      <c r="F815" s="168">
        <f t="shared" si="47"/>
        <v>7.4999999999999997E-2</v>
      </c>
      <c r="G815" s="11">
        <f t="shared" si="48"/>
        <v>1657.6499999999999</v>
      </c>
      <c r="H815" s="12">
        <f t="shared" si="49"/>
        <v>221020</v>
      </c>
    </row>
    <row r="816" spans="2:8" hidden="1" outlineLevel="2">
      <c r="B816" s="276" t="s">
        <v>1893</v>
      </c>
      <c r="C816" s="81">
        <v>9489</v>
      </c>
      <c r="D816" s="21">
        <v>83.6</v>
      </c>
      <c r="E816" s="499">
        <v>10</v>
      </c>
      <c r="F816" s="168">
        <f t="shared" si="47"/>
        <v>8.3599999999999994E-2</v>
      </c>
      <c r="G816" s="11">
        <f t="shared" si="48"/>
        <v>793.28039999999999</v>
      </c>
      <c r="H816" s="12">
        <f t="shared" si="49"/>
        <v>94890</v>
      </c>
    </row>
    <row r="817" spans="2:8" hidden="1" outlineLevel="2">
      <c r="B817" s="276" t="s">
        <v>1894</v>
      </c>
      <c r="C817" s="81">
        <v>322456</v>
      </c>
      <c r="D817" s="21">
        <v>120</v>
      </c>
      <c r="E817" s="499">
        <v>16</v>
      </c>
      <c r="F817" s="168">
        <f t="shared" si="47"/>
        <v>0.192</v>
      </c>
      <c r="G817" s="11">
        <f t="shared" si="48"/>
        <v>61911.552000000003</v>
      </c>
      <c r="H817" s="12">
        <f t="shared" si="49"/>
        <v>5159296</v>
      </c>
    </row>
    <row r="818" spans="2:8" hidden="1" outlineLevel="2">
      <c r="B818" s="276" t="s">
        <v>1895</v>
      </c>
      <c r="C818" s="81">
        <v>57331</v>
      </c>
      <c r="D818" s="21">
        <v>300</v>
      </c>
      <c r="E818" s="499">
        <v>10</v>
      </c>
      <c r="F818" s="168">
        <f t="shared" si="47"/>
        <v>0.3</v>
      </c>
      <c r="G818" s="11">
        <f t="shared" si="48"/>
        <v>17199.3</v>
      </c>
      <c r="H818" s="12">
        <f t="shared" si="49"/>
        <v>573310</v>
      </c>
    </row>
    <row r="819" spans="2:8" ht="14.5" hidden="1" outlineLevel="1" collapsed="1" thickBot="1">
      <c r="B819" s="276" t="s">
        <v>1896</v>
      </c>
      <c r="C819" s="310">
        <f>SUM(C800:C818)</f>
        <v>640987</v>
      </c>
      <c r="D819" s="310"/>
      <c r="E819" s="310"/>
      <c r="F819" s="310"/>
      <c r="G819" s="806">
        <f>SUM(G800:G818)</f>
        <v>114791.32460000001</v>
      </c>
      <c r="H819" s="807">
        <f>SUM(H800:H818)</f>
        <v>8721069</v>
      </c>
    </row>
    <row r="820" spans="2:8" hidden="1" outlineLevel="2">
      <c r="B820" s="276" t="s">
        <v>1897</v>
      </c>
      <c r="C820" s="81">
        <v>216889</v>
      </c>
      <c r="D820" s="802" t="s">
        <v>620</v>
      </c>
      <c r="E820" s="499">
        <v>5</v>
      </c>
      <c r="F820" s="168" t="e">
        <f t="shared" ref="F820:F844" si="50">E820*D820/10000</f>
        <v>#VALUE!</v>
      </c>
      <c r="G820" s="190" t="e">
        <f t="shared" ref="G820:G844" si="51">F820*C820</f>
        <v>#VALUE!</v>
      </c>
      <c r="H820" s="810">
        <f t="shared" ref="H820:H844" si="52">E820*C820</f>
        <v>1084445</v>
      </c>
    </row>
    <row r="821" spans="2:8" hidden="1" outlineLevel="2">
      <c r="B821" s="276" t="s">
        <v>1898</v>
      </c>
      <c r="C821" s="81">
        <v>1097</v>
      </c>
      <c r="D821" s="21">
        <v>100</v>
      </c>
      <c r="E821" s="499">
        <v>10</v>
      </c>
      <c r="F821" s="168">
        <f t="shared" si="50"/>
        <v>0.1</v>
      </c>
      <c r="G821" s="190">
        <f t="shared" si="51"/>
        <v>109.7</v>
      </c>
      <c r="H821" s="810">
        <f t="shared" si="52"/>
        <v>10970</v>
      </c>
    </row>
    <row r="822" spans="2:8" hidden="1" outlineLevel="2">
      <c r="B822" s="276" t="s">
        <v>1899</v>
      </c>
      <c r="C822" s="81">
        <v>420</v>
      </c>
      <c r="D822" s="21">
        <v>100</v>
      </c>
      <c r="E822" s="499">
        <v>10</v>
      </c>
      <c r="F822" s="168">
        <f t="shared" si="50"/>
        <v>0.1</v>
      </c>
      <c r="G822" s="190">
        <f t="shared" si="51"/>
        <v>42</v>
      </c>
      <c r="H822" s="810">
        <f t="shared" si="52"/>
        <v>4200</v>
      </c>
    </row>
    <row r="823" spans="2:8" hidden="1" outlineLevel="2">
      <c r="B823" s="276" t="s">
        <v>1900</v>
      </c>
      <c r="C823" s="81">
        <v>35254</v>
      </c>
      <c r="D823" s="21">
        <v>100</v>
      </c>
      <c r="E823" s="499">
        <v>10</v>
      </c>
      <c r="F823" s="168">
        <f t="shared" si="50"/>
        <v>0.1</v>
      </c>
      <c r="G823" s="190">
        <f t="shared" si="51"/>
        <v>3525.4</v>
      </c>
      <c r="H823" s="810">
        <f t="shared" si="52"/>
        <v>352540</v>
      </c>
    </row>
    <row r="824" spans="2:8" hidden="1" outlineLevel="2">
      <c r="B824" s="276" t="s">
        <v>1901</v>
      </c>
      <c r="C824" s="81">
        <v>102</v>
      </c>
      <c r="D824" s="21">
        <v>100</v>
      </c>
      <c r="E824" s="499">
        <v>10</v>
      </c>
      <c r="F824" s="168">
        <f t="shared" si="50"/>
        <v>0.1</v>
      </c>
      <c r="G824" s="190">
        <f t="shared" si="51"/>
        <v>10.200000000000001</v>
      </c>
      <c r="H824" s="810">
        <f t="shared" si="52"/>
        <v>1020</v>
      </c>
    </row>
    <row r="825" spans="2:8" hidden="1" outlineLevel="2">
      <c r="B825" s="276" t="s">
        <v>1902</v>
      </c>
      <c r="C825" s="81">
        <v>1653</v>
      </c>
      <c r="D825" s="21">
        <v>100</v>
      </c>
      <c r="E825" s="499">
        <v>10</v>
      </c>
      <c r="F825" s="168">
        <f t="shared" si="50"/>
        <v>0.1</v>
      </c>
      <c r="G825" s="190">
        <f t="shared" si="51"/>
        <v>165.3</v>
      </c>
      <c r="H825" s="810">
        <f t="shared" si="52"/>
        <v>16530</v>
      </c>
    </row>
    <row r="826" spans="2:8" hidden="1" outlineLevel="2">
      <c r="B826" s="276" t="s">
        <v>1903</v>
      </c>
      <c r="C826" s="81">
        <v>11323</v>
      </c>
      <c r="D826" s="21">
        <v>100</v>
      </c>
      <c r="E826" s="499">
        <v>10</v>
      </c>
      <c r="F826" s="168">
        <f t="shared" si="50"/>
        <v>0.1</v>
      </c>
      <c r="G826" s="190">
        <f t="shared" si="51"/>
        <v>1132.3</v>
      </c>
      <c r="H826" s="810">
        <f t="shared" si="52"/>
        <v>113230</v>
      </c>
    </row>
    <row r="827" spans="2:8" hidden="1" outlineLevel="2">
      <c r="B827" s="276" t="s">
        <v>1904</v>
      </c>
      <c r="C827" s="81">
        <v>26774</v>
      </c>
      <c r="D827" s="21">
        <v>120</v>
      </c>
      <c r="E827" s="499">
        <v>10</v>
      </c>
      <c r="F827" s="168">
        <f t="shared" si="50"/>
        <v>0.12</v>
      </c>
      <c r="G827" s="190">
        <f t="shared" si="51"/>
        <v>3212.8799999999997</v>
      </c>
      <c r="H827" s="810">
        <f t="shared" si="52"/>
        <v>267740</v>
      </c>
    </row>
    <row r="828" spans="2:8" hidden="1" outlineLevel="2">
      <c r="B828" s="276" t="s">
        <v>1905</v>
      </c>
      <c r="C828" s="81">
        <v>6560</v>
      </c>
      <c r="D828" s="21">
        <v>120</v>
      </c>
      <c r="E828" s="499">
        <v>10</v>
      </c>
      <c r="F828" s="168">
        <f t="shared" si="50"/>
        <v>0.12</v>
      </c>
      <c r="G828" s="190">
        <f t="shared" si="51"/>
        <v>787.19999999999993</v>
      </c>
      <c r="H828" s="810">
        <f t="shared" si="52"/>
        <v>65600</v>
      </c>
    </row>
    <row r="829" spans="2:8" hidden="1" outlineLevel="2">
      <c r="B829" s="276" t="s">
        <v>1906</v>
      </c>
      <c r="C829" s="81">
        <v>4518</v>
      </c>
      <c r="D829" s="21">
        <v>120</v>
      </c>
      <c r="E829" s="499">
        <v>10</v>
      </c>
      <c r="F829" s="168">
        <f t="shared" si="50"/>
        <v>0.12</v>
      </c>
      <c r="G829" s="190">
        <f t="shared" si="51"/>
        <v>542.16</v>
      </c>
      <c r="H829" s="810">
        <f t="shared" si="52"/>
        <v>45180</v>
      </c>
    </row>
    <row r="830" spans="2:8" hidden="1" outlineLevel="2">
      <c r="B830" s="276" t="s">
        <v>1907</v>
      </c>
      <c r="C830" s="81">
        <v>415</v>
      </c>
      <c r="D830" s="21">
        <v>200</v>
      </c>
      <c r="E830" s="499">
        <v>10</v>
      </c>
      <c r="F830" s="168">
        <f t="shared" si="50"/>
        <v>0.2</v>
      </c>
      <c r="G830" s="190">
        <f t="shared" si="51"/>
        <v>83</v>
      </c>
      <c r="H830" s="810">
        <f t="shared" si="52"/>
        <v>4150</v>
      </c>
    </row>
    <row r="831" spans="2:8" hidden="1" outlineLevel="2">
      <c r="B831" s="276" t="s">
        <v>1908</v>
      </c>
      <c r="C831" s="81">
        <v>58</v>
      </c>
      <c r="D831" s="21">
        <v>200</v>
      </c>
      <c r="E831" s="499">
        <v>10</v>
      </c>
      <c r="F831" s="168">
        <f t="shared" si="50"/>
        <v>0.2</v>
      </c>
      <c r="G831" s="190">
        <f t="shared" si="51"/>
        <v>11.600000000000001</v>
      </c>
      <c r="H831" s="810">
        <f t="shared" si="52"/>
        <v>580</v>
      </c>
    </row>
    <row r="832" spans="2:8" hidden="1" outlineLevel="2">
      <c r="B832" s="276" t="s">
        <v>1909</v>
      </c>
      <c r="C832" s="81">
        <v>687</v>
      </c>
      <c r="D832" s="21">
        <v>200</v>
      </c>
      <c r="E832" s="499">
        <v>10</v>
      </c>
      <c r="F832" s="168">
        <f t="shared" si="50"/>
        <v>0.2</v>
      </c>
      <c r="G832" s="190">
        <f t="shared" si="51"/>
        <v>137.4</v>
      </c>
      <c r="H832" s="810">
        <f t="shared" si="52"/>
        <v>6870</v>
      </c>
    </row>
    <row r="833" spans="2:8" hidden="1" outlineLevel="2">
      <c r="B833" s="276" t="s">
        <v>1910</v>
      </c>
      <c r="C833" s="81">
        <v>3736</v>
      </c>
      <c r="D833" s="21">
        <v>200</v>
      </c>
      <c r="E833" s="499">
        <v>10</v>
      </c>
      <c r="F833" s="168">
        <f t="shared" si="50"/>
        <v>0.2</v>
      </c>
      <c r="G833" s="190">
        <f t="shared" si="51"/>
        <v>747.2</v>
      </c>
      <c r="H833" s="810">
        <f t="shared" si="52"/>
        <v>37360</v>
      </c>
    </row>
    <row r="834" spans="2:8" hidden="1" outlineLevel="2">
      <c r="B834" s="276" t="s">
        <v>1911</v>
      </c>
      <c r="C834" s="81">
        <v>627</v>
      </c>
      <c r="D834" s="21">
        <v>200</v>
      </c>
      <c r="E834" s="499">
        <v>10</v>
      </c>
      <c r="F834" s="168">
        <f t="shared" si="50"/>
        <v>0.2</v>
      </c>
      <c r="G834" s="190">
        <f t="shared" si="51"/>
        <v>125.4</v>
      </c>
      <c r="H834" s="810">
        <f t="shared" si="52"/>
        <v>6270</v>
      </c>
    </row>
    <row r="835" spans="2:8" hidden="1" outlineLevel="2">
      <c r="B835" s="276" t="s">
        <v>1912</v>
      </c>
      <c r="C835" s="81">
        <v>1383</v>
      </c>
      <c r="D835" s="21">
        <v>200</v>
      </c>
      <c r="E835" s="499">
        <v>10</v>
      </c>
      <c r="F835" s="168">
        <f t="shared" si="50"/>
        <v>0.2</v>
      </c>
      <c r="G835" s="190">
        <f t="shared" si="51"/>
        <v>276.60000000000002</v>
      </c>
      <c r="H835" s="810">
        <f t="shared" si="52"/>
        <v>13830</v>
      </c>
    </row>
    <row r="836" spans="2:8" hidden="1" outlineLevel="2">
      <c r="B836" s="276" t="s">
        <v>1913</v>
      </c>
      <c r="C836" s="81">
        <v>86</v>
      </c>
      <c r="D836" s="21">
        <v>225</v>
      </c>
      <c r="E836" s="499">
        <v>10</v>
      </c>
      <c r="F836" s="168">
        <f t="shared" si="50"/>
        <v>0.22500000000000001</v>
      </c>
      <c r="G836" s="190">
        <f t="shared" si="51"/>
        <v>19.350000000000001</v>
      </c>
      <c r="H836" s="810">
        <f t="shared" si="52"/>
        <v>860</v>
      </c>
    </row>
    <row r="837" spans="2:8" hidden="1" outlineLevel="2">
      <c r="B837" s="276" t="s">
        <v>1914</v>
      </c>
      <c r="C837" s="81">
        <v>14975</v>
      </c>
      <c r="D837" s="21">
        <v>225</v>
      </c>
      <c r="E837" s="499">
        <v>10</v>
      </c>
      <c r="F837" s="168">
        <f t="shared" si="50"/>
        <v>0.22500000000000001</v>
      </c>
      <c r="G837" s="190">
        <f t="shared" si="51"/>
        <v>3369.375</v>
      </c>
      <c r="H837" s="810">
        <f t="shared" si="52"/>
        <v>149750</v>
      </c>
    </row>
    <row r="838" spans="2:8" hidden="1" outlineLevel="2">
      <c r="B838" s="276" t="s">
        <v>1915</v>
      </c>
      <c r="C838" s="81">
        <v>2719</v>
      </c>
      <c r="D838" s="21">
        <v>25</v>
      </c>
      <c r="E838" s="499">
        <v>10</v>
      </c>
      <c r="F838" s="168">
        <f t="shared" si="50"/>
        <v>2.5000000000000001E-2</v>
      </c>
      <c r="G838" s="190">
        <f t="shared" si="51"/>
        <v>67.975000000000009</v>
      </c>
      <c r="H838" s="810">
        <f t="shared" si="52"/>
        <v>27190</v>
      </c>
    </row>
    <row r="839" spans="2:8" hidden="1" outlineLevel="2">
      <c r="B839" s="276" t="s">
        <v>1916</v>
      </c>
      <c r="C839" s="81">
        <v>4837</v>
      </c>
      <c r="D839" s="21">
        <v>300</v>
      </c>
      <c r="E839" s="499">
        <v>10</v>
      </c>
      <c r="F839" s="168">
        <f t="shared" si="50"/>
        <v>0.3</v>
      </c>
      <c r="G839" s="190">
        <f t="shared" si="51"/>
        <v>1451.1</v>
      </c>
      <c r="H839" s="810">
        <f t="shared" si="52"/>
        <v>48370</v>
      </c>
    </row>
    <row r="840" spans="2:8" hidden="1" outlineLevel="2">
      <c r="B840" s="276" t="s">
        <v>1917</v>
      </c>
      <c r="C840" s="81">
        <v>2722</v>
      </c>
      <c r="D840" s="21">
        <v>50</v>
      </c>
      <c r="E840" s="499">
        <v>10</v>
      </c>
      <c r="F840" s="168">
        <f t="shared" si="50"/>
        <v>0.05</v>
      </c>
      <c r="G840" s="190">
        <f t="shared" si="51"/>
        <v>136.1</v>
      </c>
      <c r="H840" s="810">
        <f t="shared" si="52"/>
        <v>27220</v>
      </c>
    </row>
    <row r="841" spans="2:8" hidden="1" outlineLevel="2">
      <c r="B841" s="276" t="s">
        <v>1918</v>
      </c>
      <c r="C841" s="81">
        <v>1340</v>
      </c>
      <c r="D841" s="21">
        <v>63</v>
      </c>
      <c r="E841" s="499">
        <v>10</v>
      </c>
      <c r="F841" s="168">
        <f t="shared" si="50"/>
        <v>6.3E-2</v>
      </c>
      <c r="G841" s="190">
        <f t="shared" si="51"/>
        <v>84.42</v>
      </c>
      <c r="H841" s="810">
        <f t="shared" si="52"/>
        <v>13400</v>
      </c>
    </row>
    <row r="842" spans="2:8" hidden="1" outlineLevel="2">
      <c r="B842" s="276" t="s">
        <v>1919</v>
      </c>
      <c r="C842" s="81">
        <v>301715</v>
      </c>
      <c r="D842" s="21">
        <v>100</v>
      </c>
      <c r="E842" s="499">
        <v>16</v>
      </c>
      <c r="F842" s="168">
        <f t="shared" si="50"/>
        <v>0.16</v>
      </c>
      <c r="G842" s="190">
        <f t="shared" si="51"/>
        <v>48274.400000000001</v>
      </c>
      <c r="H842" s="810">
        <f t="shared" si="52"/>
        <v>4827440</v>
      </c>
    </row>
    <row r="843" spans="2:8" hidden="1" outlineLevel="2">
      <c r="B843" s="276" t="s">
        <v>1920</v>
      </c>
      <c r="C843" s="81">
        <v>343421</v>
      </c>
      <c r="D843" s="21">
        <v>200</v>
      </c>
      <c r="E843" s="499">
        <v>16</v>
      </c>
      <c r="F843" s="168">
        <f t="shared" si="50"/>
        <v>0.32</v>
      </c>
      <c r="G843" s="190">
        <f t="shared" si="51"/>
        <v>109894.72</v>
      </c>
      <c r="H843" s="810">
        <f t="shared" si="52"/>
        <v>5494736</v>
      </c>
    </row>
    <row r="844" spans="2:8" ht="14.5" hidden="1" outlineLevel="2" thickBot="1">
      <c r="B844" s="515" t="s">
        <v>1921</v>
      </c>
      <c r="C844" s="793">
        <v>148941</v>
      </c>
      <c r="D844" s="357">
        <v>25</v>
      </c>
      <c r="E844" s="803">
        <v>10</v>
      </c>
      <c r="F844" s="549">
        <f t="shared" si="50"/>
        <v>2.5000000000000001E-2</v>
      </c>
      <c r="G844" s="811">
        <f t="shared" si="51"/>
        <v>3723.5250000000001</v>
      </c>
      <c r="H844" s="812">
        <f t="shared" si="52"/>
        <v>1489410</v>
      </c>
    </row>
    <row r="845" spans="2:8" ht="14.5" hidden="1" outlineLevel="1" collapsed="1" thickBot="1">
      <c r="B845" s="282" t="s">
        <v>1922</v>
      </c>
      <c r="C845" s="799">
        <f>SUM(C820:C844)</f>
        <v>1132252</v>
      </c>
      <c r="D845" s="799"/>
      <c r="E845" s="799"/>
      <c r="F845" s="799"/>
      <c r="G845" s="800">
        <f>SUM(G821:G844)</f>
        <v>177929.30499999999</v>
      </c>
      <c r="H845" s="801">
        <f>SUM(H820:H844)</f>
        <v>14108891</v>
      </c>
    </row>
    <row r="846" spans="2:8" hidden="1" outlineLevel="2">
      <c r="B846" s="794" t="s">
        <v>1923</v>
      </c>
      <c r="C846" s="795">
        <v>27285</v>
      </c>
      <c r="D846" s="352">
        <v>135</v>
      </c>
      <c r="E846" s="503">
        <v>5</v>
      </c>
      <c r="F846" s="804">
        <f t="shared" ref="F846:F864" si="53">E846*D846/10000</f>
        <v>6.7500000000000004E-2</v>
      </c>
      <c r="G846" s="813">
        <f t="shared" ref="G846:G864" si="54">F846*C846</f>
        <v>1841.7375000000002</v>
      </c>
      <c r="H846" s="814">
        <f t="shared" ref="H846:H864" si="55">E846*C846</f>
        <v>136425</v>
      </c>
    </row>
    <row r="847" spans="2:8" hidden="1" outlineLevel="2">
      <c r="B847" s="276" t="s">
        <v>1924</v>
      </c>
      <c r="C847" s="81">
        <v>726</v>
      </c>
      <c r="D847" s="21">
        <v>135</v>
      </c>
      <c r="E847" s="499">
        <v>5</v>
      </c>
      <c r="F847" s="168">
        <f t="shared" si="53"/>
        <v>6.7500000000000004E-2</v>
      </c>
      <c r="G847" s="190">
        <f t="shared" si="54"/>
        <v>49.005000000000003</v>
      </c>
      <c r="H847" s="810">
        <f t="shared" si="55"/>
        <v>3630</v>
      </c>
    </row>
    <row r="848" spans="2:8" hidden="1" outlineLevel="2">
      <c r="B848" s="276" t="s">
        <v>1925</v>
      </c>
      <c r="C848" s="81">
        <v>6547</v>
      </c>
      <c r="D848" s="21">
        <v>135</v>
      </c>
      <c r="E848" s="499">
        <v>5</v>
      </c>
      <c r="F848" s="168">
        <f t="shared" si="53"/>
        <v>6.7500000000000004E-2</v>
      </c>
      <c r="G848" s="190">
        <f t="shared" si="54"/>
        <v>441.92250000000001</v>
      </c>
      <c r="H848" s="810">
        <f t="shared" si="55"/>
        <v>32735</v>
      </c>
    </row>
    <row r="849" spans="2:8" hidden="1" outlineLevel="2">
      <c r="B849" s="276" t="s">
        <v>1926</v>
      </c>
      <c r="C849" s="81">
        <v>9243</v>
      </c>
      <c r="D849" s="21">
        <v>135</v>
      </c>
      <c r="E849" s="499">
        <v>5</v>
      </c>
      <c r="F849" s="168">
        <f t="shared" si="53"/>
        <v>6.7500000000000004E-2</v>
      </c>
      <c r="G849" s="190">
        <f t="shared" si="54"/>
        <v>623.90250000000003</v>
      </c>
      <c r="H849" s="810">
        <f t="shared" si="55"/>
        <v>46215</v>
      </c>
    </row>
    <row r="850" spans="2:8" hidden="1" outlineLevel="2">
      <c r="B850" s="276" t="s">
        <v>1927</v>
      </c>
      <c r="C850" s="81">
        <v>7892</v>
      </c>
      <c r="D850" s="21">
        <v>135</v>
      </c>
      <c r="E850" s="499">
        <v>5</v>
      </c>
      <c r="F850" s="168">
        <f t="shared" si="53"/>
        <v>6.7500000000000004E-2</v>
      </c>
      <c r="G850" s="190">
        <f t="shared" si="54"/>
        <v>532.71</v>
      </c>
      <c r="H850" s="810">
        <f t="shared" si="55"/>
        <v>39460</v>
      </c>
    </row>
    <row r="851" spans="2:8" hidden="1" outlineLevel="2">
      <c r="B851" s="276" t="s">
        <v>1928</v>
      </c>
      <c r="C851" s="81">
        <v>2695</v>
      </c>
      <c r="D851" s="21">
        <v>135</v>
      </c>
      <c r="E851" s="499">
        <v>5</v>
      </c>
      <c r="F851" s="168">
        <f t="shared" si="53"/>
        <v>6.7500000000000004E-2</v>
      </c>
      <c r="G851" s="190">
        <f t="shared" si="54"/>
        <v>181.91250000000002</v>
      </c>
      <c r="H851" s="810">
        <f t="shared" si="55"/>
        <v>13475</v>
      </c>
    </row>
    <row r="852" spans="2:8" hidden="1" outlineLevel="2">
      <c r="B852" s="276" t="s">
        <v>1929</v>
      </c>
      <c r="C852" s="81">
        <v>6182</v>
      </c>
      <c r="D852" s="21">
        <v>135</v>
      </c>
      <c r="E852" s="499">
        <v>5</v>
      </c>
      <c r="F852" s="168">
        <f t="shared" si="53"/>
        <v>6.7500000000000004E-2</v>
      </c>
      <c r="G852" s="190">
        <f t="shared" si="54"/>
        <v>417.28500000000003</v>
      </c>
      <c r="H852" s="810">
        <f t="shared" si="55"/>
        <v>30910</v>
      </c>
    </row>
    <row r="853" spans="2:8" hidden="1" outlineLevel="2">
      <c r="B853" s="276" t="s">
        <v>1930</v>
      </c>
      <c r="C853" s="81">
        <v>737</v>
      </c>
      <c r="D853" s="21">
        <v>135</v>
      </c>
      <c r="E853" s="499">
        <v>5</v>
      </c>
      <c r="F853" s="168">
        <f t="shared" si="53"/>
        <v>6.7500000000000004E-2</v>
      </c>
      <c r="G853" s="190">
        <f t="shared" si="54"/>
        <v>49.747500000000002</v>
      </c>
      <c r="H853" s="810">
        <f t="shared" si="55"/>
        <v>3685</v>
      </c>
    </row>
    <row r="854" spans="2:8" hidden="1" outlineLevel="2">
      <c r="B854" s="276" t="s">
        <v>1931</v>
      </c>
      <c r="C854" s="81">
        <v>8549</v>
      </c>
      <c r="D854" s="21">
        <v>135</v>
      </c>
      <c r="E854" s="499">
        <v>5</v>
      </c>
      <c r="F854" s="168">
        <f t="shared" si="53"/>
        <v>6.7500000000000004E-2</v>
      </c>
      <c r="G854" s="190">
        <f t="shared" si="54"/>
        <v>577.0575</v>
      </c>
      <c r="H854" s="810">
        <f t="shared" si="55"/>
        <v>42745</v>
      </c>
    </row>
    <row r="855" spans="2:8" hidden="1" outlineLevel="2">
      <c r="B855" s="276" t="s">
        <v>1932</v>
      </c>
      <c r="C855" s="81">
        <v>33315</v>
      </c>
      <c r="D855" s="21">
        <v>30</v>
      </c>
      <c r="E855" s="499">
        <v>10</v>
      </c>
      <c r="F855" s="168">
        <f t="shared" si="53"/>
        <v>0.03</v>
      </c>
      <c r="G855" s="190">
        <f t="shared" si="54"/>
        <v>999.44999999999993</v>
      </c>
      <c r="H855" s="810">
        <f t="shared" si="55"/>
        <v>333150</v>
      </c>
    </row>
    <row r="856" spans="2:8" hidden="1" outlineLevel="2">
      <c r="B856" s="276" t="s">
        <v>1933</v>
      </c>
      <c r="C856" s="81">
        <v>84810</v>
      </c>
      <c r="D856" s="21">
        <v>30</v>
      </c>
      <c r="E856" s="499">
        <v>5</v>
      </c>
      <c r="F856" s="168">
        <f t="shared" si="53"/>
        <v>1.4999999999999999E-2</v>
      </c>
      <c r="G856" s="190">
        <f t="shared" si="54"/>
        <v>1272.1499999999999</v>
      </c>
      <c r="H856" s="810">
        <f t="shared" si="55"/>
        <v>424050</v>
      </c>
    </row>
    <row r="857" spans="2:8" hidden="1" outlineLevel="2">
      <c r="B857" s="276" t="s">
        <v>1934</v>
      </c>
      <c r="C857" s="81">
        <v>23241</v>
      </c>
      <c r="D857" s="21">
        <v>30</v>
      </c>
      <c r="E857" s="499">
        <v>5</v>
      </c>
      <c r="F857" s="168">
        <f t="shared" si="53"/>
        <v>1.4999999999999999E-2</v>
      </c>
      <c r="G857" s="190">
        <f t="shared" si="54"/>
        <v>348.61500000000001</v>
      </c>
      <c r="H857" s="810">
        <f t="shared" si="55"/>
        <v>116205</v>
      </c>
    </row>
    <row r="858" spans="2:8" hidden="1" outlineLevel="2">
      <c r="B858" s="276" t="s">
        <v>1935</v>
      </c>
      <c r="C858" s="81">
        <v>1666</v>
      </c>
      <c r="D858" s="21">
        <v>30</v>
      </c>
      <c r="E858" s="499">
        <v>5</v>
      </c>
      <c r="F858" s="168">
        <f t="shared" si="53"/>
        <v>1.4999999999999999E-2</v>
      </c>
      <c r="G858" s="190">
        <f t="shared" si="54"/>
        <v>24.99</v>
      </c>
      <c r="H858" s="810">
        <f t="shared" si="55"/>
        <v>8330</v>
      </c>
    </row>
    <row r="859" spans="2:8" hidden="1" outlineLevel="2">
      <c r="B859" s="276" t="s">
        <v>1936</v>
      </c>
      <c r="C859" s="81">
        <v>1772</v>
      </c>
      <c r="D859" s="21">
        <v>30</v>
      </c>
      <c r="E859" s="499">
        <v>5</v>
      </c>
      <c r="F859" s="168">
        <f t="shared" si="53"/>
        <v>1.4999999999999999E-2</v>
      </c>
      <c r="G859" s="190">
        <f t="shared" si="54"/>
        <v>26.58</v>
      </c>
      <c r="H859" s="810">
        <f t="shared" si="55"/>
        <v>8860</v>
      </c>
    </row>
    <row r="860" spans="2:8" hidden="1" outlineLevel="2">
      <c r="B860" s="276" t="s">
        <v>1937</v>
      </c>
      <c r="C860" s="81">
        <v>12535</v>
      </c>
      <c r="D860" s="21">
        <v>30</v>
      </c>
      <c r="E860" s="499">
        <v>5</v>
      </c>
      <c r="F860" s="168">
        <f t="shared" si="53"/>
        <v>1.4999999999999999E-2</v>
      </c>
      <c r="G860" s="190">
        <f t="shared" si="54"/>
        <v>188.02500000000001</v>
      </c>
      <c r="H860" s="810">
        <f t="shared" si="55"/>
        <v>62675</v>
      </c>
    </row>
    <row r="861" spans="2:8" hidden="1" outlineLevel="2">
      <c r="B861" s="276" t="s">
        <v>1938</v>
      </c>
      <c r="C861" s="81">
        <v>29789</v>
      </c>
      <c r="D861" s="21">
        <v>30</v>
      </c>
      <c r="E861" s="499">
        <v>5</v>
      </c>
      <c r="F861" s="168">
        <f t="shared" si="53"/>
        <v>1.4999999999999999E-2</v>
      </c>
      <c r="G861" s="190">
        <f t="shared" si="54"/>
        <v>446.83499999999998</v>
      </c>
      <c r="H861" s="810">
        <f t="shared" si="55"/>
        <v>148945</v>
      </c>
    </row>
    <row r="862" spans="2:8" hidden="1" outlineLevel="2">
      <c r="B862" s="276" t="s">
        <v>1939</v>
      </c>
      <c r="C862" s="81">
        <v>56210</v>
      </c>
      <c r="D862" s="21">
        <v>30</v>
      </c>
      <c r="E862" s="499">
        <v>5</v>
      </c>
      <c r="F862" s="168">
        <f t="shared" si="53"/>
        <v>1.4999999999999999E-2</v>
      </c>
      <c r="G862" s="190">
        <f t="shared" si="54"/>
        <v>843.15</v>
      </c>
      <c r="H862" s="810">
        <f t="shared" si="55"/>
        <v>281050</v>
      </c>
    </row>
    <row r="863" spans="2:8" hidden="1" outlineLevel="2">
      <c r="B863" s="276" t="s">
        <v>1940</v>
      </c>
      <c r="C863" s="81">
        <v>21230</v>
      </c>
      <c r="D863" s="21">
        <v>30</v>
      </c>
      <c r="E863" s="499">
        <v>5</v>
      </c>
      <c r="F863" s="168">
        <f t="shared" si="53"/>
        <v>1.4999999999999999E-2</v>
      </c>
      <c r="G863" s="190">
        <f t="shared" si="54"/>
        <v>318.45</v>
      </c>
      <c r="H863" s="810">
        <f t="shared" si="55"/>
        <v>106150</v>
      </c>
    </row>
    <row r="864" spans="2:8" hidden="1" outlineLevel="2">
      <c r="B864" s="276" t="s">
        <v>1941</v>
      </c>
      <c r="C864" s="81">
        <v>5051</v>
      </c>
      <c r="D864" s="21">
        <v>30</v>
      </c>
      <c r="E864" s="499">
        <v>5</v>
      </c>
      <c r="F864" s="168">
        <f t="shared" si="53"/>
        <v>1.4999999999999999E-2</v>
      </c>
      <c r="G864" s="190">
        <f t="shared" si="54"/>
        <v>75.765000000000001</v>
      </c>
      <c r="H864" s="810">
        <f t="shared" si="55"/>
        <v>25255</v>
      </c>
    </row>
    <row r="865" spans="2:8" hidden="1" outlineLevel="2">
      <c r="B865" s="276" t="s">
        <v>1942</v>
      </c>
      <c r="C865" s="81">
        <v>11073</v>
      </c>
      <c r="D865" s="21">
        <v>30</v>
      </c>
      <c r="E865" s="499">
        <v>5</v>
      </c>
      <c r="F865" s="168">
        <f t="shared" ref="F865:F928" si="56">E865*D865/10000</f>
        <v>1.4999999999999999E-2</v>
      </c>
      <c r="G865" s="190">
        <f t="shared" ref="G865:G928" si="57">F865*C865</f>
        <v>166.095</v>
      </c>
      <c r="H865" s="810">
        <f t="shared" ref="H865:H928" si="58">E865*C865</f>
        <v>55365</v>
      </c>
    </row>
    <row r="866" spans="2:8" hidden="1" outlineLevel="2">
      <c r="B866" s="276" t="s">
        <v>1943</v>
      </c>
      <c r="C866" s="81">
        <v>21867</v>
      </c>
      <c r="D866" s="21">
        <v>30</v>
      </c>
      <c r="E866" s="499">
        <v>5</v>
      </c>
      <c r="F866" s="168">
        <f t="shared" si="56"/>
        <v>1.4999999999999999E-2</v>
      </c>
      <c r="G866" s="190">
        <f t="shared" si="57"/>
        <v>328.005</v>
      </c>
      <c r="H866" s="810">
        <f t="shared" si="58"/>
        <v>109335</v>
      </c>
    </row>
    <row r="867" spans="2:8" hidden="1" outlineLevel="2">
      <c r="B867" s="276" t="s">
        <v>1944</v>
      </c>
      <c r="C867" s="81">
        <v>771</v>
      </c>
      <c r="D867" s="21">
        <v>30</v>
      </c>
      <c r="E867" s="499">
        <v>5</v>
      </c>
      <c r="F867" s="168">
        <f t="shared" si="56"/>
        <v>1.4999999999999999E-2</v>
      </c>
      <c r="G867" s="190">
        <f t="shared" si="57"/>
        <v>11.565</v>
      </c>
      <c r="H867" s="810">
        <f t="shared" si="58"/>
        <v>3855</v>
      </c>
    </row>
    <row r="868" spans="2:8" hidden="1" outlineLevel="2">
      <c r="B868" s="276" t="s">
        <v>1945</v>
      </c>
      <c r="C868" s="81">
        <v>29969</v>
      </c>
      <c r="D868" s="21">
        <v>40</v>
      </c>
      <c r="E868" s="499">
        <v>10</v>
      </c>
      <c r="F868" s="168">
        <f t="shared" si="56"/>
        <v>0.04</v>
      </c>
      <c r="G868" s="190">
        <f t="shared" si="57"/>
        <v>1198.76</v>
      </c>
      <c r="H868" s="810">
        <f t="shared" si="58"/>
        <v>299690</v>
      </c>
    </row>
    <row r="869" spans="2:8" hidden="1" outlineLevel="2">
      <c r="B869" s="276" t="s">
        <v>1946</v>
      </c>
      <c r="C869" s="81">
        <v>19005</v>
      </c>
      <c r="D869" s="21">
        <v>70</v>
      </c>
      <c r="E869" s="499">
        <v>10</v>
      </c>
      <c r="F869" s="168">
        <f t="shared" si="56"/>
        <v>7.0000000000000007E-2</v>
      </c>
      <c r="G869" s="190">
        <f t="shared" si="57"/>
        <v>1330.3500000000001</v>
      </c>
      <c r="H869" s="810">
        <f t="shared" si="58"/>
        <v>190050</v>
      </c>
    </row>
    <row r="870" spans="2:8" hidden="1" outlineLevel="2">
      <c r="B870" s="276" t="s">
        <v>1947</v>
      </c>
      <c r="C870" s="81">
        <v>14950</v>
      </c>
      <c r="D870" s="21">
        <v>70</v>
      </c>
      <c r="E870" s="499">
        <v>10</v>
      </c>
      <c r="F870" s="168">
        <f t="shared" si="56"/>
        <v>7.0000000000000007E-2</v>
      </c>
      <c r="G870" s="190">
        <f t="shared" si="57"/>
        <v>1046.5</v>
      </c>
      <c r="H870" s="810">
        <f t="shared" si="58"/>
        <v>149500</v>
      </c>
    </row>
    <row r="871" spans="2:8" hidden="1" outlineLevel="2">
      <c r="B871" s="276" t="s">
        <v>1948</v>
      </c>
      <c r="C871" s="81">
        <v>35011</v>
      </c>
      <c r="D871" s="21">
        <v>70</v>
      </c>
      <c r="E871" s="499">
        <v>5</v>
      </c>
      <c r="F871" s="168">
        <f t="shared" si="56"/>
        <v>3.5000000000000003E-2</v>
      </c>
      <c r="G871" s="190">
        <f t="shared" si="57"/>
        <v>1225.3850000000002</v>
      </c>
      <c r="H871" s="810">
        <f t="shared" si="58"/>
        <v>175055</v>
      </c>
    </row>
    <row r="872" spans="2:8" hidden="1" outlineLevel="2">
      <c r="B872" s="276" t="s">
        <v>1949</v>
      </c>
      <c r="C872" s="81">
        <v>24</v>
      </c>
      <c r="D872" s="21">
        <v>70</v>
      </c>
      <c r="E872" s="499">
        <v>5</v>
      </c>
      <c r="F872" s="168">
        <f t="shared" si="56"/>
        <v>3.5000000000000003E-2</v>
      </c>
      <c r="G872" s="190">
        <f t="shared" si="57"/>
        <v>0.84000000000000008</v>
      </c>
      <c r="H872" s="810">
        <f t="shared" si="58"/>
        <v>120</v>
      </c>
    </row>
    <row r="873" spans="2:8" hidden="1" outlineLevel="2">
      <c r="B873" s="276" t="s">
        <v>1950</v>
      </c>
      <c r="C873" s="81">
        <v>22586</v>
      </c>
      <c r="D873" s="21">
        <v>70</v>
      </c>
      <c r="E873" s="499">
        <v>5</v>
      </c>
      <c r="F873" s="168">
        <f t="shared" si="56"/>
        <v>3.5000000000000003E-2</v>
      </c>
      <c r="G873" s="190">
        <f t="shared" si="57"/>
        <v>790.5100000000001</v>
      </c>
      <c r="H873" s="810">
        <f t="shared" si="58"/>
        <v>112930</v>
      </c>
    </row>
    <row r="874" spans="2:8" hidden="1" outlineLevel="2">
      <c r="B874" s="276" t="s">
        <v>1951</v>
      </c>
      <c r="C874" s="81">
        <v>1073</v>
      </c>
      <c r="D874" s="21">
        <v>70</v>
      </c>
      <c r="E874" s="499">
        <v>5</v>
      </c>
      <c r="F874" s="168">
        <f t="shared" si="56"/>
        <v>3.5000000000000003E-2</v>
      </c>
      <c r="G874" s="190">
        <f t="shared" si="57"/>
        <v>37.555000000000007</v>
      </c>
      <c r="H874" s="810">
        <f t="shared" si="58"/>
        <v>5365</v>
      </c>
    </row>
    <row r="875" spans="2:8" hidden="1" outlineLevel="2">
      <c r="B875" s="276" t="s">
        <v>1952</v>
      </c>
      <c r="C875" s="81">
        <v>1287</v>
      </c>
      <c r="D875" s="21">
        <v>70</v>
      </c>
      <c r="E875" s="499">
        <v>5</v>
      </c>
      <c r="F875" s="168">
        <f t="shared" si="56"/>
        <v>3.5000000000000003E-2</v>
      </c>
      <c r="G875" s="190">
        <f t="shared" si="57"/>
        <v>45.045000000000002</v>
      </c>
      <c r="H875" s="810">
        <f t="shared" si="58"/>
        <v>6435</v>
      </c>
    </row>
    <row r="876" spans="2:8" hidden="1" outlineLevel="2">
      <c r="B876" s="276" t="s">
        <v>1953</v>
      </c>
      <c r="C876" s="81">
        <v>9232</v>
      </c>
      <c r="D876" s="21">
        <v>70</v>
      </c>
      <c r="E876" s="499">
        <v>5</v>
      </c>
      <c r="F876" s="168">
        <f t="shared" si="56"/>
        <v>3.5000000000000003E-2</v>
      </c>
      <c r="G876" s="190">
        <f t="shared" si="57"/>
        <v>323.12</v>
      </c>
      <c r="H876" s="810">
        <f t="shared" si="58"/>
        <v>46160</v>
      </c>
    </row>
    <row r="877" spans="2:8" hidden="1" outlineLevel="2">
      <c r="B877" s="276" t="s">
        <v>1954</v>
      </c>
      <c r="C877" s="81">
        <v>15181</v>
      </c>
      <c r="D877" s="21">
        <v>70</v>
      </c>
      <c r="E877" s="499">
        <v>5</v>
      </c>
      <c r="F877" s="168">
        <f t="shared" si="56"/>
        <v>3.5000000000000003E-2</v>
      </c>
      <c r="G877" s="190">
        <f t="shared" si="57"/>
        <v>531.33500000000004</v>
      </c>
      <c r="H877" s="810">
        <f t="shared" si="58"/>
        <v>75905</v>
      </c>
    </row>
    <row r="878" spans="2:8" hidden="1" outlineLevel="2">
      <c r="B878" s="276" t="s">
        <v>1955</v>
      </c>
      <c r="C878" s="81">
        <v>34294</v>
      </c>
      <c r="D878" s="21">
        <v>70</v>
      </c>
      <c r="E878" s="499">
        <v>5</v>
      </c>
      <c r="F878" s="168">
        <f t="shared" si="56"/>
        <v>3.5000000000000003E-2</v>
      </c>
      <c r="G878" s="190">
        <f t="shared" si="57"/>
        <v>1200.2900000000002</v>
      </c>
      <c r="H878" s="810">
        <f t="shared" si="58"/>
        <v>171470</v>
      </c>
    </row>
    <row r="879" spans="2:8" hidden="1" outlineLevel="2">
      <c r="B879" s="276" t="s">
        <v>1956</v>
      </c>
      <c r="C879" s="81">
        <v>11714</v>
      </c>
      <c r="D879" s="21">
        <v>70</v>
      </c>
      <c r="E879" s="499">
        <v>5</v>
      </c>
      <c r="F879" s="168">
        <f t="shared" si="56"/>
        <v>3.5000000000000003E-2</v>
      </c>
      <c r="G879" s="190">
        <f t="shared" si="57"/>
        <v>409.99000000000007</v>
      </c>
      <c r="H879" s="810">
        <f t="shared" si="58"/>
        <v>58570</v>
      </c>
    </row>
    <row r="880" spans="2:8" hidden="1" outlineLevel="2">
      <c r="B880" s="276" t="s">
        <v>1957</v>
      </c>
      <c r="C880" s="81">
        <v>5375</v>
      </c>
      <c r="D880" s="21">
        <v>70</v>
      </c>
      <c r="E880" s="499">
        <v>5</v>
      </c>
      <c r="F880" s="168">
        <f t="shared" si="56"/>
        <v>3.5000000000000003E-2</v>
      </c>
      <c r="G880" s="190">
        <f t="shared" si="57"/>
        <v>188.12500000000003</v>
      </c>
      <c r="H880" s="810">
        <f t="shared" si="58"/>
        <v>26875</v>
      </c>
    </row>
    <row r="881" spans="2:8" hidden="1" outlineLevel="2">
      <c r="B881" s="276" t="s">
        <v>1958</v>
      </c>
      <c r="C881" s="81">
        <v>12684</v>
      </c>
      <c r="D881" s="21">
        <v>70</v>
      </c>
      <c r="E881" s="499">
        <v>5</v>
      </c>
      <c r="F881" s="168">
        <f t="shared" si="56"/>
        <v>3.5000000000000003E-2</v>
      </c>
      <c r="G881" s="190">
        <f t="shared" si="57"/>
        <v>443.94000000000005</v>
      </c>
      <c r="H881" s="810">
        <f t="shared" si="58"/>
        <v>63420</v>
      </c>
    </row>
    <row r="882" spans="2:8" hidden="1" outlineLevel="2">
      <c r="B882" s="276" t="s">
        <v>1959</v>
      </c>
      <c r="C882" s="81">
        <v>8796</v>
      </c>
      <c r="D882" s="21">
        <v>70</v>
      </c>
      <c r="E882" s="499">
        <v>5</v>
      </c>
      <c r="F882" s="168">
        <f t="shared" si="56"/>
        <v>3.5000000000000003E-2</v>
      </c>
      <c r="G882" s="190">
        <f t="shared" si="57"/>
        <v>307.86</v>
      </c>
      <c r="H882" s="810">
        <f t="shared" si="58"/>
        <v>43980</v>
      </c>
    </row>
    <row r="883" spans="2:8" hidden="1" outlineLevel="2">
      <c r="B883" s="276" t="s">
        <v>1960</v>
      </c>
      <c r="C883" s="81">
        <v>925</v>
      </c>
      <c r="D883" s="21">
        <v>70</v>
      </c>
      <c r="E883" s="499">
        <v>5</v>
      </c>
      <c r="F883" s="168">
        <f t="shared" si="56"/>
        <v>3.5000000000000003E-2</v>
      </c>
      <c r="G883" s="190">
        <f t="shared" si="57"/>
        <v>32.375</v>
      </c>
      <c r="H883" s="810">
        <f t="shared" si="58"/>
        <v>4625</v>
      </c>
    </row>
    <row r="884" spans="2:8" hidden="1" outlineLevel="2">
      <c r="B884" s="276" t="s">
        <v>1961</v>
      </c>
      <c r="C884" s="81">
        <v>11234</v>
      </c>
      <c r="D884" s="21">
        <v>135</v>
      </c>
      <c r="E884" s="499">
        <v>5</v>
      </c>
      <c r="F884" s="168">
        <f t="shared" si="56"/>
        <v>6.7500000000000004E-2</v>
      </c>
      <c r="G884" s="190">
        <f t="shared" si="57"/>
        <v>758.29500000000007</v>
      </c>
      <c r="H884" s="810">
        <f t="shared" si="58"/>
        <v>56170</v>
      </c>
    </row>
    <row r="885" spans="2:8" hidden="1" outlineLevel="2">
      <c r="B885" s="276" t="s">
        <v>1962</v>
      </c>
      <c r="C885" s="81">
        <v>974</v>
      </c>
      <c r="D885" s="21">
        <v>135</v>
      </c>
      <c r="E885" s="499">
        <v>5</v>
      </c>
      <c r="F885" s="168">
        <f t="shared" si="56"/>
        <v>6.7500000000000004E-2</v>
      </c>
      <c r="G885" s="190">
        <f t="shared" si="57"/>
        <v>65.745000000000005</v>
      </c>
      <c r="H885" s="810">
        <f t="shared" si="58"/>
        <v>4870</v>
      </c>
    </row>
    <row r="886" spans="2:8" hidden="1" outlineLevel="2">
      <c r="B886" s="276" t="s">
        <v>1963</v>
      </c>
      <c r="C886" s="81">
        <v>5987</v>
      </c>
      <c r="D886" s="21">
        <v>135</v>
      </c>
      <c r="E886" s="499">
        <v>5</v>
      </c>
      <c r="F886" s="168">
        <f t="shared" si="56"/>
        <v>6.7500000000000004E-2</v>
      </c>
      <c r="G886" s="190">
        <f t="shared" si="57"/>
        <v>404.1225</v>
      </c>
      <c r="H886" s="810">
        <f t="shared" si="58"/>
        <v>29935</v>
      </c>
    </row>
    <row r="887" spans="2:8" hidden="1" outlineLevel="2">
      <c r="B887" s="276" t="s">
        <v>1964</v>
      </c>
      <c r="C887" s="81">
        <v>121099</v>
      </c>
      <c r="D887" s="21">
        <v>30</v>
      </c>
      <c r="E887" s="499">
        <v>10</v>
      </c>
      <c r="F887" s="168">
        <f t="shared" si="56"/>
        <v>0.03</v>
      </c>
      <c r="G887" s="190">
        <f t="shared" si="57"/>
        <v>3632.97</v>
      </c>
      <c r="H887" s="810">
        <f t="shared" si="58"/>
        <v>1210990</v>
      </c>
    </row>
    <row r="888" spans="2:8" hidden="1" outlineLevel="2">
      <c r="B888" s="276" t="s">
        <v>1965</v>
      </c>
      <c r="C888" s="81">
        <v>22346</v>
      </c>
      <c r="D888" s="21">
        <v>30</v>
      </c>
      <c r="E888" s="499">
        <v>10</v>
      </c>
      <c r="F888" s="168">
        <f t="shared" si="56"/>
        <v>0.03</v>
      </c>
      <c r="G888" s="190">
        <f t="shared" si="57"/>
        <v>670.38</v>
      </c>
      <c r="H888" s="810">
        <f t="shared" si="58"/>
        <v>223460</v>
      </c>
    </row>
    <row r="889" spans="2:8" hidden="1" outlineLevel="2">
      <c r="B889" s="276" t="s">
        <v>1966</v>
      </c>
      <c r="C889" s="81">
        <v>54400</v>
      </c>
      <c r="D889" s="21">
        <v>30</v>
      </c>
      <c r="E889" s="499">
        <v>10</v>
      </c>
      <c r="F889" s="168">
        <f t="shared" si="56"/>
        <v>0.03</v>
      </c>
      <c r="G889" s="190">
        <f t="shared" si="57"/>
        <v>1632</v>
      </c>
      <c r="H889" s="810">
        <f t="shared" si="58"/>
        <v>544000</v>
      </c>
    </row>
    <row r="890" spans="2:8" hidden="1" outlineLevel="2">
      <c r="B890" s="276" t="s">
        <v>1967</v>
      </c>
      <c r="C890" s="81">
        <v>668661</v>
      </c>
      <c r="D890" s="21">
        <v>30</v>
      </c>
      <c r="E890" s="499">
        <v>10</v>
      </c>
      <c r="F890" s="168">
        <f t="shared" si="56"/>
        <v>0.03</v>
      </c>
      <c r="G890" s="190">
        <f t="shared" si="57"/>
        <v>20059.829999999998</v>
      </c>
      <c r="H890" s="810">
        <f t="shared" si="58"/>
        <v>6686610</v>
      </c>
    </row>
    <row r="891" spans="2:8" hidden="1" outlineLevel="2">
      <c r="B891" s="276" t="s">
        <v>1968</v>
      </c>
      <c r="C891" s="81">
        <v>272296</v>
      </c>
      <c r="D891" s="21">
        <v>30</v>
      </c>
      <c r="E891" s="499">
        <v>10</v>
      </c>
      <c r="F891" s="168">
        <f t="shared" si="56"/>
        <v>0.03</v>
      </c>
      <c r="G891" s="190">
        <f t="shared" si="57"/>
        <v>8168.88</v>
      </c>
      <c r="H891" s="810">
        <f t="shared" si="58"/>
        <v>2722960</v>
      </c>
    </row>
    <row r="892" spans="2:8" hidden="1" outlineLevel="2">
      <c r="B892" s="276" t="s">
        <v>1969</v>
      </c>
      <c r="C892" s="81">
        <v>128761</v>
      </c>
      <c r="D892" s="21">
        <v>30</v>
      </c>
      <c r="E892" s="499">
        <v>10</v>
      </c>
      <c r="F892" s="168">
        <f t="shared" si="56"/>
        <v>0.03</v>
      </c>
      <c r="G892" s="190">
        <f t="shared" si="57"/>
        <v>3862.83</v>
      </c>
      <c r="H892" s="810">
        <f t="shared" si="58"/>
        <v>1287610</v>
      </c>
    </row>
    <row r="893" spans="2:8" hidden="1" outlineLevel="2">
      <c r="B893" s="276" t="s">
        <v>1970</v>
      </c>
      <c r="C893" s="81">
        <v>9397</v>
      </c>
      <c r="D893" s="21">
        <v>30</v>
      </c>
      <c r="E893" s="499">
        <v>10</v>
      </c>
      <c r="F893" s="168">
        <f t="shared" si="56"/>
        <v>0.03</v>
      </c>
      <c r="G893" s="190">
        <f t="shared" si="57"/>
        <v>281.90999999999997</v>
      </c>
      <c r="H893" s="810">
        <f t="shared" si="58"/>
        <v>93970</v>
      </c>
    </row>
    <row r="894" spans="2:8" hidden="1" outlineLevel="2">
      <c r="B894" s="276" t="s">
        <v>1971</v>
      </c>
      <c r="C894" s="81">
        <v>30061</v>
      </c>
      <c r="D894" s="21">
        <v>30</v>
      </c>
      <c r="E894" s="499">
        <v>10</v>
      </c>
      <c r="F894" s="168">
        <f t="shared" si="56"/>
        <v>0.03</v>
      </c>
      <c r="G894" s="190">
        <f t="shared" si="57"/>
        <v>901.82999999999993</v>
      </c>
      <c r="H894" s="810">
        <f t="shared" si="58"/>
        <v>300610</v>
      </c>
    </row>
    <row r="895" spans="2:8" hidden="1" outlineLevel="2">
      <c r="B895" s="276" t="s">
        <v>1972</v>
      </c>
      <c r="C895" s="81">
        <v>133529</v>
      </c>
      <c r="D895" s="21">
        <v>30</v>
      </c>
      <c r="E895" s="499">
        <v>10</v>
      </c>
      <c r="F895" s="168">
        <f t="shared" si="56"/>
        <v>0.03</v>
      </c>
      <c r="G895" s="190">
        <f t="shared" si="57"/>
        <v>4005.87</v>
      </c>
      <c r="H895" s="810">
        <f t="shared" si="58"/>
        <v>1335290</v>
      </c>
    </row>
    <row r="896" spans="2:8" hidden="1" outlineLevel="2">
      <c r="B896" s="276" t="s">
        <v>1973</v>
      </c>
      <c r="C896" s="81">
        <v>504</v>
      </c>
      <c r="D896" s="21">
        <v>30</v>
      </c>
      <c r="E896" s="499">
        <v>10</v>
      </c>
      <c r="F896" s="168">
        <f t="shared" si="56"/>
        <v>0.03</v>
      </c>
      <c r="G896" s="190">
        <f t="shared" si="57"/>
        <v>15.12</v>
      </c>
      <c r="H896" s="810">
        <f t="shared" si="58"/>
        <v>5040</v>
      </c>
    </row>
    <row r="897" spans="2:8" hidden="1" outlineLevel="2">
      <c r="B897" s="276" t="s">
        <v>1974</v>
      </c>
      <c r="C897" s="81">
        <v>82690</v>
      </c>
      <c r="D897" s="21">
        <v>30</v>
      </c>
      <c r="E897" s="499">
        <v>5</v>
      </c>
      <c r="F897" s="168">
        <f t="shared" si="56"/>
        <v>1.4999999999999999E-2</v>
      </c>
      <c r="G897" s="190">
        <f t="shared" si="57"/>
        <v>1240.3499999999999</v>
      </c>
      <c r="H897" s="810">
        <f t="shared" si="58"/>
        <v>413450</v>
      </c>
    </row>
    <row r="898" spans="2:8" hidden="1" outlineLevel="2">
      <c r="B898" s="276" t="s">
        <v>1975</v>
      </c>
      <c r="C898" s="81">
        <v>106108</v>
      </c>
      <c r="D898" s="21">
        <v>30</v>
      </c>
      <c r="E898" s="499">
        <v>5</v>
      </c>
      <c r="F898" s="168">
        <f t="shared" si="56"/>
        <v>1.4999999999999999E-2</v>
      </c>
      <c r="G898" s="190">
        <f t="shared" si="57"/>
        <v>1591.62</v>
      </c>
      <c r="H898" s="810">
        <f t="shared" si="58"/>
        <v>530540</v>
      </c>
    </row>
    <row r="899" spans="2:8" hidden="1" outlineLevel="2">
      <c r="B899" s="276" t="s">
        <v>1976</v>
      </c>
      <c r="C899" s="81">
        <v>136</v>
      </c>
      <c r="D899" s="21">
        <v>30</v>
      </c>
      <c r="E899" s="499">
        <v>5</v>
      </c>
      <c r="F899" s="168">
        <f t="shared" si="56"/>
        <v>1.4999999999999999E-2</v>
      </c>
      <c r="G899" s="190">
        <f t="shared" si="57"/>
        <v>2.04</v>
      </c>
      <c r="H899" s="810">
        <f t="shared" si="58"/>
        <v>680</v>
      </c>
    </row>
    <row r="900" spans="2:8" hidden="1" outlineLevel="2">
      <c r="B900" s="276" t="s">
        <v>1977</v>
      </c>
      <c r="C900" s="81">
        <v>2932</v>
      </c>
      <c r="D900" s="21">
        <v>30</v>
      </c>
      <c r="E900" s="499">
        <v>5</v>
      </c>
      <c r="F900" s="168">
        <f t="shared" si="56"/>
        <v>1.4999999999999999E-2</v>
      </c>
      <c r="G900" s="190">
        <f t="shared" si="57"/>
        <v>43.98</v>
      </c>
      <c r="H900" s="810">
        <f t="shared" si="58"/>
        <v>14660</v>
      </c>
    </row>
    <row r="901" spans="2:8" hidden="1" outlineLevel="2">
      <c r="B901" s="276" t="s">
        <v>1978</v>
      </c>
      <c r="C901" s="81">
        <v>35769</v>
      </c>
      <c r="D901" s="21">
        <v>30</v>
      </c>
      <c r="E901" s="499">
        <v>5</v>
      </c>
      <c r="F901" s="168">
        <f t="shared" si="56"/>
        <v>1.4999999999999999E-2</v>
      </c>
      <c r="G901" s="190">
        <f t="shared" si="57"/>
        <v>536.53499999999997</v>
      </c>
      <c r="H901" s="810">
        <f t="shared" si="58"/>
        <v>178845</v>
      </c>
    </row>
    <row r="902" spans="2:8" hidden="1" outlineLevel="2">
      <c r="B902" s="276" t="s">
        <v>1979</v>
      </c>
      <c r="C902" s="81">
        <v>37269</v>
      </c>
      <c r="D902" s="21">
        <v>30</v>
      </c>
      <c r="E902" s="499">
        <v>5</v>
      </c>
      <c r="F902" s="168">
        <f t="shared" si="56"/>
        <v>1.4999999999999999E-2</v>
      </c>
      <c r="G902" s="190">
        <f t="shared" si="57"/>
        <v>559.03499999999997</v>
      </c>
      <c r="H902" s="810">
        <f t="shared" si="58"/>
        <v>186345</v>
      </c>
    </row>
    <row r="903" spans="2:8" hidden="1" outlineLevel="2">
      <c r="B903" s="276" t="s">
        <v>1980</v>
      </c>
      <c r="C903" s="81">
        <v>56035</v>
      </c>
      <c r="D903" s="21">
        <v>40</v>
      </c>
      <c r="E903" s="499">
        <v>10</v>
      </c>
      <c r="F903" s="168">
        <f t="shared" si="56"/>
        <v>0.04</v>
      </c>
      <c r="G903" s="190">
        <f t="shared" si="57"/>
        <v>2241.4</v>
      </c>
      <c r="H903" s="810">
        <f t="shared" si="58"/>
        <v>560350</v>
      </c>
    </row>
    <row r="904" spans="2:8" hidden="1" outlineLevel="2">
      <c r="B904" s="276" t="s">
        <v>1981</v>
      </c>
      <c r="C904" s="81">
        <v>204</v>
      </c>
      <c r="D904" s="21">
        <v>40</v>
      </c>
      <c r="E904" s="499">
        <v>10</v>
      </c>
      <c r="F904" s="168">
        <f t="shared" si="56"/>
        <v>0.04</v>
      </c>
      <c r="G904" s="190">
        <f t="shared" si="57"/>
        <v>8.16</v>
      </c>
      <c r="H904" s="810">
        <f t="shared" si="58"/>
        <v>2040</v>
      </c>
    </row>
    <row r="905" spans="2:8" hidden="1" outlineLevel="2">
      <c r="B905" s="276" t="s">
        <v>1982</v>
      </c>
      <c r="C905" s="81">
        <v>124713</v>
      </c>
      <c r="D905" s="21">
        <v>40</v>
      </c>
      <c r="E905" s="499">
        <v>10</v>
      </c>
      <c r="F905" s="168">
        <f t="shared" si="56"/>
        <v>0.04</v>
      </c>
      <c r="G905" s="190">
        <f t="shared" si="57"/>
        <v>4988.5200000000004</v>
      </c>
      <c r="H905" s="810">
        <f t="shared" si="58"/>
        <v>1247130</v>
      </c>
    </row>
    <row r="906" spans="2:8" hidden="1" outlineLevel="2">
      <c r="B906" s="276" t="s">
        <v>1983</v>
      </c>
      <c r="C906" s="81">
        <v>44947</v>
      </c>
      <c r="D906" s="21">
        <v>70</v>
      </c>
      <c r="E906" s="499">
        <v>10</v>
      </c>
      <c r="F906" s="168">
        <f t="shared" si="56"/>
        <v>7.0000000000000007E-2</v>
      </c>
      <c r="G906" s="190">
        <f t="shared" si="57"/>
        <v>3146.2900000000004</v>
      </c>
      <c r="H906" s="810">
        <f t="shared" si="58"/>
        <v>449470</v>
      </c>
    </row>
    <row r="907" spans="2:8" hidden="1" outlineLevel="2">
      <c r="B907" s="276" t="s">
        <v>1984</v>
      </c>
      <c r="C907" s="81">
        <v>9722</v>
      </c>
      <c r="D907" s="21">
        <v>70</v>
      </c>
      <c r="E907" s="499">
        <v>10</v>
      </c>
      <c r="F907" s="168">
        <f t="shared" si="56"/>
        <v>7.0000000000000007E-2</v>
      </c>
      <c r="G907" s="190">
        <f t="shared" si="57"/>
        <v>680.54000000000008</v>
      </c>
      <c r="H907" s="810">
        <f t="shared" si="58"/>
        <v>97220</v>
      </c>
    </row>
    <row r="908" spans="2:8" hidden="1" outlineLevel="2">
      <c r="B908" s="276" t="s">
        <v>1985</v>
      </c>
      <c r="C908" s="81">
        <v>29110</v>
      </c>
      <c r="D908" s="21">
        <v>70</v>
      </c>
      <c r="E908" s="499">
        <v>10</v>
      </c>
      <c r="F908" s="168">
        <f t="shared" si="56"/>
        <v>7.0000000000000007E-2</v>
      </c>
      <c r="G908" s="190">
        <f t="shared" si="57"/>
        <v>2037.7000000000003</v>
      </c>
      <c r="H908" s="810">
        <f t="shared" si="58"/>
        <v>291100</v>
      </c>
    </row>
    <row r="909" spans="2:8" hidden="1" outlineLevel="2">
      <c r="B909" s="276" t="s">
        <v>1986</v>
      </c>
      <c r="C909" s="81">
        <v>306477</v>
      </c>
      <c r="D909" s="21">
        <v>70</v>
      </c>
      <c r="E909" s="499">
        <v>10</v>
      </c>
      <c r="F909" s="168">
        <f t="shared" si="56"/>
        <v>7.0000000000000007E-2</v>
      </c>
      <c r="G909" s="190">
        <f t="shared" si="57"/>
        <v>21453.390000000003</v>
      </c>
      <c r="H909" s="810">
        <f t="shared" si="58"/>
        <v>3064770</v>
      </c>
    </row>
    <row r="910" spans="2:8" hidden="1" outlineLevel="2">
      <c r="B910" s="276" t="s">
        <v>1987</v>
      </c>
      <c r="C910" s="81">
        <v>132477</v>
      </c>
      <c r="D910" s="21">
        <v>70</v>
      </c>
      <c r="E910" s="499">
        <v>10</v>
      </c>
      <c r="F910" s="168">
        <f t="shared" si="56"/>
        <v>7.0000000000000007E-2</v>
      </c>
      <c r="G910" s="190">
        <f t="shared" si="57"/>
        <v>9273.3900000000012</v>
      </c>
      <c r="H910" s="810">
        <f t="shared" si="58"/>
        <v>1324770</v>
      </c>
    </row>
    <row r="911" spans="2:8" hidden="1" outlineLevel="2">
      <c r="B911" s="276" t="s">
        <v>1988</v>
      </c>
      <c r="C911" s="81">
        <v>61435</v>
      </c>
      <c r="D911" s="21">
        <v>70</v>
      </c>
      <c r="E911" s="499">
        <v>10</v>
      </c>
      <c r="F911" s="168">
        <f t="shared" si="56"/>
        <v>7.0000000000000007E-2</v>
      </c>
      <c r="G911" s="190">
        <f t="shared" si="57"/>
        <v>4300.4500000000007</v>
      </c>
      <c r="H911" s="810">
        <f t="shared" si="58"/>
        <v>614350</v>
      </c>
    </row>
    <row r="912" spans="2:8" hidden="1" outlineLevel="2">
      <c r="B912" s="276" t="s">
        <v>1989</v>
      </c>
      <c r="C912" s="81">
        <v>25326</v>
      </c>
      <c r="D912" s="21">
        <v>70</v>
      </c>
      <c r="E912" s="499">
        <v>10</v>
      </c>
      <c r="F912" s="168">
        <f t="shared" si="56"/>
        <v>7.0000000000000007E-2</v>
      </c>
      <c r="G912" s="190">
        <f t="shared" si="57"/>
        <v>1772.8200000000002</v>
      </c>
      <c r="H912" s="810">
        <f t="shared" si="58"/>
        <v>253260</v>
      </c>
    </row>
    <row r="913" spans="2:8" hidden="1" outlineLevel="2">
      <c r="B913" s="276" t="s">
        <v>1990</v>
      </c>
      <c r="C913" s="81">
        <v>6041</v>
      </c>
      <c r="D913" s="21">
        <v>70</v>
      </c>
      <c r="E913" s="499">
        <v>10</v>
      </c>
      <c r="F913" s="168">
        <f t="shared" si="56"/>
        <v>7.0000000000000007E-2</v>
      </c>
      <c r="G913" s="190">
        <f t="shared" si="57"/>
        <v>422.87000000000006</v>
      </c>
      <c r="H913" s="810">
        <f t="shared" si="58"/>
        <v>60410</v>
      </c>
    </row>
    <row r="914" spans="2:8" hidden="1" outlineLevel="2">
      <c r="B914" s="276" t="s">
        <v>1991</v>
      </c>
      <c r="C914" s="81">
        <v>11885</v>
      </c>
      <c r="D914" s="21">
        <v>70</v>
      </c>
      <c r="E914" s="499">
        <v>10</v>
      </c>
      <c r="F914" s="168">
        <f t="shared" si="56"/>
        <v>7.0000000000000007E-2</v>
      </c>
      <c r="G914" s="190">
        <f t="shared" si="57"/>
        <v>831.95</v>
      </c>
      <c r="H914" s="810">
        <f t="shared" si="58"/>
        <v>118850</v>
      </c>
    </row>
    <row r="915" spans="2:8" hidden="1" outlineLevel="2">
      <c r="B915" s="276" t="s">
        <v>1992</v>
      </c>
      <c r="C915" s="81">
        <v>51518</v>
      </c>
      <c r="D915" s="21">
        <v>70</v>
      </c>
      <c r="E915" s="499">
        <v>10</v>
      </c>
      <c r="F915" s="168">
        <f t="shared" si="56"/>
        <v>7.0000000000000007E-2</v>
      </c>
      <c r="G915" s="190">
        <f t="shared" si="57"/>
        <v>3606.26</v>
      </c>
      <c r="H915" s="810">
        <f t="shared" si="58"/>
        <v>515180</v>
      </c>
    </row>
    <row r="916" spans="2:8" hidden="1" outlineLevel="2">
      <c r="B916" s="276" t="s">
        <v>1993</v>
      </c>
      <c r="C916" s="81">
        <v>601</v>
      </c>
      <c r="D916" s="21">
        <v>70</v>
      </c>
      <c r="E916" s="499">
        <v>10</v>
      </c>
      <c r="F916" s="168">
        <f t="shared" si="56"/>
        <v>7.0000000000000007E-2</v>
      </c>
      <c r="G916" s="190">
        <f t="shared" si="57"/>
        <v>42.070000000000007</v>
      </c>
      <c r="H916" s="810">
        <f t="shared" si="58"/>
        <v>6010</v>
      </c>
    </row>
    <row r="917" spans="2:8" hidden="1" outlineLevel="2">
      <c r="B917" s="276" t="s">
        <v>1994</v>
      </c>
      <c r="C917" s="81">
        <v>265849</v>
      </c>
      <c r="D917" s="21">
        <v>70</v>
      </c>
      <c r="E917" s="499">
        <v>10</v>
      </c>
      <c r="F917" s="168">
        <f t="shared" si="56"/>
        <v>7.0000000000000007E-2</v>
      </c>
      <c r="G917" s="190">
        <f t="shared" si="57"/>
        <v>18609.43</v>
      </c>
      <c r="H917" s="810">
        <f t="shared" si="58"/>
        <v>2658490</v>
      </c>
    </row>
    <row r="918" spans="2:8" hidden="1" outlineLevel="2">
      <c r="B918" s="276" t="s">
        <v>1995</v>
      </c>
      <c r="C918" s="81">
        <v>30</v>
      </c>
      <c r="D918" s="21">
        <v>70</v>
      </c>
      <c r="E918" s="499">
        <v>5</v>
      </c>
      <c r="F918" s="168">
        <f t="shared" si="56"/>
        <v>3.5000000000000003E-2</v>
      </c>
      <c r="G918" s="190">
        <f t="shared" si="57"/>
        <v>1.05</v>
      </c>
      <c r="H918" s="810">
        <f t="shared" si="58"/>
        <v>150</v>
      </c>
    </row>
    <row r="919" spans="2:8" hidden="1" outlineLevel="2">
      <c r="B919" s="276" t="s">
        <v>1996</v>
      </c>
      <c r="C919" s="81">
        <v>48682</v>
      </c>
      <c r="D919" s="21">
        <v>70</v>
      </c>
      <c r="E919" s="499">
        <v>5</v>
      </c>
      <c r="F919" s="168">
        <f t="shared" si="56"/>
        <v>3.5000000000000003E-2</v>
      </c>
      <c r="G919" s="190">
        <f t="shared" si="57"/>
        <v>1703.8700000000001</v>
      </c>
      <c r="H919" s="810">
        <f t="shared" si="58"/>
        <v>243410</v>
      </c>
    </row>
    <row r="920" spans="2:8" hidden="1" outlineLevel="2">
      <c r="B920" s="276" t="s">
        <v>1997</v>
      </c>
      <c r="C920" s="81">
        <v>59387</v>
      </c>
      <c r="D920" s="21">
        <v>70</v>
      </c>
      <c r="E920" s="499">
        <v>5</v>
      </c>
      <c r="F920" s="168">
        <f t="shared" si="56"/>
        <v>3.5000000000000003E-2</v>
      </c>
      <c r="G920" s="190">
        <f t="shared" si="57"/>
        <v>2078.5450000000001</v>
      </c>
      <c r="H920" s="810">
        <f t="shared" si="58"/>
        <v>296935</v>
      </c>
    </row>
    <row r="921" spans="2:8" hidden="1" outlineLevel="2">
      <c r="B921" s="276" t="s">
        <v>1998</v>
      </c>
      <c r="C921" s="81">
        <v>47</v>
      </c>
      <c r="D921" s="21">
        <v>70</v>
      </c>
      <c r="E921" s="499">
        <v>5</v>
      </c>
      <c r="F921" s="168">
        <f t="shared" si="56"/>
        <v>3.5000000000000003E-2</v>
      </c>
      <c r="G921" s="190">
        <f t="shared" si="57"/>
        <v>1.6450000000000002</v>
      </c>
      <c r="H921" s="810">
        <f t="shared" si="58"/>
        <v>235</v>
      </c>
    </row>
    <row r="922" spans="2:8" hidden="1" outlineLevel="2">
      <c r="B922" s="276" t="s">
        <v>1999</v>
      </c>
      <c r="C922" s="81">
        <v>1847</v>
      </c>
      <c r="D922" s="21">
        <v>70</v>
      </c>
      <c r="E922" s="499">
        <v>5</v>
      </c>
      <c r="F922" s="168">
        <f t="shared" si="56"/>
        <v>3.5000000000000003E-2</v>
      </c>
      <c r="G922" s="190">
        <f t="shared" si="57"/>
        <v>64.64500000000001</v>
      </c>
      <c r="H922" s="810">
        <f t="shared" si="58"/>
        <v>9235</v>
      </c>
    </row>
    <row r="923" spans="2:8" hidden="1" outlineLevel="2">
      <c r="B923" s="276" t="s">
        <v>2000</v>
      </c>
      <c r="C923" s="81">
        <v>9237</v>
      </c>
      <c r="D923" s="21">
        <v>70</v>
      </c>
      <c r="E923" s="499">
        <v>5</v>
      </c>
      <c r="F923" s="168">
        <f t="shared" si="56"/>
        <v>3.5000000000000003E-2</v>
      </c>
      <c r="G923" s="190">
        <f t="shared" si="57"/>
        <v>323.29500000000002</v>
      </c>
      <c r="H923" s="810">
        <f t="shared" si="58"/>
        <v>46185</v>
      </c>
    </row>
    <row r="924" spans="2:8" hidden="1" outlineLevel="2">
      <c r="B924" s="276" t="s">
        <v>2001</v>
      </c>
      <c r="C924" s="81">
        <v>13092</v>
      </c>
      <c r="D924" s="21">
        <v>70</v>
      </c>
      <c r="E924" s="499">
        <v>5</v>
      </c>
      <c r="F924" s="168">
        <f t="shared" si="56"/>
        <v>3.5000000000000003E-2</v>
      </c>
      <c r="G924" s="190">
        <f t="shared" si="57"/>
        <v>458.22</v>
      </c>
      <c r="H924" s="810">
        <f t="shared" si="58"/>
        <v>65460</v>
      </c>
    </row>
    <row r="925" spans="2:8" hidden="1" outlineLevel="2">
      <c r="B925" s="276" t="s">
        <v>2002</v>
      </c>
      <c r="C925" s="81">
        <v>26573</v>
      </c>
      <c r="D925" s="21">
        <v>135</v>
      </c>
      <c r="E925" s="499">
        <v>10</v>
      </c>
      <c r="F925" s="168">
        <f t="shared" si="56"/>
        <v>0.13500000000000001</v>
      </c>
      <c r="G925" s="190">
        <f t="shared" si="57"/>
        <v>3587.355</v>
      </c>
      <c r="H925" s="810">
        <f t="shared" si="58"/>
        <v>265730</v>
      </c>
    </row>
    <row r="926" spans="2:8" hidden="1" outlineLevel="2">
      <c r="B926" s="276" t="s">
        <v>2003</v>
      </c>
      <c r="C926" s="81">
        <v>84242</v>
      </c>
      <c r="D926" s="21">
        <v>135</v>
      </c>
      <c r="E926" s="499">
        <v>10</v>
      </c>
      <c r="F926" s="168">
        <f t="shared" si="56"/>
        <v>0.13500000000000001</v>
      </c>
      <c r="G926" s="190">
        <f t="shared" si="57"/>
        <v>11372.67</v>
      </c>
      <c r="H926" s="810">
        <f t="shared" si="58"/>
        <v>842420</v>
      </c>
    </row>
    <row r="927" spans="2:8" hidden="1" outlineLevel="2">
      <c r="B927" s="276" t="s">
        <v>2004</v>
      </c>
      <c r="C927" s="81">
        <v>6005</v>
      </c>
      <c r="D927" s="21">
        <v>135</v>
      </c>
      <c r="E927" s="499">
        <v>10</v>
      </c>
      <c r="F927" s="168">
        <f t="shared" si="56"/>
        <v>0.13500000000000001</v>
      </c>
      <c r="G927" s="190">
        <f t="shared" si="57"/>
        <v>810.67500000000007</v>
      </c>
      <c r="H927" s="810">
        <f t="shared" si="58"/>
        <v>60050</v>
      </c>
    </row>
    <row r="928" spans="2:8" hidden="1" outlineLevel="2">
      <c r="B928" s="276" t="s">
        <v>2005</v>
      </c>
      <c r="C928" s="81">
        <v>14827</v>
      </c>
      <c r="D928" s="21">
        <v>135</v>
      </c>
      <c r="E928" s="499">
        <v>10</v>
      </c>
      <c r="F928" s="168">
        <f t="shared" si="56"/>
        <v>0.13500000000000001</v>
      </c>
      <c r="G928" s="190">
        <f t="shared" si="57"/>
        <v>2001.6450000000002</v>
      </c>
      <c r="H928" s="810">
        <f t="shared" si="58"/>
        <v>148270</v>
      </c>
    </row>
    <row r="929" spans="2:8" hidden="1" outlineLevel="2">
      <c r="B929" s="276" t="s">
        <v>2006</v>
      </c>
      <c r="C929" s="81">
        <v>127469</v>
      </c>
      <c r="D929" s="21">
        <v>135</v>
      </c>
      <c r="E929" s="499">
        <v>10</v>
      </c>
      <c r="F929" s="168">
        <f t="shared" ref="F929:F960" si="59">E929*D929/10000</f>
        <v>0.13500000000000001</v>
      </c>
      <c r="G929" s="190">
        <f t="shared" ref="G929:G960" si="60">F929*C929</f>
        <v>17208.315000000002</v>
      </c>
      <c r="H929" s="810">
        <f t="shared" ref="H929:H960" si="61">E929*C929</f>
        <v>1274690</v>
      </c>
    </row>
    <row r="930" spans="2:8" hidden="1" outlineLevel="2">
      <c r="B930" s="276" t="s">
        <v>2007</v>
      </c>
      <c r="C930" s="81">
        <v>3159</v>
      </c>
      <c r="D930" s="21">
        <v>135</v>
      </c>
      <c r="E930" s="499">
        <v>10</v>
      </c>
      <c r="F930" s="168">
        <f t="shared" si="59"/>
        <v>0.13500000000000001</v>
      </c>
      <c r="G930" s="190">
        <f t="shared" si="60"/>
        <v>426.46500000000003</v>
      </c>
      <c r="H930" s="810">
        <f t="shared" si="61"/>
        <v>31590</v>
      </c>
    </row>
    <row r="931" spans="2:8" hidden="1" outlineLevel="2">
      <c r="B931" s="276" t="s">
        <v>2008</v>
      </c>
      <c r="C931" s="81">
        <v>59831</v>
      </c>
      <c r="D931" s="21">
        <v>135</v>
      </c>
      <c r="E931" s="499">
        <v>10</v>
      </c>
      <c r="F931" s="168">
        <f t="shared" si="59"/>
        <v>0.13500000000000001</v>
      </c>
      <c r="G931" s="190">
        <f t="shared" si="60"/>
        <v>8077.1850000000004</v>
      </c>
      <c r="H931" s="810">
        <f t="shared" si="61"/>
        <v>598310</v>
      </c>
    </row>
    <row r="932" spans="2:8" hidden="1" outlineLevel="2">
      <c r="B932" s="276" t="s">
        <v>2009</v>
      </c>
      <c r="C932" s="81">
        <v>29593</v>
      </c>
      <c r="D932" s="21">
        <v>135</v>
      </c>
      <c r="E932" s="499">
        <v>10</v>
      </c>
      <c r="F932" s="168">
        <f t="shared" si="59"/>
        <v>0.13500000000000001</v>
      </c>
      <c r="G932" s="190">
        <f t="shared" si="60"/>
        <v>3995.0550000000003</v>
      </c>
      <c r="H932" s="810">
        <f t="shared" si="61"/>
        <v>295930</v>
      </c>
    </row>
    <row r="933" spans="2:8" hidden="1" outlineLevel="2">
      <c r="B933" s="276" t="s">
        <v>2010</v>
      </c>
      <c r="C933" s="81">
        <v>16382</v>
      </c>
      <c r="D933" s="21">
        <v>135</v>
      </c>
      <c r="E933" s="499">
        <v>10</v>
      </c>
      <c r="F933" s="168">
        <f t="shared" si="59"/>
        <v>0.13500000000000001</v>
      </c>
      <c r="G933" s="190">
        <f t="shared" si="60"/>
        <v>2211.5700000000002</v>
      </c>
      <c r="H933" s="810">
        <f t="shared" si="61"/>
        <v>163820</v>
      </c>
    </row>
    <row r="934" spans="2:8" hidden="1" outlineLevel="2">
      <c r="B934" s="276" t="s">
        <v>2011</v>
      </c>
      <c r="C934" s="81">
        <v>2970</v>
      </c>
      <c r="D934" s="21">
        <v>135</v>
      </c>
      <c r="E934" s="499">
        <v>10</v>
      </c>
      <c r="F934" s="168">
        <f t="shared" si="59"/>
        <v>0.13500000000000001</v>
      </c>
      <c r="G934" s="190">
        <f t="shared" si="60"/>
        <v>400.95000000000005</v>
      </c>
      <c r="H934" s="810">
        <f t="shared" si="61"/>
        <v>29700</v>
      </c>
    </row>
    <row r="935" spans="2:8" hidden="1" outlineLevel="2">
      <c r="B935" s="276" t="s">
        <v>2012</v>
      </c>
      <c r="C935" s="81">
        <v>5854</v>
      </c>
      <c r="D935" s="21">
        <v>135</v>
      </c>
      <c r="E935" s="499">
        <v>10</v>
      </c>
      <c r="F935" s="168">
        <f t="shared" si="59"/>
        <v>0.13500000000000001</v>
      </c>
      <c r="G935" s="190">
        <f t="shared" si="60"/>
        <v>790.29000000000008</v>
      </c>
      <c r="H935" s="810">
        <f t="shared" si="61"/>
        <v>58540</v>
      </c>
    </row>
    <row r="936" spans="2:8" hidden="1" outlineLevel="2">
      <c r="B936" s="276" t="s">
        <v>2013</v>
      </c>
      <c r="C936" s="81">
        <v>24246</v>
      </c>
      <c r="D936" s="21">
        <v>135</v>
      </c>
      <c r="E936" s="499">
        <v>10</v>
      </c>
      <c r="F936" s="168">
        <f t="shared" si="59"/>
        <v>0.13500000000000001</v>
      </c>
      <c r="G936" s="190">
        <f t="shared" si="60"/>
        <v>3273.21</v>
      </c>
      <c r="H936" s="810">
        <f t="shared" si="61"/>
        <v>242460</v>
      </c>
    </row>
    <row r="937" spans="2:8" hidden="1" outlineLevel="2">
      <c r="B937" s="276" t="s">
        <v>2014</v>
      </c>
      <c r="C937" s="81">
        <v>617</v>
      </c>
      <c r="D937" s="21">
        <v>135</v>
      </c>
      <c r="E937" s="499">
        <v>10</v>
      </c>
      <c r="F937" s="168">
        <f t="shared" si="59"/>
        <v>0.13500000000000001</v>
      </c>
      <c r="G937" s="190">
        <f t="shared" si="60"/>
        <v>83.295000000000002</v>
      </c>
      <c r="H937" s="810">
        <f t="shared" si="61"/>
        <v>6170</v>
      </c>
    </row>
    <row r="938" spans="2:8" hidden="1" outlineLevel="2">
      <c r="B938" s="276" t="s">
        <v>2015</v>
      </c>
      <c r="C938" s="81">
        <v>25029</v>
      </c>
      <c r="D938" s="21">
        <v>135</v>
      </c>
      <c r="E938" s="499">
        <v>10</v>
      </c>
      <c r="F938" s="168">
        <f t="shared" si="59"/>
        <v>0.13500000000000001</v>
      </c>
      <c r="G938" s="190">
        <f t="shared" si="60"/>
        <v>3378.9150000000004</v>
      </c>
      <c r="H938" s="810">
        <f t="shared" si="61"/>
        <v>250290</v>
      </c>
    </row>
    <row r="939" spans="2:8" hidden="1" outlineLevel="2">
      <c r="B939" s="276" t="s">
        <v>2016</v>
      </c>
      <c r="C939" s="81">
        <v>8870</v>
      </c>
      <c r="D939" s="21">
        <v>180</v>
      </c>
      <c r="E939" s="499">
        <v>5</v>
      </c>
      <c r="F939" s="168">
        <f t="shared" si="59"/>
        <v>0.09</v>
      </c>
      <c r="G939" s="190">
        <f t="shared" si="60"/>
        <v>798.3</v>
      </c>
      <c r="H939" s="810">
        <f t="shared" si="61"/>
        <v>44350</v>
      </c>
    </row>
    <row r="940" spans="2:8" hidden="1" outlineLevel="2">
      <c r="B940" s="276" t="s">
        <v>2017</v>
      </c>
      <c r="C940" s="81">
        <v>1305</v>
      </c>
      <c r="D940" s="21">
        <v>180</v>
      </c>
      <c r="E940" s="499">
        <v>5</v>
      </c>
      <c r="F940" s="168">
        <f t="shared" si="59"/>
        <v>0.09</v>
      </c>
      <c r="G940" s="190">
        <f t="shared" si="60"/>
        <v>117.44999999999999</v>
      </c>
      <c r="H940" s="810">
        <f t="shared" si="61"/>
        <v>6525</v>
      </c>
    </row>
    <row r="941" spans="2:8" hidden="1" outlineLevel="2">
      <c r="B941" s="276" t="s">
        <v>2018</v>
      </c>
      <c r="C941" s="81">
        <v>144</v>
      </c>
      <c r="D941" s="21">
        <v>180</v>
      </c>
      <c r="E941" s="499">
        <v>5</v>
      </c>
      <c r="F941" s="168">
        <f t="shared" si="59"/>
        <v>0.09</v>
      </c>
      <c r="G941" s="190">
        <f t="shared" si="60"/>
        <v>12.959999999999999</v>
      </c>
      <c r="H941" s="810">
        <f t="shared" si="61"/>
        <v>720</v>
      </c>
    </row>
    <row r="942" spans="2:8" hidden="1" outlineLevel="2">
      <c r="B942" s="276" t="s">
        <v>2019</v>
      </c>
      <c r="C942" s="81">
        <v>4576</v>
      </c>
      <c r="D942" s="21">
        <v>180</v>
      </c>
      <c r="E942" s="499">
        <v>5</v>
      </c>
      <c r="F942" s="168">
        <f t="shared" si="59"/>
        <v>0.09</v>
      </c>
      <c r="G942" s="190">
        <f t="shared" si="60"/>
        <v>411.84</v>
      </c>
      <c r="H942" s="810">
        <f t="shared" si="61"/>
        <v>22880</v>
      </c>
    </row>
    <row r="943" spans="2:8" hidden="1" outlineLevel="2">
      <c r="B943" s="276" t="s">
        <v>2020</v>
      </c>
      <c r="C943" s="81">
        <v>313</v>
      </c>
      <c r="D943" s="21">
        <v>180</v>
      </c>
      <c r="E943" s="499">
        <v>5</v>
      </c>
      <c r="F943" s="168">
        <f t="shared" si="59"/>
        <v>0.09</v>
      </c>
      <c r="G943" s="190">
        <f t="shared" si="60"/>
        <v>28.169999999999998</v>
      </c>
      <c r="H943" s="810">
        <f t="shared" si="61"/>
        <v>1565</v>
      </c>
    </row>
    <row r="944" spans="2:8" hidden="1" outlineLevel="2">
      <c r="B944" s="276" t="s">
        <v>2021</v>
      </c>
      <c r="C944" s="81">
        <v>486</v>
      </c>
      <c r="D944" s="21">
        <v>180</v>
      </c>
      <c r="E944" s="499">
        <v>5</v>
      </c>
      <c r="F944" s="168">
        <f t="shared" si="59"/>
        <v>0.09</v>
      </c>
      <c r="G944" s="190">
        <f t="shared" si="60"/>
        <v>43.739999999999995</v>
      </c>
      <c r="H944" s="810">
        <f t="shared" si="61"/>
        <v>2430</v>
      </c>
    </row>
    <row r="945" spans="2:8" hidden="1" outlineLevel="2">
      <c r="B945" s="276" t="s">
        <v>2022</v>
      </c>
      <c r="C945" s="81">
        <v>5803</v>
      </c>
      <c r="D945" s="21">
        <v>180</v>
      </c>
      <c r="E945" s="499">
        <v>5</v>
      </c>
      <c r="F945" s="168">
        <f t="shared" si="59"/>
        <v>0.09</v>
      </c>
      <c r="G945" s="190">
        <f t="shared" si="60"/>
        <v>522.27</v>
      </c>
      <c r="H945" s="810">
        <f t="shared" si="61"/>
        <v>29015</v>
      </c>
    </row>
    <row r="946" spans="2:8" hidden="1" outlineLevel="2">
      <c r="B946" s="276" t="s">
        <v>2023</v>
      </c>
      <c r="C946" s="81">
        <v>2664</v>
      </c>
      <c r="D946" s="21">
        <v>250</v>
      </c>
      <c r="E946" s="499">
        <v>5</v>
      </c>
      <c r="F946" s="168">
        <f t="shared" si="59"/>
        <v>0.125</v>
      </c>
      <c r="G946" s="190">
        <f t="shared" si="60"/>
        <v>333</v>
      </c>
      <c r="H946" s="810">
        <f t="shared" si="61"/>
        <v>13320</v>
      </c>
    </row>
    <row r="947" spans="2:8" hidden="1" outlineLevel="2">
      <c r="B947" s="276" t="s">
        <v>2024</v>
      </c>
      <c r="C947" s="81">
        <v>70</v>
      </c>
      <c r="D947" s="21">
        <v>250</v>
      </c>
      <c r="E947" s="499">
        <v>5</v>
      </c>
      <c r="F947" s="168">
        <f t="shared" si="59"/>
        <v>0.125</v>
      </c>
      <c r="G947" s="190">
        <f t="shared" si="60"/>
        <v>8.75</v>
      </c>
      <c r="H947" s="810">
        <f t="shared" si="61"/>
        <v>350</v>
      </c>
    </row>
    <row r="948" spans="2:8" hidden="1" outlineLevel="2">
      <c r="B948" s="276" t="s">
        <v>2025</v>
      </c>
      <c r="C948" s="81">
        <v>3815</v>
      </c>
      <c r="D948" s="21">
        <v>250</v>
      </c>
      <c r="E948" s="499">
        <v>5</v>
      </c>
      <c r="F948" s="168">
        <f t="shared" si="59"/>
        <v>0.125</v>
      </c>
      <c r="G948" s="190">
        <f t="shared" si="60"/>
        <v>476.875</v>
      </c>
      <c r="H948" s="810">
        <f t="shared" si="61"/>
        <v>19075</v>
      </c>
    </row>
    <row r="949" spans="2:8" hidden="1" outlineLevel="2">
      <c r="B949" s="276" t="s">
        <v>2026</v>
      </c>
      <c r="C949" s="81">
        <v>15402</v>
      </c>
      <c r="D949" s="21">
        <v>180</v>
      </c>
      <c r="E949" s="499">
        <v>10</v>
      </c>
      <c r="F949" s="168">
        <f t="shared" si="59"/>
        <v>0.18</v>
      </c>
      <c r="G949" s="190">
        <f t="shared" si="60"/>
        <v>2772.3599999999997</v>
      </c>
      <c r="H949" s="810">
        <f t="shared" si="61"/>
        <v>154020</v>
      </c>
    </row>
    <row r="950" spans="2:8" hidden="1" outlineLevel="2">
      <c r="B950" s="276" t="s">
        <v>2027</v>
      </c>
      <c r="C950" s="81">
        <v>36516</v>
      </c>
      <c r="D950" s="21">
        <v>180</v>
      </c>
      <c r="E950" s="499">
        <v>10</v>
      </c>
      <c r="F950" s="168">
        <f t="shared" si="59"/>
        <v>0.18</v>
      </c>
      <c r="G950" s="190">
        <f t="shared" si="60"/>
        <v>6572.88</v>
      </c>
      <c r="H950" s="810">
        <f t="shared" si="61"/>
        <v>365160</v>
      </c>
    </row>
    <row r="951" spans="2:8" hidden="1" outlineLevel="2">
      <c r="B951" s="276" t="s">
        <v>2028</v>
      </c>
      <c r="C951" s="81">
        <v>5251</v>
      </c>
      <c r="D951" s="21">
        <v>180</v>
      </c>
      <c r="E951" s="499">
        <v>10</v>
      </c>
      <c r="F951" s="168">
        <f t="shared" si="59"/>
        <v>0.18</v>
      </c>
      <c r="G951" s="190">
        <f t="shared" si="60"/>
        <v>945.18</v>
      </c>
      <c r="H951" s="810">
        <f t="shared" si="61"/>
        <v>52510</v>
      </c>
    </row>
    <row r="952" spans="2:8" hidden="1" outlineLevel="2">
      <c r="B952" s="276" t="s">
        <v>2029</v>
      </c>
      <c r="C952" s="81">
        <v>79650</v>
      </c>
      <c r="D952" s="21">
        <v>180</v>
      </c>
      <c r="E952" s="499">
        <v>10</v>
      </c>
      <c r="F952" s="168">
        <f t="shared" si="59"/>
        <v>0.18</v>
      </c>
      <c r="G952" s="190">
        <f t="shared" si="60"/>
        <v>14337</v>
      </c>
      <c r="H952" s="810">
        <f t="shared" si="61"/>
        <v>796500</v>
      </c>
    </row>
    <row r="953" spans="2:8" hidden="1" outlineLevel="2">
      <c r="B953" s="276" t="s">
        <v>2030</v>
      </c>
      <c r="C953" s="81">
        <v>34781</v>
      </c>
      <c r="D953" s="21">
        <v>180</v>
      </c>
      <c r="E953" s="499">
        <v>10</v>
      </c>
      <c r="F953" s="168">
        <f t="shared" si="59"/>
        <v>0.18</v>
      </c>
      <c r="G953" s="190">
        <f t="shared" si="60"/>
        <v>6260.58</v>
      </c>
      <c r="H953" s="810">
        <f t="shared" si="61"/>
        <v>347810</v>
      </c>
    </row>
    <row r="954" spans="2:8" hidden="1" outlineLevel="2">
      <c r="B954" s="276" t="s">
        <v>2031</v>
      </c>
      <c r="C954" s="81">
        <v>11970</v>
      </c>
      <c r="D954" s="21">
        <v>180</v>
      </c>
      <c r="E954" s="499">
        <v>10</v>
      </c>
      <c r="F954" s="168">
        <f t="shared" si="59"/>
        <v>0.18</v>
      </c>
      <c r="G954" s="190">
        <f t="shared" si="60"/>
        <v>2154.6</v>
      </c>
      <c r="H954" s="810">
        <f t="shared" si="61"/>
        <v>119700</v>
      </c>
    </row>
    <row r="955" spans="2:8" hidden="1" outlineLevel="2">
      <c r="B955" s="276" t="s">
        <v>2032</v>
      </c>
      <c r="C955" s="81">
        <v>2044</v>
      </c>
      <c r="D955" s="21">
        <v>180</v>
      </c>
      <c r="E955" s="499">
        <v>10</v>
      </c>
      <c r="F955" s="168">
        <f t="shared" si="59"/>
        <v>0.18</v>
      </c>
      <c r="G955" s="190">
        <f t="shared" si="60"/>
        <v>367.91999999999996</v>
      </c>
      <c r="H955" s="810">
        <f t="shared" si="61"/>
        <v>20440</v>
      </c>
    </row>
    <row r="956" spans="2:8" hidden="1" outlineLevel="2">
      <c r="B956" s="276" t="s">
        <v>2033</v>
      </c>
      <c r="C956" s="81">
        <v>1435</v>
      </c>
      <c r="D956" s="21">
        <v>180</v>
      </c>
      <c r="E956" s="499">
        <v>10</v>
      </c>
      <c r="F956" s="168">
        <f t="shared" si="59"/>
        <v>0.18</v>
      </c>
      <c r="G956" s="190">
        <f t="shared" si="60"/>
        <v>258.3</v>
      </c>
      <c r="H956" s="810">
        <f t="shared" si="61"/>
        <v>14350</v>
      </c>
    </row>
    <row r="957" spans="2:8" hidden="1" outlineLevel="2">
      <c r="B957" s="276" t="s">
        <v>2034</v>
      </c>
      <c r="C957" s="81">
        <v>2593</v>
      </c>
      <c r="D957" s="21">
        <v>180</v>
      </c>
      <c r="E957" s="499">
        <v>10</v>
      </c>
      <c r="F957" s="168">
        <f t="shared" si="59"/>
        <v>0.18</v>
      </c>
      <c r="G957" s="190">
        <f t="shared" si="60"/>
        <v>466.74</v>
      </c>
      <c r="H957" s="810">
        <f t="shared" si="61"/>
        <v>25930</v>
      </c>
    </row>
    <row r="958" spans="2:8" hidden="1" outlineLevel="2">
      <c r="B958" s="276" t="s">
        <v>2035</v>
      </c>
      <c r="C958" s="81">
        <v>12227</v>
      </c>
      <c r="D958" s="21">
        <v>180</v>
      </c>
      <c r="E958" s="499">
        <v>10</v>
      </c>
      <c r="F958" s="168">
        <f t="shared" si="59"/>
        <v>0.18</v>
      </c>
      <c r="G958" s="190">
        <f t="shared" si="60"/>
        <v>2200.86</v>
      </c>
      <c r="H958" s="810">
        <f t="shared" si="61"/>
        <v>122270</v>
      </c>
    </row>
    <row r="959" spans="2:8" hidden="1" outlineLevel="2">
      <c r="B959" s="276" t="s">
        <v>2036</v>
      </c>
      <c r="C959" s="81">
        <v>676</v>
      </c>
      <c r="D959" s="21">
        <v>180</v>
      </c>
      <c r="E959" s="499">
        <v>10</v>
      </c>
      <c r="F959" s="168">
        <f t="shared" si="59"/>
        <v>0.18</v>
      </c>
      <c r="G959" s="190">
        <f t="shared" si="60"/>
        <v>121.67999999999999</v>
      </c>
      <c r="H959" s="810">
        <f t="shared" si="61"/>
        <v>6760</v>
      </c>
    </row>
    <row r="960" spans="2:8" hidden="1" outlineLevel="2">
      <c r="B960" s="276" t="s">
        <v>2037</v>
      </c>
      <c r="C960" s="81">
        <v>10682</v>
      </c>
      <c r="D960" s="21">
        <v>180</v>
      </c>
      <c r="E960" s="499">
        <v>10</v>
      </c>
      <c r="F960" s="168">
        <f t="shared" si="59"/>
        <v>0.18</v>
      </c>
      <c r="G960" s="190">
        <f t="shared" si="60"/>
        <v>1922.76</v>
      </c>
      <c r="H960" s="810">
        <f t="shared" si="61"/>
        <v>106820</v>
      </c>
    </row>
    <row r="961" spans="2:8" hidden="1" outlineLevel="2">
      <c r="B961" s="276" t="s">
        <v>2038</v>
      </c>
      <c r="C961" s="81">
        <v>554</v>
      </c>
      <c r="D961" s="21">
        <v>180</v>
      </c>
      <c r="E961" s="499">
        <v>10</v>
      </c>
      <c r="F961" s="168">
        <f t="shared" ref="F961:F977" si="62">E961*D961/10000</f>
        <v>0.18</v>
      </c>
      <c r="G961" s="190">
        <f t="shared" ref="G961:G977" si="63">F961*C961</f>
        <v>99.72</v>
      </c>
      <c r="H961" s="810">
        <f t="shared" ref="H961:H977" si="64">E961*C961</f>
        <v>5540</v>
      </c>
    </row>
    <row r="962" spans="2:8" hidden="1" outlineLevel="2">
      <c r="B962" s="276" t="s">
        <v>2039</v>
      </c>
      <c r="C962" s="81">
        <v>8941</v>
      </c>
      <c r="D962" s="21">
        <v>180</v>
      </c>
      <c r="E962" s="499">
        <v>5</v>
      </c>
      <c r="F962" s="168">
        <f t="shared" si="62"/>
        <v>0.09</v>
      </c>
      <c r="G962" s="190">
        <f t="shared" si="63"/>
        <v>804.68999999999994</v>
      </c>
      <c r="H962" s="810">
        <f t="shared" si="64"/>
        <v>44705</v>
      </c>
    </row>
    <row r="963" spans="2:8" hidden="1" outlineLevel="2">
      <c r="B963" s="276" t="s">
        <v>2040</v>
      </c>
      <c r="C963" s="81">
        <v>12984</v>
      </c>
      <c r="D963" s="21">
        <v>180</v>
      </c>
      <c r="E963" s="499">
        <v>5</v>
      </c>
      <c r="F963" s="168">
        <f t="shared" si="62"/>
        <v>0.09</v>
      </c>
      <c r="G963" s="190">
        <f t="shared" si="63"/>
        <v>1168.56</v>
      </c>
      <c r="H963" s="810">
        <f t="shared" si="64"/>
        <v>64920</v>
      </c>
    </row>
    <row r="964" spans="2:8" hidden="1" outlineLevel="2">
      <c r="B964" s="276" t="s">
        <v>2041</v>
      </c>
      <c r="C964" s="81">
        <v>6863</v>
      </c>
      <c r="D964" s="21">
        <v>180</v>
      </c>
      <c r="E964" s="499">
        <v>5</v>
      </c>
      <c r="F964" s="168">
        <f t="shared" si="62"/>
        <v>0.09</v>
      </c>
      <c r="G964" s="190">
        <f t="shared" si="63"/>
        <v>617.66999999999996</v>
      </c>
      <c r="H964" s="810">
        <f t="shared" si="64"/>
        <v>34315</v>
      </c>
    </row>
    <row r="965" spans="2:8" hidden="1" outlineLevel="2">
      <c r="B965" s="276" t="s">
        <v>2042</v>
      </c>
      <c r="C965" s="81">
        <v>3969</v>
      </c>
      <c r="D965" s="21">
        <v>180</v>
      </c>
      <c r="E965" s="499">
        <v>5</v>
      </c>
      <c r="F965" s="168">
        <f t="shared" si="62"/>
        <v>0.09</v>
      </c>
      <c r="G965" s="190">
        <f t="shared" si="63"/>
        <v>357.21</v>
      </c>
      <c r="H965" s="810">
        <f t="shared" si="64"/>
        <v>19845</v>
      </c>
    </row>
    <row r="966" spans="2:8" hidden="1" outlineLevel="2">
      <c r="B966" s="276" t="s">
        <v>2043</v>
      </c>
      <c r="C966" s="81">
        <v>4133</v>
      </c>
      <c r="D966" s="21">
        <v>250</v>
      </c>
      <c r="E966" s="499">
        <v>10</v>
      </c>
      <c r="F966" s="168">
        <f t="shared" si="62"/>
        <v>0.25</v>
      </c>
      <c r="G966" s="190">
        <f t="shared" si="63"/>
        <v>1033.25</v>
      </c>
      <c r="H966" s="810">
        <f t="shared" si="64"/>
        <v>41330</v>
      </c>
    </row>
    <row r="967" spans="2:8" hidden="1" outlineLevel="2">
      <c r="B967" s="276" t="s">
        <v>2044</v>
      </c>
      <c r="C967" s="81">
        <v>12244</v>
      </c>
      <c r="D967" s="21">
        <v>250</v>
      </c>
      <c r="E967" s="499">
        <v>10</v>
      </c>
      <c r="F967" s="168">
        <f t="shared" si="62"/>
        <v>0.25</v>
      </c>
      <c r="G967" s="190">
        <f t="shared" si="63"/>
        <v>3061</v>
      </c>
      <c r="H967" s="810">
        <f t="shared" si="64"/>
        <v>122440</v>
      </c>
    </row>
    <row r="968" spans="2:8" hidden="1" outlineLevel="2">
      <c r="B968" s="276" t="s">
        <v>2045</v>
      </c>
      <c r="C968" s="81">
        <v>144</v>
      </c>
      <c r="D968" s="21">
        <v>250</v>
      </c>
      <c r="E968" s="499">
        <v>10</v>
      </c>
      <c r="F968" s="168">
        <f t="shared" si="62"/>
        <v>0.25</v>
      </c>
      <c r="G968" s="190">
        <f t="shared" si="63"/>
        <v>36</v>
      </c>
      <c r="H968" s="810">
        <f t="shared" si="64"/>
        <v>1440</v>
      </c>
    </row>
    <row r="969" spans="2:8" hidden="1" outlineLevel="2">
      <c r="B969" s="276" t="s">
        <v>2046</v>
      </c>
      <c r="C969" s="81">
        <v>2687</v>
      </c>
      <c r="D969" s="21">
        <v>250</v>
      </c>
      <c r="E969" s="499">
        <v>5</v>
      </c>
      <c r="F969" s="168">
        <f t="shared" si="62"/>
        <v>0.125</v>
      </c>
      <c r="G969" s="190">
        <f t="shared" si="63"/>
        <v>335.875</v>
      </c>
      <c r="H969" s="810">
        <f t="shared" si="64"/>
        <v>13435</v>
      </c>
    </row>
    <row r="970" spans="2:8" hidden="1" outlineLevel="2">
      <c r="B970" s="276" t="s">
        <v>2047</v>
      </c>
      <c r="C970" s="81">
        <v>1025</v>
      </c>
      <c r="D970" s="21">
        <v>300</v>
      </c>
      <c r="E970" s="499">
        <v>10</v>
      </c>
      <c r="F970" s="168">
        <f t="shared" si="62"/>
        <v>0.3</v>
      </c>
      <c r="G970" s="190">
        <f t="shared" si="63"/>
        <v>307.5</v>
      </c>
      <c r="H970" s="810">
        <f t="shared" si="64"/>
        <v>10250</v>
      </c>
    </row>
    <row r="971" spans="2:8" hidden="1" outlineLevel="2">
      <c r="B971" s="276" t="s">
        <v>2048</v>
      </c>
      <c r="C971" s="81">
        <v>995</v>
      </c>
      <c r="D971" s="21">
        <v>300</v>
      </c>
      <c r="E971" s="499">
        <v>10</v>
      </c>
      <c r="F971" s="168">
        <f t="shared" si="62"/>
        <v>0.3</v>
      </c>
      <c r="G971" s="190">
        <f t="shared" si="63"/>
        <v>298.5</v>
      </c>
      <c r="H971" s="810">
        <f t="shared" si="64"/>
        <v>9950</v>
      </c>
    </row>
    <row r="972" spans="2:8" hidden="1" outlineLevel="2">
      <c r="B972" s="276" t="s">
        <v>2049</v>
      </c>
      <c r="C972" s="81">
        <v>2402</v>
      </c>
      <c r="D972" s="21">
        <v>300</v>
      </c>
      <c r="E972" s="499">
        <v>5</v>
      </c>
      <c r="F972" s="168">
        <f t="shared" si="62"/>
        <v>0.15</v>
      </c>
      <c r="G972" s="190">
        <f t="shared" si="63"/>
        <v>360.3</v>
      </c>
      <c r="H972" s="810">
        <f t="shared" si="64"/>
        <v>12010</v>
      </c>
    </row>
    <row r="973" spans="2:8" hidden="1" outlineLevel="2">
      <c r="B973" s="276" t="s">
        <v>2050</v>
      </c>
      <c r="C973" s="81">
        <v>33</v>
      </c>
      <c r="D973" s="21">
        <v>135</v>
      </c>
      <c r="E973" s="499">
        <v>10</v>
      </c>
      <c r="F973" s="168">
        <f t="shared" si="62"/>
        <v>0.13500000000000001</v>
      </c>
      <c r="G973" s="190">
        <f t="shared" si="63"/>
        <v>4.4550000000000001</v>
      </c>
      <c r="H973" s="810">
        <f t="shared" si="64"/>
        <v>330</v>
      </c>
    </row>
    <row r="974" spans="2:8" hidden="1" outlineLevel="2">
      <c r="B974" s="276" t="s">
        <v>2051</v>
      </c>
      <c r="C974" s="81">
        <v>10</v>
      </c>
      <c r="D974" s="21">
        <v>30</v>
      </c>
      <c r="E974" s="499">
        <v>10</v>
      </c>
      <c r="F974" s="168">
        <f t="shared" si="62"/>
        <v>0.03</v>
      </c>
      <c r="G974" s="190">
        <f t="shared" si="63"/>
        <v>0.3</v>
      </c>
      <c r="H974" s="810">
        <f t="shared" si="64"/>
        <v>100</v>
      </c>
    </row>
    <row r="975" spans="2:8" hidden="1" outlineLevel="2">
      <c r="B975" s="276" t="s">
        <v>2052</v>
      </c>
      <c r="C975" s="81">
        <v>10</v>
      </c>
      <c r="D975" s="21">
        <v>40</v>
      </c>
      <c r="E975" s="499">
        <v>10</v>
      </c>
      <c r="F975" s="168">
        <f t="shared" si="62"/>
        <v>0.04</v>
      </c>
      <c r="G975" s="190">
        <f t="shared" si="63"/>
        <v>0.4</v>
      </c>
      <c r="H975" s="810">
        <f t="shared" si="64"/>
        <v>100</v>
      </c>
    </row>
    <row r="976" spans="2:8" hidden="1" outlineLevel="2">
      <c r="B976" s="276" t="s">
        <v>2053</v>
      </c>
      <c r="C976" s="81">
        <v>21</v>
      </c>
      <c r="D976" s="21">
        <v>70</v>
      </c>
      <c r="E976" s="499">
        <v>10</v>
      </c>
      <c r="F976" s="168">
        <f t="shared" si="62"/>
        <v>7.0000000000000007E-2</v>
      </c>
      <c r="G976" s="190">
        <f t="shared" si="63"/>
        <v>1.4700000000000002</v>
      </c>
      <c r="H976" s="810">
        <f t="shared" si="64"/>
        <v>210</v>
      </c>
    </row>
    <row r="977" spans="2:8" hidden="1" outlineLevel="2">
      <c r="B977" s="276" t="s">
        <v>2054</v>
      </c>
      <c r="C977" s="81">
        <v>386</v>
      </c>
      <c r="D977" s="21">
        <v>300</v>
      </c>
      <c r="E977" s="499">
        <v>5</v>
      </c>
      <c r="F977" s="168">
        <f t="shared" si="62"/>
        <v>0.15</v>
      </c>
      <c r="G977" s="190">
        <f t="shared" si="63"/>
        <v>57.9</v>
      </c>
      <c r="H977" s="810">
        <f t="shared" si="64"/>
        <v>1930</v>
      </c>
    </row>
    <row r="978" spans="2:8" ht="14.5" hidden="1" outlineLevel="1" collapsed="1" thickBot="1">
      <c r="B978" s="281" t="s">
        <v>2055</v>
      </c>
      <c r="C978" s="312">
        <f>SUM(C846:C977)</f>
        <v>4303578</v>
      </c>
      <c r="D978" s="312"/>
      <c r="E978" s="312"/>
      <c r="F978" s="312"/>
      <c r="G978" s="808">
        <f>SUM(G846:G977)</f>
        <v>252653.3974999999</v>
      </c>
      <c r="H978" s="809">
        <f>SUM(H846:H977)</f>
        <v>38137020</v>
      </c>
    </row>
    <row r="979" spans="2:8" hidden="1" outlineLevel="1"/>
    <row r="980" spans="2:8" hidden="1" outlineLevel="1">
      <c r="B980" s="1251" t="s">
        <v>2056</v>
      </c>
    </row>
    <row r="981" spans="2:8" ht="14.5" hidden="1" outlineLevel="1" thickBot="1">
      <c r="B981" s="1251" t="s">
        <v>2057</v>
      </c>
    </row>
    <row r="982" spans="2:8" ht="28.5" hidden="1" outlineLevel="1" thickBot="1">
      <c r="B982" s="670" t="s">
        <v>684</v>
      </c>
      <c r="C982" s="671" t="s">
        <v>685</v>
      </c>
      <c r="D982" s="671" t="s">
        <v>1165</v>
      </c>
      <c r="E982" s="671" t="s">
        <v>1442</v>
      </c>
      <c r="F982" s="671" t="s">
        <v>1167</v>
      </c>
      <c r="G982" s="671" t="s">
        <v>1168</v>
      </c>
      <c r="H982" s="672" t="s">
        <v>1443</v>
      </c>
    </row>
    <row r="983" spans="2:8" ht="14.5" hidden="1" outlineLevel="1" thickBot="1">
      <c r="B983" s="282" t="s">
        <v>2058</v>
      </c>
      <c r="C983" s="799">
        <f>6582227</f>
        <v>6582227</v>
      </c>
      <c r="D983" s="799">
        <f>10000*F983/30</f>
        <v>16.416</v>
      </c>
      <c r="E983" s="799">
        <f>30.8</f>
        <v>30.8</v>
      </c>
      <c r="F983" s="816">
        <f>(6*3.4*7.2 + 24*2*7.2)/10000</f>
        <v>4.9248E-2</v>
      </c>
      <c r="G983" s="800">
        <f>F983*C983</f>
        <v>324161.515296</v>
      </c>
      <c r="H983" s="801">
        <f>E983*C983</f>
        <v>202732591.59999999</v>
      </c>
    </row>
    <row r="984" spans="2:8" hidden="1" outlineLevel="1"/>
    <row r="985" spans="2:8" hidden="1" outlineLevel="1">
      <c r="B985" s="1251" t="s">
        <v>2059</v>
      </c>
      <c r="C985" s="24">
        <v>2887883</v>
      </c>
    </row>
    <row r="986" spans="2:8" hidden="1" outlineLevel="1"/>
    <row r="987" spans="2:8" hidden="1" outlineLevel="1"/>
    <row r="988" spans="2:8" hidden="1" outlineLevel="1"/>
    <row r="989" spans="2:8" collapsed="1"/>
    <row r="990" spans="2:8" ht="23.5">
      <c r="B990" s="2" t="s">
        <v>2060</v>
      </c>
    </row>
    <row r="992" spans="2:8" ht="18" hidden="1" outlineLevel="1">
      <c r="B992" s="258" t="s">
        <v>975</v>
      </c>
    </row>
    <row r="993" spans="2:8" hidden="1" outlineLevel="1"/>
    <row r="994" spans="2:8" hidden="1" outlineLevel="2">
      <c r="B994" s="1251" t="s">
        <v>2061</v>
      </c>
    </row>
    <row r="995" spans="2:8" hidden="1" outlineLevel="2">
      <c r="B995" s="1251" t="s">
        <v>2062</v>
      </c>
    </row>
    <row r="996" spans="2:8" hidden="1" outlineLevel="2">
      <c r="B996" s="1251"/>
    </row>
    <row r="997" spans="2:8" hidden="1" outlineLevel="2">
      <c r="B997" s="1251" t="s">
        <v>2063</v>
      </c>
    </row>
    <row r="998" spans="2:8" hidden="1" outlineLevel="2">
      <c r="B998" s="1251" t="s">
        <v>2064</v>
      </c>
    </row>
    <row r="999" spans="2:8" hidden="1" outlineLevel="2">
      <c r="B999" s="1251" t="s">
        <v>2065</v>
      </c>
    </row>
    <row r="1000" spans="2:8" hidden="1" outlineLevel="2">
      <c r="B1000" s="1251" t="s">
        <v>2066</v>
      </c>
    </row>
    <row r="1001" spans="2:8" hidden="1" outlineLevel="2">
      <c r="B1001" s="1251" t="s">
        <v>2067</v>
      </c>
    </row>
    <row r="1002" spans="2:8" hidden="1" outlineLevel="2">
      <c r="B1002" s="87" t="s">
        <v>2068</v>
      </c>
    </row>
    <row r="1003" spans="2:8" hidden="1" outlineLevel="2"/>
    <row r="1004" spans="2:8" ht="14.5" hidden="1" outlineLevel="2" thickBot="1">
      <c r="B1004" s="1251" t="s">
        <v>2069</v>
      </c>
    </row>
    <row r="1005" spans="2:8" hidden="1" outlineLevel="2">
      <c r="B1005" s="773"/>
      <c r="C1005" s="774" t="s">
        <v>2070</v>
      </c>
      <c r="D1005" s="775" t="s">
        <v>2071</v>
      </c>
      <c r="G1005" s="1332"/>
      <c r="H1005" s="1251"/>
    </row>
    <row r="1006" spans="2:8" hidden="1" outlineLevel="2">
      <c r="B1006" s="776" t="s">
        <v>472</v>
      </c>
      <c r="C1006" s="229">
        <v>0.4</v>
      </c>
      <c r="D1006" s="311"/>
      <c r="G1006" s="772"/>
      <c r="H1006" s="771"/>
    </row>
    <row r="1007" spans="2:8" hidden="1" outlineLevel="2">
      <c r="B1007" s="776" t="s">
        <v>2072</v>
      </c>
      <c r="C1007" s="229">
        <v>0.2</v>
      </c>
      <c r="D1007" s="311"/>
      <c r="G1007" s="772"/>
      <c r="H1007" s="771"/>
    </row>
    <row r="1008" spans="2:8" hidden="1" outlineLevel="2">
      <c r="B1008" s="776" t="s">
        <v>2073</v>
      </c>
      <c r="C1008" s="229"/>
      <c r="D1008" s="311">
        <v>0.4</v>
      </c>
      <c r="G1008" s="772"/>
      <c r="H1008" s="771"/>
    </row>
    <row r="1009" spans="2:8" hidden="1" outlineLevel="2">
      <c r="B1009" s="776" t="s">
        <v>2074</v>
      </c>
      <c r="C1009" s="229">
        <v>0.25</v>
      </c>
      <c r="D1009" s="311">
        <v>0.4</v>
      </c>
      <c r="G1009" s="772"/>
      <c r="H1009" s="771"/>
    </row>
    <row r="1010" spans="2:8" ht="14.5" hidden="1" outlineLevel="2" thickBot="1">
      <c r="B1010" s="520" t="s">
        <v>2075</v>
      </c>
      <c r="C1010" s="376">
        <v>0.15</v>
      </c>
      <c r="D1010" s="313">
        <v>0.2</v>
      </c>
      <c r="G1010" s="771"/>
    </row>
    <row r="1011" spans="2:8" hidden="1" outlineLevel="2"/>
    <row r="1012" spans="2:8" hidden="1" outlineLevel="2">
      <c r="B1012" s="1251" t="s">
        <v>2076</v>
      </c>
    </row>
    <row r="1013" spans="2:8" hidden="1" outlineLevel="2">
      <c r="B1013" s="87" t="s">
        <v>2077</v>
      </c>
      <c r="C1013" s="771"/>
    </row>
    <row r="1014" spans="2:8" hidden="1" outlineLevel="2">
      <c r="B1014" s="1251" t="s">
        <v>2078</v>
      </c>
    </row>
    <row r="1015" spans="2:8" hidden="1" outlineLevel="2">
      <c r="B1015" s="87" t="s">
        <v>2079</v>
      </c>
      <c r="C1015" s="1251"/>
    </row>
    <row r="1016" spans="2:8" hidden="1" outlineLevel="2"/>
    <row r="1017" spans="2:8" ht="14.5" hidden="1" outlineLevel="2" thickBot="1">
      <c r="B1017" s="1251" t="s">
        <v>2080</v>
      </c>
      <c r="F1017" s="103"/>
      <c r="G1017" s="1251"/>
    </row>
    <row r="1018" spans="2:8" ht="14.5" hidden="1" outlineLevel="2" thickBot="1">
      <c r="B1018" s="282" t="s">
        <v>2081</v>
      </c>
      <c r="C1018" s="731">
        <v>150</v>
      </c>
      <c r="D1018" s="1305" t="s">
        <v>2082</v>
      </c>
    </row>
    <row r="1019" spans="2:8" hidden="1" outlineLevel="2"/>
    <row r="1020" spans="2:8" hidden="1" outlineLevel="2">
      <c r="B1020" s="1251" t="s">
        <v>2083</v>
      </c>
    </row>
    <row r="1021" spans="2:8" hidden="1" outlineLevel="2">
      <c r="B1021" t="s">
        <v>2084</v>
      </c>
    </row>
    <row r="1022" spans="2:8" hidden="1" outlineLevel="2"/>
    <row r="1023" spans="2:8" ht="14.5" hidden="1" outlineLevel="2" thickBot="1">
      <c r="B1023" s="1251" t="s">
        <v>1093</v>
      </c>
    </row>
    <row r="1024" spans="2:8" ht="14.5" hidden="1" outlineLevel="2" thickBot="1">
      <c r="B1024" s="543" t="s">
        <v>2085</v>
      </c>
      <c r="C1024" s="436" t="s">
        <v>2070</v>
      </c>
      <c r="D1024" s="436" t="s">
        <v>2071</v>
      </c>
    </row>
    <row r="1025" spans="2:5" ht="14.5" hidden="1" outlineLevel="2" thickBot="1">
      <c r="B1025" s="282" t="s">
        <v>2086</v>
      </c>
      <c r="C1025" s="777">
        <v>0.7882519355597094</v>
      </c>
      <c r="D1025" s="1333">
        <v>1.0939086161751339</v>
      </c>
    </row>
    <row r="1026" spans="2:5" hidden="1" outlineLevel="2"/>
    <row r="1027" spans="2:5" ht="14.5" hidden="1" outlineLevel="2" thickBot="1">
      <c r="B1027" s="1251" t="s">
        <v>657</v>
      </c>
    </row>
    <row r="1028" spans="2:5" ht="14.5" hidden="1" outlineLevel="2" thickBot="1">
      <c r="B1028" s="282" t="s">
        <v>2087</v>
      </c>
      <c r="C1028" s="784">
        <f>(C1025*H83+D1025*J83)/10^6</f>
        <v>9.9603330567764274</v>
      </c>
    </row>
    <row r="1029" spans="2:5" hidden="1" outlineLevel="2"/>
    <row r="1030" spans="2:5" hidden="1" outlineLevel="1" collapsed="1"/>
    <row r="1031" spans="2:5" ht="18" hidden="1" outlineLevel="1">
      <c r="B1031" s="258" t="s">
        <v>1019</v>
      </c>
    </row>
    <row r="1032" spans="2:5" hidden="1" outlineLevel="1"/>
    <row r="1033" spans="2:5" hidden="1" outlineLevel="2">
      <c r="B1033" s="1251" t="s">
        <v>2088</v>
      </c>
    </row>
    <row r="1034" spans="2:5" ht="14.5" hidden="1" outlineLevel="2" thickBot="1"/>
    <row r="1035" spans="2:5" ht="42" hidden="1" outlineLevel="2">
      <c r="B1035" s="670"/>
      <c r="C1035" s="671" t="s">
        <v>2089</v>
      </c>
      <c r="D1035" s="671" t="s">
        <v>2090</v>
      </c>
      <c r="E1035" s="672" t="s">
        <v>70</v>
      </c>
    </row>
    <row r="1036" spans="2:5" ht="14.5" hidden="1" outlineLevel="2" thickBot="1">
      <c r="B1036" s="281" t="s">
        <v>2091</v>
      </c>
      <c r="C1036" s="14">
        <v>2336</v>
      </c>
      <c r="D1036" s="1330">
        <v>9</v>
      </c>
      <c r="E1036" s="225" t="s">
        <v>2092</v>
      </c>
    </row>
    <row r="1037" spans="2:5" hidden="1" outlineLevel="2"/>
    <row r="1038" spans="2:5" ht="14.5" hidden="1" outlineLevel="2" thickBot="1">
      <c r="B1038" t="s">
        <v>2093</v>
      </c>
      <c r="D1038" s="23"/>
    </row>
    <row r="1039" spans="2:5" ht="14.5" hidden="1" outlineLevel="2" thickBot="1">
      <c r="B1039" s="282" t="s">
        <v>2094</v>
      </c>
      <c r="C1039" s="785">
        <f>C1036/D1036/10^3</f>
        <v>0.25955555555555554</v>
      </c>
      <c r="D1039" s="243" t="s">
        <v>416</v>
      </c>
    </row>
    <row r="1040" spans="2:5" hidden="1" outlineLevel="2"/>
    <row r="1041" spans="2:4" hidden="1" outlineLevel="2">
      <c r="B1041" s="1251" t="s">
        <v>2095</v>
      </c>
    </row>
    <row r="1042" spans="2:4" hidden="1" outlineLevel="2">
      <c r="B1042" s="1251" t="s">
        <v>2096</v>
      </c>
    </row>
    <row r="1043" spans="2:4" ht="14.5" hidden="1" outlineLevel="2" thickBot="1">
      <c r="B1043" s="1251" t="s">
        <v>2097</v>
      </c>
    </row>
    <row r="1044" spans="2:4" ht="14.5" hidden="1" outlineLevel="2" thickBot="1">
      <c r="B1044" s="282" t="s">
        <v>2098</v>
      </c>
      <c r="C1044" s="777">
        <v>0.89600000000000002</v>
      </c>
      <c r="D1044" s="1305" t="s">
        <v>2099</v>
      </c>
    </row>
    <row r="1045" spans="2:4" hidden="1" outlineLevel="2"/>
    <row r="1046" spans="2:4" ht="14.5" hidden="1" outlineLevel="2" thickBot="1">
      <c r="B1046" t="s">
        <v>886</v>
      </c>
    </row>
    <row r="1047" spans="2:4" ht="14.5" hidden="1" outlineLevel="2">
      <c r="B1047" s="4"/>
      <c r="C1047" s="5" t="s">
        <v>186</v>
      </c>
      <c r="D1047" s="6" t="s">
        <v>426</v>
      </c>
    </row>
    <row r="1048" spans="2:4" hidden="1" outlineLevel="2">
      <c r="B1048" s="276" t="s">
        <v>2100</v>
      </c>
      <c r="C1048" s="168">
        <v>0.14097544344421484</v>
      </c>
      <c r="D1048" s="132">
        <v>0.20540855097112817</v>
      </c>
    </row>
    <row r="1049" spans="2:4" ht="14.5" hidden="1" outlineLevel="2" thickBot="1">
      <c r="B1049" s="281" t="s">
        <v>2101</v>
      </c>
      <c r="C1049" s="170">
        <f>C1048*2</f>
        <v>0.28195088688842967</v>
      </c>
      <c r="D1049" s="209">
        <f>D1048*2</f>
        <v>0.41081710194225635</v>
      </c>
    </row>
    <row r="1050" spans="2:4" hidden="1" outlineLevel="2"/>
    <row r="1051" spans="2:4" hidden="1" outlineLevel="2">
      <c r="B1051" t="s">
        <v>2102</v>
      </c>
    </row>
    <row r="1052" spans="2:4" ht="14.5" hidden="1" outlineLevel="2" thickBot="1">
      <c r="B1052" t="s">
        <v>927</v>
      </c>
    </row>
    <row r="1053" spans="2:4" ht="14.5" hidden="1" outlineLevel="2" thickBot="1">
      <c r="B1053" s="282" t="s">
        <v>2103</v>
      </c>
      <c r="C1053" s="786">
        <f>AVERAGE(C1049:D1049)*C83/10^6</f>
        <v>2.2150724155530321</v>
      </c>
      <c r="D1053" s="35" t="s">
        <v>661</v>
      </c>
    </row>
    <row r="1054" spans="2:4" hidden="1" outlineLevel="2"/>
    <row r="1055" spans="2:4" ht="14.5" hidden="1" outlineLevel="2" thickBot="1">
      <c r="B1055" s="1251" t="s">
        <v>2104</v>
      </c>
    </row>
    <row r="1056" spans="2:4" ht="14.5" hidden="1" outlineLevel="2">
      <c r="B1056" s="4"/>
      <c r="C1056" s="5" t="s">
        <v>2105</v>
      </c>
      <c r="D1056" s="6" t="s">
        <v>70</v>
      </c>
    </row>
    <row r="1057" spans="2:5" hidden="1" outlineLevel="2">
      <c r="B1057" s="276" t="s">
        <v>2106</v>
      </c>
      <c r="C1057" s="11">
        <v>100</v>
      </c>
      <c r="D1057" s="132" t="s">
        <v>2092</v>
      </c>
    </row>
    <row r="1058" spans="2:5" ht="14.5" hidden="1" outlineLevel="2" thickBot="1">
      <c r="B1058" s="281" t="s">
        <v>2107</v>
      </c>
      <c r="C1058" s="14">
        <v>6000</v>
      </c>
      <c r="D1058" s="209" t="s">
        <v>2108</v>
      </c>
    </row>
    <row r="1059" spans="2:5" hidden="1" outlineLevel="2"/>
    <row r="1060" spans="2:5" ht="14.5" hidden="1" outlineLevel="2" thickBot="1">
      <c r="B1060" s="1251" t="s">
        <v>2109</v>
      </c>
    </row>
    <row r="1061" spans="2:5" ht="14.5" hidden="1" outlineLevel="2">
      <c r="B1061" s="4"/>
      <c r="C1061" s="5"/>
      <c r="D1061" s="5" t="s">
        <v>301</v>
      </c>
      <c r="E1061" s="6" t="s">
        <v>70</v>
      </c>
    </row>
    <row r="1062" spans="2:5" ht="15" hidden="1" outlineLevel="2" thickBot="1">
      <c r="B1062" s="13" t="s">
        <v>1063</v>
      </c>
      <c r="C1062" s="249">
        <v>825</v>
      </c>
      <c r="D1062" s="1267" t="s">
        <v>1064</v>
      </c>
      <c r="E1062" s="1285" t="s">
        <v>1065</v>
      </c>
    </row>
    <row r="1063" spans="2:5" hidden="1" outlineLevel="2">
      <c r="B1063" s="1251" t="s">
        <v>2110</v>
      </c>
    </row>
    <row r="1064" spans="2:5" hidden="1" outlineLevel="2"/>
    <row r="1065" spans="2:5" ht="14.5" hidden="1" outlineLevel="2" thickBot="1">
      <c r="B1065" s="1251" t="s">
        <v>2111</v>
      </c>
    </row>
    <row r="1066" spans="2:5" ht="14.5" hidden="1" outlineLevel="2">
      <c r="B1066" s="4"/>
      <c r="C1066" s="5"/>
      <c r="D1066" s="5" t="s">
        <v>301</v>
      </c>
      <c r="E1066" s="6" t="s">
        <v>70</v>
      </c>
    </row>
    <row r="1067" spans="2:5" ht="14.5" hidden="1" outlineLevel="2">
      <c r="B1067" s="10" t="s">
        <v>2112</v>
      </c>
      <c r="C1067" s="180">
        <v>21.2</v>
      </c>
      <c r="D1067" s="1307" t="s">
        <v>2113</v>
      </c>
      <c r="E1067" s="1295" t="s">
        <v>2114</v>
      </c>
    </row>
    <row r="1068" spans="2:5" ht="14.5" hidden="1" outlineLevel="2">
      <c r="B1068" s="10" t="s">
        <v>2115</v>
      </c>
      <c r="C1068" s="229">
        <v>0.75413181011075003</v>
      </c>
      <c r="D1068" s="1307"/>
      <c r="E1068" s="1295"/>
    </row>
    <row r="1069" spans="2:5" ht="15" hidden="1" outlineLevel="2" thickBot="1">
      <c r="B1069" s="13" t="s">
        <v>1063</v>
      </c>
      <c r="C1069" s="203">
        <v>0.17048685674338901</v>
      </c>
      <c r="D1069" s="22" t="s">
        <v>2116</v>
      </c>
      <c r="E1069" s="38"/>
    </row>
    <row r="1070" spans="2:5" hidden="1" outlineLevel="2"/>
    <row r="1071" spans="2:5" ht="14.5" hidden="1" outlineLevel="2" thickBot="1">
      <c r="B1071" s="1251" t="s">
        <v>2117</v>
      </c>
    </row>
    <row r="1072" spans="2:5" ht="14.5" hidden="1" outlineLevel="2">
      <c r="B1072" s="4"/>
      <c r="C1072" s="5" t="s">
        <v>69</v>
      </c>
      <c r="D1072" s="6" t="s">
        <v>301</v>
      </c>
    </row>
    <row r="1073" spans="2:4" ht="14.5" hidden="1" outlineLevel="2">
      <c r="B1073" s="10" t="s">
        <v>2118</v>
      </c>
      <c r="C1073" s="94">
        <f>2*C1067*225*C1069*C1057/(9*10^6)</f>
        <v>1.8071606814799236E-2</v>
      </c>
      <c r="D1073" s="1277" t="s">
        <v>2119</v>
      </c>
    </row>
    <row r="1074" spans="2:4" ht="15" hidden="1" outlineLevel="2" thickBot="1">
      <c r="B1074" s="13" t="s">
        <v>2120</v>
      </c>
      <c r="C1074" s="92">
        <f>C1062*C1058/25/(9*10^6)</f>
        <v>2.1999999999999999E-2</v>
      </c>
      <c r="D1074" s="1334" t="s">
        <v>2119</v>
      </c>
    </row>
    <row r="1075" spans="2:4" hidden="1" outlineLevel="2"/>
    <row r="1076" spans="2:4" ht="14.5" hidden="1" outlineLevel="2" thickBot="1">
      <c r="B1076" s="1251" t="s">
        <v>361</v>
      </c>
    </row>
    <row r="1077" spans="2:4" ht="14.5" hidden="1" outlineLevel="2">
      <c r="B1077" s="461" t="s">
        <v>2121</v>
      </c>
      <c r="C1077" s="463"/>
    </row>
    <row r="1078" spans="2:4" ht="14.5" hidden="1" outlineLevel="2">
      <c r="B1078" s="464" t="s">
        <v>2122</v>
      </c>
      <c r="C1078" s="132">
        <f>C1044*C1018*AVERAGE(I77,I74)*10^-3*2*C83/10^6</f>
        <v>1.5470412242201836</v>
      </c>
    </row>
    <row r="1079" spans="2:4" ht="14.5" hidden="1" outlineLevel="2">
      <c r="B1079" s="464" t="s">
        <v>2123</v>
      </c>
      <c r="C1079" s="132">
        <v>0.66803119133284816</v>
      </c>
    </row>
    <row r="1080" spans="2:4" ht="14.5" hidden="1" outlineLevel="2">
      <c r="B1080" s="464" t="s">
        <v>2124</v>
      </c>
      <c r="C1080" s="132">
        <f>C1073*2*C83/10^6</f>
        <v>0.23113029704359142</v>
      </c>
    </row>
    <row r="1081" spans="2:4" ht="14.5" hidden="1" outlineLevel="2">
      <c r="B1081" s="464" t="s">
        <v>2125</v>
      </c>
      <c r="C1081" s="132">
        <f>C1074*2*C83/10^6</f>
        <v>0.28137323853211005</v>
      </c>
    </row>
    <row r="1082" spans="2:4" ht="15" hidden="1" outlineLevel="2" thickBot="1">
      <c r="B1082" s="465" t="s">
        <v>83</v>
      </c>
      <c r="C1082" s="512">
        <f>SUM(C1078:C1081)</f>
        <v>2.727575951128733</v>
      </c>
    </row>
    <row r="1083" spans="2:4" hidden="1" outlineLevel="2"/>
    <row r="1084" spans="2:4" hidden="1" outlineLevel="1" collapsed="1"/>
    <row r="1085" spans="2:4" ht="18" hidden="1" outlineLevel="1">
      <c r="B1085" s="258" t="s">
        <v>1072</v>
      </c>
    </row>
    <row r="1086" spans="2:4" hidden="1" outlineLevel="1"/>
    <row r="1087" spans="2:4" hidden="1" outlineLevel="2">
      <c r="B1087" s="1335" t="s">
        <v>2126</v>
      </c>
    </row>
    <row r="1088" spans="2:4" hidden="1" outlineLevel="2">
      <c r="B1088" s="1251" t="s">
        <v>2127</v>
      </c>
    </row>
    <row r="1089" spans="2:4" hidden="1" outlineLevel="2">
      <c r="B1089" s="1251" t="s">
        <v>2128</v>
      </c>
    </row>
    <row r="1090" spans="2:4" hidden="1" outlineLevel="2"/>
    <row r="1091" spans="2:4" ht="14.5" hidden="1" outlineLevel="2" thickBot="1">
      <c r="B1091" s="1251" t="s">
        <v>2129</v>
      </c>
    </row>
    <row r="1092" spans="2:4" hidden="1" outlineLevel="2">
      <c r="B1092" s="402"/>
      <c r="C1092" s="590" t="s">
        <v>2130</v>
      </c>
    </row>
    <row r="1093" spans="2:4" hidden="1" outlineLevel="2">
      <c r="B1093" s="408" t="s">
        <v>2131</v>
      </c>
      <c r="C1093" s="12">
        <v>10</v>
      </c>
    </row>
    <row r="1094" spans="2:4" hidden="1" outlineLevel="2">
      <c r="B1094" s="408" t="s">
        <v>2132</v>
      </c>
      <c r="C1094" s="12">
        <v>40</v>
      </c>
    </row>
    <row r="1095" spans="2:4" ht="14.5" hidden="1" outlineLevel="2" thickBot="1">
      <c r="B1095" s="403" t="s">
        <v>2133</v>
      </c>
      <c r="C1095" s="15">
        <v>10</v>
      </c>
    </row>
    <row r="1096" spans="2:4" hidden="1" outlineLevel="2"/>
    <row r="1097" spans="2:4" ht="14.5" hidden="1" outlineLevel="2" thickBot="1">
      <c r="B1097" s="1251" t="s">
        <v>2134</v>
      </c>
    </row>
    <row r="1098" spans="2:4" ht="14.5" hidden="1" outlineLevel="2" thickBot="1">
      <c r="B1098" s="396" t="s">
        <v>2135</v>
      </c>
      <c r="C1098" s="371">
        <v>1.1943690838084617</v>
      </c>
      <c r="D1098" s="1305" t="s">
        <v>661</v>
      </c>
    </row>
    <row r="1099" spans="2:4" hidden="1" outlineLevel="2"/>
    <row r="1100" spans="2:4" hidden="1" outlineLevel="1" collapsed="1"/>
    <row r="1101" spans="2:4" ht="18" hidden="1" outlineLevel="1">
      <c r="B1101" s="258" t="s">
        <v>522</v>
      </c>
    </row>
    <row r="1102" spans="2:4" hidden="1" outlineLevel="1"/>
    <row r="1103" spans="2:4" ht="14.5" hidden="1" outlineLevel="2" thickBot="1">
      <c r="B1103" s="1251" t="s">
        <v>2136</v>
      </c>
    </row>
    <row r="1104" spans="2:4" hidden="1" outlineLevel="2">
      <c r="B1104" s="538"/>
      <c r="C1104" s="787" t="s">
        <v>2137</v>
      </c>
    </row>
    <row r="1105" spans="2:5" hidden="1" outlineLevel="2">
      <c r="B1105" s="393" t="s">
        <v>2138</v>
      </c>
      <c r="C1105" s="1336">
        <f>(AVERAGE(G74,G77)+AVERAGE(I74,I77))*C1018</f>
        <v>234.75</v>
      </c>
    </row>
    <row r="1106" spans="2:5" ht="14.5" hidden="1" outlineLevel="2" thickBot="1">
      <c r="B1106" s="542" t="s">
        <v>1081</v>
      </c>
      <c r="C1106" s="1337">
        <f>C1093+C1094+C1095</f>
        <v>60</v>
      </c>
    </row>
    <row r="1107" spans="2:5" hidden="1" outlineLevel="2"/>
    <row r="1108" spans="2:5" hidden="1" outlineLevel="2">
      <c r="B1108" s="1251" t="s">
        <v>2139</v>
      </c>
    </row>
    <row r="1109" spans="2:5" hidden="1" outlineLevel="2">
      <c r="B1109" s="1251" t="s">
        <v>2140</v>
      </c>
    </row>
    <row r="1110" spans="2:5" hidden="1" outlineLevel="2">
      <c r="B1110" s="1251"/>
    </row>
    <row r="1111" spans="2:5" ht="14.5" hidden="1" outlineLevel="2" thickBot="1">
      <c r="B1111" s="1251" t="s">
        <v>2111</v>
      </c>
    </row>
    <row r="1112" spans="2:5" hidden="1" outlineLevel="2">
      <c r="B1112" s="402"/>
      <c r="C1112" s="590" t="s">
        <v>2141</v>
      </c>
    </row>
    <row r="1113" spans="2:5" hidden="1" outlineLevel="2">
      <c r="B1113" s="408" t="s">
        <v>186</v>
      </c>
      <c r="C1113" s="1277">
        <v>500</v>
      </c>
    </row>
    <row r="1114" spans="2:5" ht="14.5" hidden="1" outlineLevel="2" thickBot="1">
      <c r="B1114" s="403" t="s">
        <v>426</v>
      </c>
      <c r="C1114" s="15">
        <v>1000</v>
      </c>
    </row>
    <row r="1115" spans="2:5" hidden="1" outlineLevel="2"/>
    <row r="1116" spans="2:5" hidden="1" outlineLevel="2">
      <c r="B1116" s="1251" t="s">
        <v>2142</v>
      </c>
    </row>
    <row r="1117" spans="2:5" hidden="1" outlineLevel="2">
      <c r="B1117" s="1251"/>
    </row>
    <row r="1118" spans="2:5" ht="14.5" hidden="1" outlineLevel="2" thickBot="1">
      <c r="B1118" s="1251" t="s">
        <v>2143</v>
      </c>
    </row>
    <row r="1119" spans="2:5" ht="28" hidden="1" outlineLevel="2">
      <c r="B1119" s="543"/>
      <c r="C1119" s="436" t="s">
        <v>2144</v>
      </c>
      <c r="D1119" s="671" t="s">
        <v>2145</v>
      </c>
    </row>
    <row r="1120" spans="2:5" ht="14.5" hidden="1" outlineLevel="2" thickBot="1">
      <c r="B1120" s="546" t="s">
        <v>82</v>
      </c>
      <c r="C1120" s="98">
        <f>(90%*C1113+10%*C1114)*(C1105+C1106)*10^(-6)*'Annexe - Logistique'!D30*C83/10^6</f>
        <v>0.16068610148609516</v>
      </c>
      <c r="D1120" s="678">
        <f>(C1105+C1106)*10^(-3)*'Annexe - Logistique'!C42*C83/10^6</f>
        <v>0.48064464374139904</v>
      </c>
      <c r="E1120" s="1251"/>
    </row>
    <row r="1121" spans="2:3" hidden="1" outlineLevel="2">
      <c r="B1121" s="1251"/>
    </row>
    <row r="1122" spans="2:3" hidden="1" outlineLevel="1" collapsed="1"/>
    <row r="1123" spans="2:3" ht="18" hidden="1" outlineLevel="1">
      <c r="B1123" s="258" t="s">
        <v>553</v>
      </c>
    </row>
    <row r="1124" spans="2:3" hidden="1" outlineLevel="1"/>
    <row r="1125" spans="2:3" ht="14.5" hidden="1" outlineLevel="2" thickBot="1">
      <c r="B1125" s="1251" t="s">
        <v>2136</v>
      </c>
    </row>
    <row r="1126" spans="2:3" hidden="1" outlineLevel="2">
      <c r="B1126" s="538"/>
      <c r="C1126" s="787" t="s">
        <v>2137</v>
      </c>
    </row>
    <row r="1127" spans="2:3" hidden="1" outlineLevel="2">
      <c r="B1127" s="393" t="s">
        <v>2138</v>
      </c>
      <c r="C1127" s="1336">
        <f>(AVERAGE(G74,G77)+AVERAGE(I74,I77))*C1018</f>
        <v>234.75</v>
      </c>
    </row>
    <row r="1128" spans="2:3" ht="14.5" hidden="1" outlineLevel="2" thickBot="1">
      <c r="B1128" s="542" t="s">
        <v>1081</v>
      </c>
      <c r="C1128" s="1337">
        <f>C1093+C1094+C1095</f>
        <v>60</v>
      </c>
    </row>
    <row r="1129" spans="2:3" hidden="1" outlineLevel="2"/>
    <row r="1130" spans="2:3" ht="14.5" hidden="1" outlineLevel="2" thickBot="1">
      <c r="B1130" s="1251" t="s">
        <v>559</v>
      </c>
    </row>
    <row r="1131" spans="2:3" ht="29" hidden="1" outlineLevel="2">
      <c r="B1131" s="4"/>
      <c r="C1131" s="5" t="s">
        <v>73</v>
      </c>
    </row>
    <row r="1132" spans="2:3" ht="14.5" hidden="1" outlineLevel="2" thickBot="1">
      <c r="B1132" s="565" t="s">
        <v>563</v>
      </c>
      <c r="C1132" s="22">
        <v>386</v>
      </c>
    </row>
    <row r="1133" spans="2:3" hidden="1" outlineLevel="2"/>
    <row r="1134" spans="2:3" ht="14.5" hidden="1" outlineLevel="2" thickBot="1">
      <c r="B1134" s="1251" t="s">
        <v>565</v>
      </c>
    </row>
    <row r="1135" spans="2:3" ht="14.5" hidden="1" outlineLevel="2">
      <c r="B1135" s="4"/>
      <c r="C1135" s="6" t="s">
        <v>2146</v>
      </c>
    </row>
    <row r="1136" spans="2:3" ht="14.5" hidden="1" outlineLevel="2" thickBot="1">
      <c r="B1136" s="565" t="s">
        <v>2147</v>
      </c>
      <c r="C1136" s="512">
        <f>C1132*(C1127+C1128)*C83/10^12</f>
        <v>0.72756404895756888</v>
      </c>
    </row>
    <row r="1137" spans="2:5" hidden="1" outlineLevel="2"/>
    <row r="1138" spans="2:5" hidden="1" outlineLevel="1" collapsed="1"/>
    <row r="1139" spans="2:5" collapsed="1"/>
    <row r="1140" spans="2:5" ht="23.5">
      <c r="B1140" s="2" t="s">
        <v>2148</v>
      </c>
    </row>
    <row r="1142" spans="2:5" ht="18" hidden="1" outlineLevel="1">
      <c r="B1142" s="258" t="s">
        <v>408</v>
      </c>
    </row>
    <row r="1143" spans="2:5" hidden="1" outlineLevel="1"/>
    <row r="1144" spans="2:5" ht="14.5" hidden="1" outlineLevel="2" thickBot="1">
      <c r="B1144" t="s">
        <v>2149</v>
      </c>
    </row>
    <row r="1145" spans="2:5" hidden="1" outlineLevel="2">
      <c r="B1145" s="543" t="s">
        <v>684</v>
      </c>
      <c r="C1145" s="436"/>
      <c r="D1145" s="436" t="s">
        <v>2150</v>
      </c>
      <c r="E1145" s="544" t="s">
        <v>2151</v>
      </c>
    </row>
    <row r="1146" spans="2:5" hidden="1" outlineLevel="2">
      <c r="B1146" s="545" t="s">
        <v>2152</v>
      </c>
      <c r="C1146" s="1298" t="s">
        <v>2153</v>
      </c>
      <c r="D1146" s="21" t="s">
        <v>2154</v>
      </c>
      <c r="E1146" s="17"/>
    </row>
    <row r="1147" spans="2:5" hidden="1" outlineLevel="2">
      <c r="B1147" s="545" t="s">
        <v>2155</v>
      </c>
      <c r="C1147" s="113" t="s">
        <v>2153</v>
      </c>
      <c r="D1147" s="21" t="s">
        <v>2154</v>
      </c>
      <c r="E1147" s="17"/>
    </row>
    <row r="1148" spans="2:5" hidden="1" outlineLevel="2">
      <c r="B1148" s="545" t="s">
        <v>2156</v>
      </c>
      <c r="C1148" s="113" t="s">
        <v>2153</v>
      </c>
      <c r="D1148" s="21" t="s">
        <v>2154</v>
      </c>
      <c r="E1148" s="17" t="s">
        <v>2157</v>
      </c>
    </row>
    <row r="1149" spans="2:5" hidden="1" outlineLevel="2">
      <c r="B1149" s="545" t="s">
        <v>2158</v>
      </c>
      <c r="C1149" s="113" t="s">
        <v>2159</v>
      </c>
      <c r="D1149" s="21" t="s">
        <v>2160</v>
      </c>
      <c r="E1149" s="17"/>
    </row>
    <row r="1150" spans="2:5" ht="14.5" hidden="1" outlineLevel="2" thickBot="1">
      <c r="B1150" s="546" t="s">
        <v>2152</v>
      </c>
      <c r="C1150" s="144" t="s">
        <v>2161</v>
      </c>
      <c r="D1150" s="22" t="s">
        <v>2162</v>
      </c>
      <c r="E1150" s="38" t="s">
        <v>2163</v>
      </c>
    </row>
    <row r="1151" spans="2:5" hidden="1" outlineLevel="2"/>
    <row r="1152" spans="2:5" ht="14.5" hidden="1" outlineLevel="2" thickBot="1">
      <c r="B1152" s="1251" t="s">
        <v>2164</v>
      </c>
    </row>
    <row r="1153" spans="2:8" ht="14.5" hidden="1" outlineLevel="2" thickBot="1">
      <c r="B1153" s="734" t="s">
        <v>2165</v>
      </c>
      <c r="C1153" s="1338">
        <v>40</v>
      </c>
      <c r="D1153" s="872" t="s">
        <v>2082</v>
      </c>
    </row>
    <row r="1154" spans="2:8" hidden="1" outlineLevel="2"/>
    <row r="1155" spans="2:8" ht="14.5" hidden="1" outlineLevel="2" thickBot="1">
      <c r="B1155" t="s">
        <v>927</v>
      </c>
    </row>
    <row r="1156" spans="2:8" hidden="1" outlineLevel="2">
      <c r="B1156" s="553" t="s">
        <v>2166</v>
      </c>
      <c r="C1156" s="1339">
        <f>G354+G361</f>
        <v>11987169.88746357</v>
      </c>
      <c r="D1156" s="1340" t="s">
        <v>1059</v>
      </c>
    </row>
    <row r="1157" spans="2:8" ht="14.5" hidden="1" outlineLevel="2" thickBot="1">
      <c r="B1157" s="546" t="s">
        <v>2166</v>
      </c>
      <c r="C1157" s="14">
        <f>C1156*C1153/10^6</f>
        <v>479.48679549854279</v>
      </c>
      <c r="D1157" s="38" t="s">
        <v>307</v>
      </c>
      <c r="G1157" s="1251" t="s">
        <v>472</v>
      </c>
      <c r="H1157" s="1251" t="s">
        <v>2167</v>
      </c>
    </row>
    <row r="1158" spans="2:8" hidden="1" outlineLevel="2">
      <c r="F1158" s="1251" t="s">
        <v>2168</v>
      </c>
      <c r="G1158" s="23">
        <f>C1018*(H83+J83)/10^6 *(SUM(C1006:D1006)/SUM(C1006:D1010))</f>
        <v>309.95179871559634</v>
      </c>
      <c r="H1158" s="23">
        <f>C1018*(H83+J83)/10^6 *(SUM(C1007:D1010)/SUM(C1006:D1010))</f>
        <v>1239.8071948623854</v>
      </c>
    </row>
    <row r="1159" spans="2:8" hidden="1" outlineLevel="2">
      <c r="B1159" s="1251" t="s">
        <v>2169</v>
      </c>
      <c r="F1159" s="1251" t="s">
        <v>1129</v>
      </c>
      <c r="G1159" s="23">
        <f>C1157*50%</f>
        <v>239.7433977492714</v>
      </c>
      <c r="H1159" s="23">
        <f>C1157*50%</f>
        <v>239.7433977492714</v>
      </c>
    </row>
    <row r="1160" spans="2:8" hidden="1" outlineLevel="2"/>
    <row r="1161" spans="2:8" hidden="1" outlineLevel="2">
      <c r="B1161" t="s">
        <v>2170</v>
      </c>
    </row>
    <row r="1162" spans="2:8" hidden="1" outlineLevel="2"/>
    <row r="1163" spans="2:8" hidden="1" outlineLevel="2">
      <c r="B1163" s="1251" t="s">
        <v>2171</v>
      </c>
    </row>
    <row r="1164" spans="2:8" ht="14.5" hidden="1" outlineLevel="2" thickBot="1">
      <c r="B1164" t="s">
        <v>481</v>
      </c>
    </row>
    <row r="1165" spans="2:8" ht="56" hidden="1" outlineLevel="2">
      <c r="B1165" s="456"/>
      <c r="C1165" s="404" t="s">
        <v>474</v>
      </c>
      <c r="D1165" s="404" t="s">
        <v>475</v>
      </c>
      <c r="E1165" s="405" t="s">
        <v>476</v>
      </c>
    </row>
    <row r="1166" spans="2:8" hidden="1" outlineLevel="2">
      <c r="B1166" s="562" t="s">
        <v>84</v>
      </c>
      <c r="C1166" s="1302">
        <f>EPI!C215</f>
        <v>3.5037821992650593</v>
      </c>
      <c r="D1166" s="1302">
        <f>EPI!D215</f>
        <v>3.0647791476276791</v>
      </c>
      <c r="E1166" s="1303">
        <f>EPI!E215</f>
        <v>3.0647791476276791</v>
      </c>
    </row>
    <row r="1167" spans="2:8" ht="14.5" hidden="1" outlineLevel="2" thickBot="1">
      <c r="B1167" s="565" t="s">
        <v>187</v>
      </c>
      <c r="C1167" s="1302">
        <f>EPI!C216</f>
        <v>6.7803224344395367</v>
      </c>
      <c r="D1167" s="1302">
        <f>EPI!D216</f>
        <v>3.960001858879699</v>
      </c>
      <c r="E1167" s="1303">
        <f>EPI!E216</f>
        <v>2.9047383658146306</v>
      </c>
    </row>
    <row r="1168" spans="2:8" ht="14.5" hidden="1" outlineLevel="2" thickBot="1">
      <c r="B1168" s="571" t="s">
        <v>460</v>
      </c>
      <c r="C1168" s="34">
        <f>SUM(C1166:C1167)</f>
        <v>10.284104633704596</v>
      </c>
      <c r="D1168" s="34">
        <f>SUM(D1166:D1167)</f>
        <v>7.0247810065073786</v>
      </c>
      <c r="E1168" s="680">
        <f>SUM(E1166:E1167)</f>
        <v>5.9695175134423097</v>
      </c>
    </row>
    <row r="1169" spans="2:8" hidden="1" outlineLevel="2"/>
    <row r="1170" spans="2:8" ht="14.5" hidden="1" outlineLevel="2" thickBot="1">
      <c r="B1170" s="1251" t="s">
        <v>2172</v>
      </c>
      <c r="C1170" s="1251"/>
      <c r="D1170" s="1251"/>
      <c r="G1170" s="1251"/>
      <c r="H1170" s="1251"/>
    </row>
    <row r="1171" spans="2:8" ht="14.5" hidden="1" outlineLevel="2" thickBot="1">
      <c r="B1171" s="571" t="s">
        <v>2173</v>
      </c>
      <c r="C1171" s="899">
        <f>70%*C1166+20%*D1166+5%*E1166</f>
        <v>3.218842326392461</v>
      </c>
      <c r="D1171" s="1251"/>
      <c r="G1171" s="1251"/>
      <c r="H1171" s="1251"/>
    </row>
    <row r="1172" spans="2:8" ht="14.5" hidden="1" outlineLevel="2" thickBot="1">
      <c r="B1172" s="1019" t="s">
        <v>2174</v>
      </c>
      <c r="C1172" s="680">
        <f>C1157*C1171/10^3</f>
        <v>1.5433923922969957</v>
      </c>
      <c r="D1172" s="1251"/>
      <c r="G1172" s="1251"/>
      <c r="H1172" s="1251"/>
    </row>
    <row r="1173" spans="2:8" ht="14.5" hidden="1" outlineLevel="2" thickBot="1">
      <c r="B1173" s="571" t="s">
        <v>2175</v>
      </c>
      <c r="C1173" s="899">
        <f>70%*C1167+20%*D1167+5%*E1167</f>
        <v>5.683462994174346</v>
      </c>
      <c r="D1173" s="1251"/>
      <c r="G1173" s="1251"/>
      <c r="H1173" s="1251"/>
    </row>
    <row r="1174" spans="2:8" ht="14.5" hidden="1" outlineLevel="2" thickBot="1">
      <c r="B1174" s="1019" t="s">
        <v>2176</v>
      </c>
      <c r="C1174" s="680">
        <f>C1157*C1173/10^3</f>
        <v>2.7251454584112103</v>
      </c>
      <c r="D1174" s="1251"/>
      <c r="G1174" s="1251"/>
      <c r="H1174" s="1251"/>
    </row>
    <row r="1175" spans="2:8" hidden="1" outlineLevel="2"/>
    <row r="1176" spans="2:8" hidden="1" outlineLevel="1" collapsed="1"/>
    <row r="1177" spans="2:8" ht="18" hidden="1" outlineLevel="1">
      <c r="B1177" s="258" t="s">
        <v>482</v>
      </c>
    </row>
    <row r="1178" spans="2:8" hidden="1" outlineLevel="1"/>
    <row r="1179" spans="2:8" hidden="1" outlineLevel="2">
      <c r="B1179" s="87" t="s">
        <v>2177</v>
      </c>
    </row>
    <row r="1180" spans="2:8" hidden="1" outlineLevel="2">
      <c r="B1180" t="s">
        <v>2178</v>
      </c>
    </row>
    <row r="1181" spans="2:8" hidden="1" outlineLevel="2">
      <c r="B1181" t="s">
        <v>2179</v>
      </c>
    </row>
    <row r="1182" spans="2:8" ht="14.5" hidden="1" outlineLevel="2" thickBot="1">
      <c r="B1182" s="1251" t="s">
        <v>2180</v>
      </c>
    </row>
    <row r="1183" spans="2:8" ht="14.5" hidden="1" outlineLevel="2" thickBot="1">
      <c r="B1183" s="571" t="s">
        <v>2181</v>
      </c>
      <c r="C1183" s="680">
        <v>2.7008898994198525</v>
      </c>
    </row>
    <row r="1184" spans="2:8" ht="14.5" hidden="1" outlineLevel="2" thickBot="1">
      <c r="B1184" s="1019" t="s">
        <v>938</v>
      </c>
      <c r="C1184" s="743">
        <f>C1183*C1157/10^3</f>
        <v>1.2950410428672066</v>
      </c>
    </row>
    <row r="1185" spans="2:5" hidden="1" outlineLevel="2"/>
    <row r="1186" spans="2:5" hidden="1" outlineLevel="1" collapsed="1"/>
    <row r="1187" spans="2:5" ht="18" hidden="1" outlineLevel="1">
      <c r="B1187" s="258" t="s">
        <v>515</v>
      </c>
    </row>
    <row r="1188" spans="2:5" hidden="1" outlineLevel="1"/>
    <row r="1189" spans="2:5" hidden="1" outlineLevel="2">
      <c r="B1189" s="1251" t="s">
        <v>2182</v>
      </c>
    </row>
    <row r="1190" spans="2:5" hidden="1" outlineLevel="2">
      <c r="B1190" s="1251" t="s">
        <v>2183</v>
      </c>
    </row>
    <row r="1191" spans="2:5" hidden="1" outlineLevel="2"/>
    <row r="1192" spans="2:5" ht="14.5" hidden="1" outlineLevel="2" thickBot="1">
      <c r="B1192" s="1251" t="s">
        <v>518</v>
      </c>
    </row>
    <row r="1193" spans="2:5" ht="70" hidden="1" outlineLevel="2">
      <c r="B1193" s="456"/>
      <c r="C1193" s="404" t="s">
        <v>2184</v>
      </c>
      <c r="D1193" s="404" t="s">
        <v>520</v>
      </c>
      <c r="E1193" s="405" t="s">
        <v>635</v>
      </c>
    </row>
    <row r="1194" spans="2:5" ht="14.5" hidden="1" outlineLevel="2" thickBot="1">
      <c r="B1194" s="565" t="s">
        <v>636</v>
      </c>
      <c r="C1194" s="712">
        <f>C1157</f>
        <v>479.48679549854279</v>
      </c>
      <c r="D1194" s="170">
        <f>'Annexe - stérilisation'!C26</f>
        <v>0.18273736929272824</v>
      </c>
      <c r="E1194" s="683">
        <f>C1194*D1194/1000</f>
        <v>8.7620155620004081E-2</v>
      </c>
    </row>
    <row r="1195" spans="2:5" hidden="1" outlineLevel="2"/>
    <row r="1196" spans="2:5" hidden="1" outlineLevel="1" collapsed="1"/>
    <row r="1197" spans="2:5" ht="18" hidden="1" outlineLevel="1">
      <c r="B1197" s="258" t="s">
        <v>522</v>
      </c>
    </row>
    <row r="1198" spans="2:5" hidden="1" outlineLevel="1"/>
    <row r="1199" spans="2:5" hidden="1" outlineLevel="2">
      <c r="B1199" s="3" t="s">
        <v>523</v>
      </c>
    </row>
    <row r="1200" spans="2:5" hidden="1" outlineLevel="2">
      <c r="B1200" s="1251" t="s">
        <v>524</v>
      </c>
    </row>
    <row r="1201" spans="2:17" ht="14.5" hidden="1" outlineLevel="2" thickBot="1"/>
    <row r="1202" spans="2:17" ht="14.5" hidden="1" outlineLevel="2">
      <c r="B1202" s="123" t="s">
        <v>525</v>
      </c>
      <c r="C1202" s="155" t="s">
        <v>526</v>
      </c>
      <c r="D1202" s="155" t="s">
        <v>87</v>
      </c>
      <c r="E1202" s="374" t="s">
        <v>165</v>
      </c>
      <c r="F1202" s="375" t="s">
        <v>175</v>
      </c>
      <c r="G1202" s="375" t="s">
        <v>163</v>
      </c>
      <c r="H1202" s="375" t="s">
        <v>169</v>
      </c>
      <c r="I1202" s="375" t="s">
        <v>161</v>
      </c>
      <c r="J1202" s="375" t="s">
        <v>153</v>
      </c>
      <c r="K1202" s="375" t="s">
        <v>171</v>
      </c>
      <c r="L1202" s="375" t="s">
        <v>527</v>
      </c>
      <c r="M1202" s="375" t="s">
        <v>167</v>
      </c>
      <c r="N1202" s="375" t="s">
        <v>173</v>
      </c>
      <c r="O1202" s="375" t="s">
        <v>159</v>
      </c>
      <c r="P1202" s="375" t="s">
        <v>154</v>
      </c>
      <c r="Q1202" s="378" t="s">
        <v>157</v>
      </c>
    </row>
    <row r="1203" spans="2:17" ht="30.5" hidden="1" customHeight="1" outlineLevel="2" thickBot="1">
      <c r="B1203" s="13" t="s">
        <v>2185</v>
      </c>
      <c r="C1203" s="14">
        <v>30059031</v>
      </c>
      <c r="D1203" s="1330" t="s">
        <v>1129</v>
      </c>
      <c r="E1203" s="376">
        <v>1.8953318566951943E-3</v>
      </c>
      <c r="F1203" s="298">
        <v>0</v>
      </c>
      <c r="G1203" s="298">
        <v>1.4737216831487443E-4</v>
      </c>
      <c r="H1203" s="298">
        <v>1.3670887598782417E-6</v>
      </c>
      <c r="I1203" s="298">
        <v>4.5496713928747882E-4</v>
      </c>
      <c r="J1203" s="298">
        <v>0.75210333441151067</v>
      </c>
      <c r="K1203" s="298">
        <v>1.1549712678955337E-2</v>
      </c>
      <c r="L1203" s="298">
        <v>1.5311394110636307E-5</v>
      </c>
      <c r="M1203" s="298">
        <v>6.5620260474155596E-6</v>
      </c>
      <c r="N1203" s="298">
        <v>0</v>
      </c>
      <c r="O1203" s="298">
        <v>2.7891344879035886E-3</v>
      </c>
      <c r="P1203" s="298">
        <v>0.11768446880535854</v>
      </c>
      <c r="Q1203" s="381">
        <v>0.11335243794305638</v>
      </c>
    </row>
    <row r="1204" spans="2:17" hidden="1" outlineLevel="2"/>
    <row r="1205" spans="2:17" hidden="1" outlineLevel="2">
      <c r="B1205" s="1251" t="s">
        <v>530</v>
      </c>
    </row>
    <row r="1206" spans="2:17" hidden="1" outlineLevel="2">
      <c r="B1206" s="1251"/>
    </row>
    <row r="1207" spans="2:17" hidden="1" outlineLevel="2">
      <c r="B1207" s="1251" t="s">
        <v>531</v>
      </c>
      <c r="C1207" s="87"/>
    </row>
    <row r="1208" spans="2:17" hidden="1" outlineLevel="2">
      <c r="B1208" s="1251" t="s">
        <v>2186</v>
      </c>
      <c r="C1208" s="1310"/>
      <c r="D1208" s="1251"/>
    </row>
    <row r="1209" spans="2:17" hidden="1" outlineLevel="2">
      <c r="B1209" s="1251"/>
      <c r="C1209" s="1251"/>
      <c r="D1209" s="1251"/>
    </row>
    <row r="1210" spans="2:17" ht="14.5" hidden="1" outlineLevel="2" thickBot="1">
      <c r="B1210" s="1251" t="s">
        <v>533</v>
      </c>
      <c r="C1210" s="1251"/>
      <c r="D1210" s="1251"/>
    </row>
    <row r="1211" spans="2:17" ht="29" hidden="1" outlineLevel="2">
      <c r="B1211" s="123"/>
      <c r="C1211" s="379" t="s">
        <v>534</v>
      </c>
      <c r="D1211" s="1251"/>
    </row>
    <row r="1212" spans="2:17" ht="15" hidden="1" outlineLevel="2" thickBot="1">
      <c r="B1212" s="13" t="s">
        <v>1129</v>
      </c>
      <c r="C1212" s="313">
        <v>0.05</v>
      </c>
      <c r="D1212" s="1251"/>
    </row>
    <row r="1213" spans="2:17" hidden="1" outlineLevel="2">
      <c r="B1213" s="1251"/>
      <c r="C1213" s="1251"/>
      <c r="D1213" s="1251"/>
      <c r="G1213" s="1251"/>
      <c r="H1213" s="1251"/>
    </row>
    <row r="1214" spans="2:17" hidden="1" outlineLevel="2">
      <c r="B1214" s="1251" t="s">
        <v>2187</v>
      </c>
      <c r="C1214" s="1251"/>
      <c r="D1214" s="1251"/>
    </row>
    <row r="1215" spans="2:17" hidden="1" outlineLevel="2">
      <c r="B1215" s="1251"/>
      <c r="C1215" s="1251"/>
      <c r="D1215" s="1251"/>
    </row>
    <row r="1216" spans="2:17" ht="14.5" hidden="1" outlineLevel="2" thickBot="1">
      <c r="B1216" s="1251" t="s">
        <v>540</v>
      </c>
      <c r="G1216" s="1251"/>
      <c r="H1216" s="1251"/>
    </row>
    <row r="1217" spans="2:14" ht="15" hidden="1" outlineLevel="2" thickBot="1">
      <c r="B1217" s="1251"/>
      <c r="C1217" s="1581" t="s">
        <v>357</v>
      </c>
      <c r="D1217" s="1535"/>
      <c r="E1217" s="1536"/>
      <c r="F1217" s="1534" t="s">
        <v>358</v>
      </c>
      <c r="G1217" s="1535"/>
      <c r="H1217" s="1536"/>
      <c r="I1217" s="1534" t="s">
        <v>359</v>
      </c>
      <c r="J1217" s="1535"/>
      <c r="K1217" s="1582"/>
    </row>
    <row r="1218" spans="2:14" ht="58" hidden="1" outlineLevel="2">
      <c r="B1218" s="1020" t="s">
        <v>525</v>
      </c>
      <c r="C1218" s="169" t="s">
        <v>541</v>
      </c>
      <c r="D1218" s="158" t="s">
        <v>542</v>
      </c>
      <c r="E1218" s="159" t="s">
        <v>543</v>
      </c>
      <c r="F1218" s="158" t="s">
        <v>541</v>
      </c>
      <c r="G1218" s="158" t="s">
        <v>542</v>
      </c>
      <c r="H1218" s="159" t="s">
        <v>543</v>
      </c>
      <c r="I1218" s="158" t="s">
        <v>541</v>
      </c>
      <c r="J1218" s="158" t="s">
        <v>542</v>
      </c>
      <c r="K1218" s="159" t="s">
        <v>543</v>
      </c>
    </row>
    <row r="1219" spans="2:14" ht="15" hidden="1" outlineLevel="2" thickBot="1">
      <c r="B1219" s="1021" t="s">
        <v>1129</v>
      </c>
      <c r="C1219" s="177">
        <f>SUMPRODUCT(E1203:O1203,'Annexe - Logistique'!$D$12:$N$12)/SUM(E1203:O1203)</f>
        <v>999.99999999999989</v>
      </c>
      <c r="D1219" s="14">
        <f>SUMPRODUCT(E1203:O1203,'Annexe - Logistique'!$D$13:$N$13)/SUM(E1203:O1203)</f>
        <v>18616.958301628034</v>
      </c>
      <c r="E1219" s="38">
        <f>500</f>
        <v>500</v>
      </c>
      <c r="F1219" s="14">
        <f>SUMPRODUCT(P1203:Q1203,'Annexe - Logistique'!$O$12:$P$12)/SUM(P1203:Q1203)</f>
        <v>1294.3748846148385</v>
      </c>
      <c r="G1219" s="14">
        <v>0</v>
      </c>
      <c r="H1219" s="38">
        <f>500</f>
        <v>500</v>
      </c>
      <c r="I1219" s="14">
        <f>'Annexe - Logistique'!Q$12</f>
        <v>500</v>
      </c>
      <c r="J1219" s="14">
        <v>0</v>
      </c>
      <c r="K1219" s="38">
        <f>500</f>
        <v>500</v>
      </c>
    </row>
    <row r="1220" spans="2:14" hidden="1" outlineLevel="2">
      <c r="B1220" s="1251"/>
      <c r="C1220" s="1251"/>
      <c r="D1220" s="1251"/>
      <c r="G1220" s="1251"/>
      <c r="H1220" s="1251"/>
    </row>
    <row r="1221" spans="2:14" ht="14.5" hidden="1" outlineLevel="2" thickBot="1">
      <c r="B1221" s="1251" t="s">
        <v>544</v>
      </c>
      <c r="C1221" s="1251"/>
      <c r="D1221" s="1251"/>
      <c r="G1221" s="1251"/>
      <c r="H1221" s="1251"/>
    </row>
    <row r="1222" spans="2:14" ht="43.5" hidden="1" outlineLevel="2">
      <c r="B1222" s="123" t="s">
        <v>525</v>
      </c>
      <c r="C1222" s="159" t="s">
        <v>545</v>
      </c>
      <c r="G1222" s="1251"/>
      <c r="H1222" s="1251"/>
    </row>
    <row r="1223" spans="2:14" ht="15" hidden="1" outlineLevel="2" thickBot="1">
      <c r="B1223" s="13" t="s">
        <v>1129</v>
      </c>
      <c r="C1223" s="19">
        <v>1</v>
      </c>
      <c r="D1223" s="74"/>
      <c r="E1223" s="74"/>
      <c r="G1223" s="1251"/>
      <c r="H1223" s="1251"/>
    </row>
    <row r="1224" spans="2:14" hidden="1" outlineLevel="2">
      <c r="B1224" s="1251"/>
      <c r="C1224" s="1251"/>
      <c r="D1224" s="1251"/>
      <c r="G1224" s="1251"/>
      <c r="H1224" s="1251"/>
    </row>
    <row r="1225" spans="2:14" ht="14.5" hidden="1" outlineLevel="2" thickBot="1">
      <c r="B1225" s="1251" t="s">
        <v>546</v>
      </c>
      <c r="D1225" s="1251"/>
      <c r="G1225" s="1251"/>
      <c r="H1225" s="1251"/>
    </row>
    <row r="1226" spans="2:14" ht="33" hidden="1" customHeight="1" outlineLevel="2">
      <c r="B1226" s="123"/>
      <c r="C1226" s="1554" t="s">
        <v>547</v>
      </c>
      <c r="D1226" s="1554"/>
      <c r="E1226" s="1554"/>
      <c r="F1226" s="1554"/>
      <c r="G1226" s="1554" t="s">
        <v>548</v>
      </c>
      <c r="H1226" s="1554"/>
      <c r="I1226" s="1554"/>
      <c r="J1226" s="1554"/>
      <c r="K1226" s="1554" t="s">
        <v>549</v>
      </c>
      <c r="L1226" s="1554"/>
      <c r="M1226" s="1554"/>
      <c r="N1226" s="1555"/>
    </row>
    <row r="1227" spans="2:14" ht="43.5" hidden="1" outlineLevel="2">
      <c r="B1227" s="382"/>
      <c r="C1227" s="167" t="s">
        <v>550</v>
      </c>
      <c r="D1227" s="167" t="s">
        <v>551</v>
      </c>
      <c r="E1227" s="167" t="s">
        <v>552</v>
      </c>
      <c r="F1227" s="167" t="s">
        <v>83</v>
      </c>
      <c r="G1227" s="167" t="s">
        <v>550</v>
      </c>
      <c r="H1227" s="167" t="s">
        <v>551</v>
      </c>
      <c r="I1227" s="167" t="s">
        <v>552</v>
      </c>
      <c r="J1227" s="167" t="s">
        <v>83</v>
      </c>
      <c r="K1227" s="167" t="s">
        <v>550</v>
      </c>
      <c r="L1227" s="167" t="s">
        <v>551</v>
      </c>
      <c r="M1227" s="167" t="s">
        <v>552</v>
      </c>
      <c r="N1227" s="303" t="s">
        <v>83</v>
      </c>
    </row>
    <row r="1228" spans="2:14" ht="15" hidden="1" outlineLevel="2" thickBot="1">
      <c r="B1228" s="13" t="s">
        <v>1129</v>
      </c>
      <c r="C1228" s="170">
        <f>(1+$C1223)*C1219*'Annexe - Logistique'!$D$29/10^3</f>
        <v>0.40600000000000003</v>
      </c>
      <c r="D1228" s="170">
        <f>(1+$C1223)*D1219*'Annexe - Logistique'!$D$28/10^3</f>
        <v>1.6866964221274998</v>
      </c>
      <c r="E1228" s="170">
        <f>(1+$C1223)*E1219*'Annexe - Logistique'!$D$30/10^3</f>
        <v>0.155</v>
      </c>
      <c r="F1228" s="325">
        <f>SUM(C1228:E1228)</f>
        <v>2.2476964221274995</v>
      </c>
      <c r="G1228" s="170">
        <f>(1+$C1223)*F1219*'Annexe - Logistique'!$D$29/10^3</f>
        <v>0.52551620315362446</v>
      </c>
      <c r="H1228" s="170">
        <f>(1+$C1223)*G1219*'Annexe - Logistique'!$D$28/10^3</f>
        <v>0</v>
      </c>
      <c r="I1228" s="170">
        <f>(1+$C1223)*H1219*'Annexe - Logistique'!$D$30/10^3</f>
        <v>0.155</v>
      </c>
      <c r="J1228" s="325">
        <f>SUM(G1228:I1228)</f>
        <v>0.68051620315362449</v>
      </c>
      <c r="K1228" s="170">
        <f>(1+$C1223)*I1219*'Annexe - Logistique'!$D$29/10^3</f>
        <v>0.20300000000000001</v>
      </c>
      <c r="L1228" s="170">
        <f>(1+$C1223)*J1219*'Annexe - Logistique'!$D$28/10^3</f>
        <v>0</v>
      </c>
      <c r="M1228" s="170">
        <f>(1+$C1223)*K1219*'Annexe - Logistique'!$D$30/10^3</f>
        <v>0.155</v>
      </c>
      <c r="N1228" s="327">
        <f>SUM(K1228:M1228)</f>
        <v>0.35799999999999998</v>
      </c>
    </row>
    <row r="1229" spans="2:14" hidden="1" outlineLevel="2">
      <c r="B1229" s="1251"/>
      <c r="C1229" s="1251"/>
      <c r="D1229" s="1251"/>
      <c r="G1229" s="1251"/>
      <c r="H1229" s="1251"/>
    </row>
    <row r="1230" spans="2:14" ht="14.5" hidden="1" outlineLevel="2" thickBot="1">
      <c r="B1230" s="1251" t="s">
        <v>2172</v>
      </c>
      <c r="C1230" s="1251"/>
      <c r="D1230" s="1251"/>
      <c r="G1230" s="1251"/>
      <c r="H1230" s="1251"/>
    </row>
    <row r="1231" spans="2:14" ht="14.5" hidden="1" outlineLevel="2" thickBot="1">
      <c r="B1231" s="571" t="s">
        <v>2188</v>
      </c>
      <c r="C1231" s="680">
        <f>70%*F1228+20%*J1228+5%*N1228</f>
        <v>1.7273907361199745</v>
      </c>
      <c r="D1231" s="1251"/>
      <c r="G1231" s="1251"/>
      <c r="H1231" s="1251"/>
    </row>
    <row r="1232" spans="2:14" ht="14.5" hidden="1" outlineLevel="2" thickBot="1">
      <c r="B1232" s="1019" t="s">
        <v>2189</v>
      </c>
      <c r="C1232" s="743">
        <f>C1231*C1157/10^3</f>
        <v>0.82826104863603556</v>
      </c>
      <c r="D1232" s="1251"/>
      <c r="G1232" s="1251"/>
      <c r="H1232" s="1251"/>
    </row>
    <row r="1233" spans="2:8" hidden="1" outlineLevel="2">
      <c r="B1233" s="1251"/>
      <c r="C1233" s="1251"/>
      <c r="D1233" s="1251"/>
      <c r="G1233" s="1251"/>
      <c r="H1233" s="1251"/>
    </row>
    <row r="1234" spans="2:8" hidden="1" outlineLevel="1" collapsed="1"/>
    <row r="1235" spans="2:8" ht="18" hidden="1" outlineLevel="1">
      <c r="B1235" s="258" t="s">
        <v>553</v>
      </c>
    </row>
    <row r="1236" spans="2:8" hidden="1" outlineLevel="1"/>
    <row r="1237" spans="2:8" ht="14.5" hidden="1" outlineLevel="2" thickBot="1">
      <c r="B1237" s="1251" t="s">
        <v>2136</v>
      </c>
    </row>
    <row r="1238" spans="2:8" hidden="1" outlineLevel="2">
      <c r="B1238" s="538"/>
      <c r="C1238" s="787" t="s">
        <v>2190</v>
      </c>
    </row>
    <row r="1239" spans="2:8" hidden="1" outlineLevel="2">
      <c r="B1239" s="393" t="s">
        <v>2191</v>
      </c>
      <c r="C1239" s="1336">
        <f>C1157</f>
        <v>479.48679549854279</v>
      </c>
    </row>
    <row r="1240" spans="2:8" ht="14.5" hidden="1" outlineLevel="2" thickBot="1">
      <c r="B1240" s="542" t="s">
        <v>1081</v>
      </c>
      <c r="C1240" s="1337">
        <f>C1239</f>
        <v>479.48679549854279</v>
      </c>
    </row>
    <row r="1241" spans="2:8" hidden="1" outlineLevel="2"/>
    <row r="1242" spans="2:8" ht="14.5" hidden="1" outlineLevel="2" thickBot="1">
      <c r="B1242" s="1251" t="s">
        <v>559</v>
      </c>
    </row>
    <row r="1243" spans="2:8" ht="43.5" hidden="1" outlineLevel="2">
      <c r="B1243" s="4"/>
      <c r="C1243" s="5" t="s">
        <v>2192</v>
      </c>
    </row>
    <row r="1244" spans="2:8" ht="14.5" hidden="1" outlineLevel="2" thickBot="1">
      <c r="B1244" s="565" t="s">
        <v>563</v>
      </c>
      <c r="C1244" s="22">
        <v>386</v>
      </c>
    </row>
    <row r="1245" spans="2:8" hidden="1" outlineLevel="2"/>
    <row r="1246" spans="2:8" ht="14.5" hidden="1" outlineLevel="2" thickBot="1">
      <c r="B1246" s="1251" t="s">
        <v>565</v>
      </c>
    </row>
    <row r="1247" spans="2:8" ht="14.5" hidden="1" outlineLevel="2">
      <c r="B1247" s="4"/>
      <c r="C1247" s="6" t="s">
        <v>2146</v>
      </c>
    </row>
    <row r="1248" spans="2:8" ht="14.5" hidden="1" outlineLevel="2" thickBot="1">
      <c r="B1248" s="565" t="s">
        <v>2147</v>
      </c>
      <c r="C1248" s="97">
        <f>C1244*(C1239+C1240)/10^6</f>
        <v>0.37016380612487504</v>
      </c>
    </row>
    <row r="1249" spans="2:2" hidden="1" outlineLevel="2"/>
    <row r="1250" spans="2:2" hidden="1" outlineLevel="1" collapsed="1"/>
    <row r="1251" spans="2:2" collapsed="1"/>
    <row r="1252" spans="2:2" ht="23.5">
      <c r="B1252" s="2" t="s">
        <v>2193</v>
      </c>
    </row>
    <row r="1254" spans="2:2" hidden="1" outlineLevel="1"/>
    <row r="1255" spans="2:2" hidden="1" outlineLevel="1">
      <c r="B1255" s="1251" t="s">
        <v>2194</v>
      </c>
    </row>
    <row r="1256" spans="2:2" hidden="1" outlineLevel="1"/>
    <row r="1257" spans="2:2" collapsed="1"/>
  </sheetData>
  <mergeCells count="7">
    <mergeCell ref="A1:XFD2"/>
    <mergeCell ref="C1217:E1217"/>
    <mergeCell ref="F1217:H1217"/>
    <mergeCell ref="I1217:K1217"/>
    <mergeCell ref="C1226:F1226"/>
    <mergeCell ref="G1226:J1226"/>
    <mergeCell ref="K1226:N1226"/>
  </mergeCells>
  <phoneticPr fontId="33" type="noConversion"/>
  <conditionalFormatting sqref="A1:XFD2">
    <cfRule type="containsBlanks" dxfId="17" priority="1">
      <formula>LEN(TRIM(A1))=0</formula>
    </cfRule>
  </conditionalFormatting>
  <conditionalFormatting sqref="F1203:Q1203">
    <cfRule type="colorScale" priority="250">
      <colorScale>
        <cfvo type="min"/>
        <cfvo type="percentile" val="50"/>
        <cfvo type="max"/>
        <color rgb="FFFCFCFF"/>
        <color rgb="FFDDF0C8"/>
        <color rgb="FF63BE7B"/>
      </colorScale>
    </cfRule>
  </conditionalFormatting>
  <hyperlinks>
    <hyperlink ref="B1015" r:id="rId1" display="https://lamaison-medicale.com/boutique/pansements/bandes-compression/urgo-k2-urgo-medical/?utm_source=chatgpt.com" xr:uid="{16AD9A20-1EE5-4CA8-AF7B-222313950281}"/>
    <hyperlink ref="E1036" r:id="rId2" display="https://www.leprogres.fr/loire-42-edition-forez/2019/04/12/veauche-urgo-advanced-textile-va-agrandir-son-site-de-production" xr:uid="{33038610-8B9B-41B3-864A-B6B654C75396}"/>
    <hyperlink ref="D1058" r:id="rId3" location=":~:text=Le%20fabricant%20a%20b%C3%A9n%C3%A9fici%C3%A9%20de,contre%206%20000%20m2)." display="https://mesinfos.fr/auvergne-rhone-alpes/veauche-urgo-investit-15-m-euro-supplementaires-94271.html - :~:text=Le%20fabricant%20a%20b%C3%A9n%C3%A9fici%C3%A9%20de,contre%206%20000%20m2)." xr:uid="{782B303D-284A-4B16-A8E2-C85AAE9B6F23}"/>
    <hyperlink ref="D1057" r:id="rId4" display="https://www.leprogres.fr/loire-42-edition-forez/2019/04/12/veauche-urgo-advanced-textile-va-agrandir-son-site-de-production" xr:uid="{55BDFCAD-7F4E-4A5E-AABF-2188F3293B51}"/>
    <hyperlink ref="B1002" r:id="rId5" display="https://www.vidal.fr/parapharmacie/urgok2-bandage-multitype-systeme-de-compression-veineuse-bi-bande-98841.html" xr:uid="{DE408DE9-1D35-4801-A9AB-1518CCF3886B}"/>
    <hyperlink ref="B1013" r:id="rId6" display="https://www.has-sante.fr/upload/docs/application/pdf/2010-12/rapport_compression_medical_1276_vf.pdf" xr:uid="{34355A1F-5E7C-4E5C-969E-7F644C9F136D}"/>
    <hyperlink ref="C1146" r:id="rId7" display="https://www.sylamed.com/wp-content/uploads/2014/02/Catalogue-produits-Laboratoire-SYLAMED.pdf" xr:uid="{021B13CB-ABF9-4B19-A01B-40C3FE485E1B}"/>
    <hyperlink ref="C1147" r:id="rId8" display="https://www.sylamed.com/wp-content/uploads/2014/02/Catalogue-produits-Laboratoire-SYLAMED.pdf" xr:uid="{9C0FCBC7-BDB7-4485-98F7-76F6DE4DF6E7}"/>
    <hyperlink ref="C1148" r:id="rId9" display="https://www.sylamed.com/wp-content/uploads/2014/02/Catalogue-produits-Laboratoire-SYLAMED.pdf" xr:uid="{3CAAD2E6-A3E3-45DA-922A-95B6CEF0AAE8}"/>
    <hyperlink ref="C1149" r:id="rId10" display="https://www.e-pansement.fr/dispositifs/zetuvit" xr:uid="{0A3F4E97-AD4D-4446-8764-4D895FF368EA}"/>
    <hyperlink ref="C1150" r:id="rId11" display="https://www.e-pansement.fr/dispositifs/medicomp-s-40-steriles-non-tisse" xr:uid="{53231C76-BD62-4B8F-A426-F4926455B5F4}"/>
    <hyperlink ref="B1179" r:id="rId12" display="https://link.springer.com/article/10.1007/s00134-022-06940-6" xr:uid="{EC6B5E67-FAFC-4338-84F5-957CE5F5A452}"/>
  </hyperlinks>
  <pageMargins left="0.7" right="0.7" top="0.75" bottom="0.75" header="0.3" footer="0.3"/>
  <pageSetup paperSize="9" orientation="portrait" r:id="rId13"/>
  <drawing r:id="rId14"/>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E95462-2971-48CC-AD27-975712FAA5DE}">
  <sheetPr>
    <tabColor theme="9"/>
  </sheetPr>
  <dimension ref="A1:O69"/>
  <sheetViews>
    <sheetView zoomScale="60" zoomScaleNormal="60" workbookViewId="0">
      <selection sqref="A1:XFD2"/>
    </sheetView>
  </sheetViews>
  <sheetFormatPr baseColWidth="10" defaultColWidth="11" defaultRowHeight="14" outlineLevelRow="1"/>
  <cols>
    <col min="2" max="2" width="57.6640625" customWidth="1"/>
    <col min="3" max="3" width="25.83203125" customWidth="1"/>
    <col min="4" max="4" width="16.5" customWidth="1"/>
    <col min="5" max="5" width="13.83203125" bestFit="1" customWidth="1"/>
  </cols>
  <sheetData>
    <row r="1" spans="1:6" s="1505" customFormat="1">
      <c r="A1" s="1505" t="s">
        <v>2195</v>
      </c>
    </row>
    <row r="2" spans="1:6" s="1505" customFormat="1"/>
    <row r="5" spans="1:6">
      <c r="B5" s="1251" t="s">
        <v>31</v>
      </c>
    </row>
    <row r="6" spans="1:6">
      <c r="B6" s="1317" t="s">
        <v>2196</v>
      </c>
    </row>
    <row r="7" spans="1:6">
      <c r="B7" s="1317" t="s">
        <v>2197</v>
      </c>
    </row>
    <row r="8" spans="1:6">
      <c r="B8" s="1251"/>
    </row>
    <row r="9" spans="1:6" ht="23.5">
      <c r="B9" s="2" t="s">
        <v>370</v>
      </c>
    </row>
    <row r="10" spans="1:6">
      <c r="F10" s="1251"/>
    </row>
    <row r="11" spans="1:6" ht="20">
      <c r="B11" s="216" t="s">
        <v>2198</v>
      </c>
    </row>
    <row r="13" spans="1:6" ht="14.5" hidden="1" outlineLevel="1" thickBot="1">
      <c r="B13" s="1251" t="s">
        <v>1804</v>
      </c>
    </row>
    <row r="14" spans="1:6" ht="28" hidden="1" outlineLevel="1">
      <c r="B14" s="456"/>
      <c r="C14" s="404" t="s">
        <v>685</v>
      </c>
      <c r="D14" s="404" t="s">
        <v>2199</v>
      </c>
      <c r="E14" s="405" t="s">
        <v>2200</v>
      </c>
    </row>
    <row r="15" spans="1:6" hidden="1" outlineLevel="1">
      <c r="B15" s="562" t="s">
        <v>2201</v>
      </c>
      <c r="C15" s="1341">
        <v>6297243</v>
      </c>
      <c r="D15" s="642">
        <f>C15*100</f>
        <v>629724300</v>
      </c>
      <c r="E15" s="655" t="s">
        <v>2202</v>
      </c>
      <c r="F15" s="24"/>
    </row>
    <row r="16" spans="1:6" ht="14.5" hidden="1" outlineLevel="1" thickBot="1">
      <c r="B16" s="565" t="s">
        <v>2203</v>
      </c>
      <c r="C16" s="820">
        <v>50396</v>
      </c>
      <c r="D16" s="1330"/>
      <c r="E16" s="821" t="s">
        <v>2204</v>
      </c>
      <c r="F16" s="24"/>
    </row>
    <row r="17" spans="3:6" hidden="1" outlineLevel="1">
      <c r="C17" s="24"/>
      <c r="D17" s="24"/>
      <c r="E17" s="24"/>
      <c r="F17" s="24"/>
    </row>
    <row r="18" spans="3:6" hidden="1" outlineLevel="1">
      <c r="C18" s="819" t="s">
        <v>2205</v>
      </c>
      <c r="D18" s="24"/>
      <c r="E18" s="24"/>
      <c r="F18" s="24"/>
    </row>
    <row r="19" spans="3:6" hidden="1" outlineLevel="1"/>
    <row r="20" spans="3:6" hidden="1" outlineLevel="1"/>
    <row r="21" spans="3:6" hidden="1" outlineLevel="1"/>
    <row r="22" spans="3:6" hidden="1" outlineLevel="1"/>
    <row r="23" spans="3:6" hidden="1" outlineLevel="1"/>
    <row r="24" spans="3:6" hidden="1" outlineLevel="1"/>
    <row r="25" spans="3:6" hidden="1" outlineLevel="1"/>
    <row r="26" spans="3:6" hidden="1" outlineLevel="1"/>
    <row r="27" spans="3:6" hidden="1" outlineLevel="1"/>
    <row r="28" spans="3:6" hidden="1" outlineLevel="1"/>
    <row r="29" spans="3:6" hidden="1" outlineLevel="1"/>
    <row r="30" spans="3:6" hidden="1" outlineLevel="1"/>
    <row r="31" spans="3:6" hidden="1" outlineLevel="1"/>
    <row r="32" spans="3:6" hidden="1" outlineLevel="1"/>
    <row r="33" spans="2:5" hidden="1" outlineLevel="1"/>
    <row r="34" spans="2:5" hidden="1" outlineLevel="1"/>
    <row r="35" spans="2:5" hidden="1" outlineLevel="1"/>
    <row r="36" spans="2:5" collapsed="1"/>
    <row r="37" spans="2:5" ht="20">
      <c r="B37" s="216" t="s">
        <v>2206</v>
      </c>
      <c r="D37" s="23"/>
    </row>
    <row r="39" spans="2:5" ht="14.5" hidden="1" outlineLevel="1" thickBot="1">
      <c r="B39" s="1251" t="s">
        <v>1804</v>
      </c>
      <c r="D39" s="23"/>
    </row>
    <row r="40" spans="2:5" ht="28.5" hidden="1" outlineLevel="1" thickBot="1">
      <c r="B40" s="824"/>
      <c r="C40" s="825"/>
      <c r="D40" s="825" t="s">
        <v>685</v>
      </c>
      <c r="E40" s="826" t="s">
        <v>2200</v>
      </c>
    </row>
    <row r="41" spans="2:5" hidden="1" outlineLevel="1">
      <c r="B41" s="1583" t="s">
        <v>2207</v>
      </c>
      <c r="C41" s="829" t="s">
        <v>2208</v>
      </c>
      <c r="D41" s="783">
        <v>190441</v>
      </c>
      <c r="E41" s="770"/>
    </row>
    <row r="42" spans="2:5" hidden="1" outlineLevel="1">
      <c r="B42" s="1584"/>
      <c r="C42" s="822" t="s">
        <v>2209</v>
      </c>
      <c r="D42" s="11">
        <v>8779633</v>
      </c>
      <c r="E42" s="17"/>
    </row>
    <row r="43" spans="2:5" ht="14" hidden="1" customHeight="1" outlineLevel="1">
      <c r="B43" s="1584" t="s">
        <v>2210</v>
      </c>
      <c r="C43" s="822" t="s">
        <v>2211</v>
      </c>
      <c r="D43" s="190">
        <v>25147.229423144548</v>
      </c>
      <c r="E43" s="17"/>
    </row>
    <row r="44" spans="2:5" ht="14.5" hidden="1" outlineLevel="1" thickBot="1">
      <c r="B44" s="1585"/>
      <c r="C44" s="823" t="s">
        <v>2212</v>
      </c>
      <c r="D44" s="722">
        <v>1314869.8963024258</v>
      </c>
      <c r="E44" s="38"/>
    </row>
    <row r="45" spans="2:5" hidden="1" outlineLevel="1">
      <c r="B45" s="1586" t="s">
        <v>2213</v>
      </c>
      <c r="C45" s="827" t="s">
        <v>2214</v>
      </c>
      <c r="D45" s="805">
        <f>133505+D49</f>
        <v>564590</v>
      </c>
      <c r="E45" s="828"/>
    </row>
    <row r="46" spans="2:5" hidden="1" outlineLevel="1">
      <c r="B46" s="1586"/>
      <c r="C46" s="822" t="s">
        <v>2215</v>
      </c>
      <c r="D46" s="11">
        <v>36884300</v>
      </c>
      <c r="E46" s="17"/>
    </row>
    <row r="47" spans="2:5" hidden="1" outlineLevel="1">
      <c r="B47" s="1586"/>
      <c r="C47" s="822" t="s">
        <v>2216</v>
      </c>
      <c r="D47" s="11">
        <f>636353350+10*D49</f>
        <v>640664200</v>
      </c>
      <c r="E47" s="100" t="s">
        <v>2217</v>
      </c>
    </row>
    <row r="48" spans="2:5" hidden="1" outlineLevel="1">
      <c r="B48" s="1586"/>
      <c r="C48" s="822" t="s">
        <v>2218</v>
      </c>
      <c r="D48" s="11">
        <f>681535080+10*D49</f>
        <v>685845930</v>
      </c>
      <c r="E48" s="100" t="s">
        <v>2219</v>
      </c>
    </row>
    <row r="49" spans="2:15" ht="14.5" hidden="1" outlineLevel="1" thickBot="1">
      <c r="B49" s="1587"/>
      <c r="C49" s="823" t="s">
        <v>2220</v>
      </c>
      <c r="D49" s="82">
        <v>431085</v>
      </c>
      <c r="E49" s="114" t="s">
        <v>2221</v>
      </c>
    </row>
    <row r="50" spans="2:15" hidden="1" outlineLevel="1"/>
    <row r="51" spans="2:15" hidden="1" outlineLevel="1">
      <c r="C51" s="76"/>
    </row>
    <row r="52" spans="2:15" hidden="1" outlineLevel="1">
      <c r="C52" s="76"/>
    </row>
    <row r="53" spans="2:15" hidden="1" outlineLevel="1">
      <c r="C53" s="76"/>
    </row>
    <row r="54" spans="2:15" hidden="1" outlineLevel="1">
      <c r="C54" s="76"/>
    </row>
    <row r="55" spans="2:15" hidden="1" outlineLevel="1">
      <c r="C55" s="76"/>
    </row>
    <row r="56" spans="2:15" collapsed="1">
      <c r="C56" s="76"/>
    </row>
    <row r="57" spans="2:15" ht="23.5">
      <c r="B57" s="2" t="s">
        <v>2222</v>
      </c>
      <c r="C57" s="76"/>
      <c r="O57" s="1"/>
    </row>
    <row r="59" spans="2:15" hidden="1" outlineLevel="1">
      <c r="B59" s="1251" t="s">
        <v>2223</v>
      </c>
    </row>
    <row r="60" spans="2:15" hidden="1" outlineLevel="1">
      <c r="B60" s="101" t="s">
        <v>2224</v>
      </c>
      <c r="C60" s="1251"/>
      <c r="E60" s="23"/>
      <c r="L60" s="234"/>
    </row>
    <row r="61" spans="2:15" hidden="1" outlineLevel="1">
      <c r="B61" s="87" t="s">
        <v>2225</v>
      </c>
    </row>
    <row r="62" spans="2:15" hidden="1" outlineLevel="1">
      <c r="B62" s="815"/>
      <c r="C62" s="1251"/>
    </row>
    <row r="63" spans="2:15" collapsed="1"/>
    <row r="64" spans="2:15" ht="23.5">
      <c r="B64" s="2" t="s">
        <v>2226</v>
      </c>
    </row>
    <row r="66" spans="2:12" hidden="1" outlineLevel="1">
      <c r="B66" s="1251" t="s">
        <v>2223</v>
      </c>
    </row>
    <row r="67" spans="2:12" hidden="1" outlineLevel="1">
      <c r="B67" s="87" t="s">
        <v>2227</v>
      </c>
      <c r="C67" s="1251"/>
      <c r="E67" s="23"/>
      <c r="L67" s="234"/>
    </row>
    <row r="68" spans="2:12" hidden="1" outlineLevel="1">
      <c r="B68" s="815"/>
      <c r="C68" s="1251"/>
    </row>
    <row r="69" spans="2:12" collapsed="1"/>
  </sheetData>
  <mergeCells count="4">
    <mergeCell ref="B41:B42"/>
    <mergeCell ref="B43:B44"/>
    <mergeCell ref="B45:B49"/>
    <mergeCell ref="A1:XFD2"/>
  </mergeCells>
  <conditionalFormatting sqref="A1:XFD2">
    <cfRule type="containsBlanks" dxfId="16" priority="1">
      <formula>LEN(TRIM(A1))=0</formula>
    </cfRule>
  </conditionalFormatting>
  <hyperlinks>
    <hyperlink ref="E16" r:id="rId1" xr:uid="{E6EA8641-2FF9-43DE-B8ED-E2B476A13E6A}"/>
    <hyperlink ref="E15" r:id="rId2" xr:uid="{82A25B39-39FD-4D5C-88CA-FF13B437227B}"/>
    <hyperlink ref="C18" r:id="rId3" xr:uid="{14D3CA19-0283-48BD-A956-8EF0154595A5}"/>
    <hyperlink ref="B61" r:id="rId4" display="https://www.novonordisk.com/content/dam/nncorp/global/en/sustainable-business/pdfs/esg-portal/lca/product-carbon-footprint-novopen4.pdf" xr:uid="{44E2AD35-F1B7-4BF9-BEC9-70168E5EAA07}"/>
    <hyperlink ref="E47" r:id="rId5" display="https://www.vidal.fr/parapharmacie/accu-chek-softclix-lancette-56909.html" xr:uid="{0D359B08-69A2-4C0E-A68F-B6C593B99436}"/>
    <hyperlink ref="E48" r:id="rId6" display="https://www.vidal.fr/parapharmacie/accu-chek-performa-bdlette-82753.html" xr:uid="{EF9B146C-B6E0-496B-9ACE-76A36878B5BE}"/>
    <hyperlink ref="E49" r:id="rId7" display="https://www.vidal.fr/parapharmacie/accu-chek-guide-lecteur-glycemie-mg-dl-194700.html" xr:uid="{805DB15E-2D29-497D-9DB8-8B6179592714}"/>
    <hyperlink ref="B67" r:id="rId8" xr:uid="{EBE5A6F6-DCB5-4CC6-969F-3F9A5E7FA47B}"/>
    <hyperlink ref="B60" r:id="rId9" display="https://ondrugdelivery.com/wp-content/uploads/2024/05/Sustainability-ONdD-AprMay-2024-Issue-159-MedRes-1.pdf" xr:uid="{4463736E-CB4A-4DAA-A912-0DE53D375C35}"/>
  </hyperlinks>
  <pageMargins left="0.7" right="0.7" top="0.75" bottom="0.75" header="0.3" footer="0.3"/>
  <pageSetup paperSize="9" orientation="portrait" r:id="rId10"/>
  <drawing r:id="rId1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582B53-6AAB-4953-9FBF-CD0E0B2CEC33}">
  <sheetPr>
    <tabColor theme="9"/>
  </sheetPr>
  <dimension ref="A1:O246"/>
  <sheetViews>
    <sheetView zoomScale="60" zoomScaleNormal="60" workbookViewId="0">
      <selection sqref="A1:XFD2"/>
    </sheetView>
  </sheetViews>
  <sheetFormatPr baseColWidth="10" defaultColWidth="10.6640625" defaultRowHeight="14" outlineLevelRow="1"/>
  <cols>
    <col min="2" max="2" width="65.33203125" customWidth="1"/>
    <col min="3" max="3" width="13.83203125" bestFit="1" customWidth="1"/>
    <col min="4" max="4" width="12" customWidth="1"/>
  </cols>
  <sheetData>
    <row r="1" spans="1:15" s="1505" customFormat="1">
      <c r="A1" s="1505" t="s">
        <v>32</v>
      </c>
    </row>
    <row r="2" spans="1:15" s="1505" customFormat="1"/>
    <row r="5" spans="1:15">
      <c r="B5" s="1251" t="s">
        <v>33</v>
      </c>
    </row>
    <row r="6" spans="1:15">
      <c r="B6" s="1251" t="s">
        <v>2228</v>
      </c>
    </row>
    <row r="8" spans="1:15" ht="23.5">
      <c r="B8" s="2" t="s">
        <v>2229</v>
      </c>
    </row>
    <row r="10" spans="1:15" ht="14.5" hidden="1" outlineLevel="1">
      <c r="B10" t="s">
        <v>2230</v>
      </c>
      <c r="F10" s="169"/>
      <c r="G10" s="158" t="s">
        <v>2231</v>
      </c>
      <c r="H10" s="155" t="s">
        <v>2231</v>
      </c>
      <c r="I10" s="155" t="s">
        <v>2232</v>
      </c>
      <c r="J10" s="155" t="s">
        <v>2233</v>
      </c>
      <c r="K10" s="156" t="s">
        <v>2233</v>
      </c>
    </row>
    <row r="11" spans="1:15" ht="14.5" hidden="1" outlineLevel="1">
      <c r="B11" s="713"/>
      <c r="C11" s="713"/>
      <c r="E11" s="1149">
        <v>8</v>
      </c>
      <c r="F11" s="110" t="s">
        <v>2234</v>
      </c>
      <c r="G11" s="94">
        <v>6.0999999999999999E-2</v>
      </c>
      <c r="H11" s="171">
        <v>0.22700000000000001</v>
      </c>
      <c r="I11" s="171"/>
      <c r="J11" s="171">
        <v>0.38</v>
      </c>
      <c r="K11" s="547">
        <v>0.45</v>
      </c>
      <c r="O11" s="999"/>
    </row>
    <row r="12" spans="1:15" ht="14.5" hidden="1" outlineLevel="1">
      <c r="B12" s="713"/>
      <c r="C12" s="713"/>
      <c r="E12" s="1149">
        <v>7</v>
      </c>
      <c r="F12" s="110" t="s">
        <v>2235</v>
      </c>
      <c r="G12" s="171">
        <v>0.29099999999999998</v>
      </c>
      <c r="H12" s="171">
        <v>0.34300000000000003</v>
      </c>
      <c r="I12" s="171"/>
      <c r="J12" s="171">
        <v>0.92600000000000005</v>
      </c>
      <c r="K12" s="547"/>
    </row>
    <row r="13" spans="1:15" ht="14.5" hidden="1" outlineLevel="1">
      <c r="B13" s="713"/>
      <c r="C13" s="713"/>
      <c r="E13" s="1149">
        <v>6</v>
      </c>
      <c r="F13" s="110" t="s">
        <v>2236</v>
      </c>
      <c r="G13" s="171"/>
      <c r="H13" s="171"/>
      <c r="I13" s="171">
        <v>0.39400000000000002</v>
      </c>
      <c r="J13" s="171">
        <v>1.1859999999999999</v>
      </c>
      <c r="K13" s="547"/>
    </row>
    <row r="14" spans="1:15" ht="14.5" hidden="1" outlineLevel="1">
      <c r="B14" s="713"/>
      <c r="C14" s="713"/>
      <c r="E14" s="1149">
        <v>5</v>
      </c>
      <c r="F14" s="110" t="s">
        <v>2237</v>
      </c>
      <c r="G14" s="171">
        <v>7.0000000000000007E-2</v>
      </c>
      <c r="H14" s="171">
        <v>0.23400000000000001</v>
      </c>
      <c r="I14" s="171"/>
      <c r="J14" s="171">
        <v>1.399</v>
      </c>
      <c r="K14" s="547">
        <v>1.45</v>
      </c>
    </row>
    <row r="15" spans="1:15" ht="14.5" hidden="1" outlineLevel="1">
      <c r="B15" s="713"/>
      <c r="C15" s="713"/>
      <c r="E15" s="1149">
        <v>4</v>
      </c>
      <c r="F15" s="110" t="s">
        <v>2238</v>
      </c>
      <c r="G15" s="171">
        <v>0.90100000000000002</v>
      </c>
      <c r="H15" s="171"/>
      <c r="I15" s="171"/>
      <c r="J15" s="171">
        <v>1.7929999999999999</v>
      </c>
      <c r="K15" s="547"/>
    </row>
    <row r="16" spans="1:15" ht="14.5" hidden="1" outlineLevel="1">
      <c r="B16" s="713"/>
      <c r="C16" s="713"/>
      <c r="E16" s="1149">
        <v>3</v>
      </c>
      <c r="F16" s="110" t="s">
        <v>2239</v>
      </c>
      <c r="G16" s="21"/>
      <c r="H16" s="171"/>
      <c r="I16" s="171">
        <v>0.45200000000000001</v>
      </c>
      <c r="J16" s="171">
        <v>2.637</v>
      </c>
      <c r="K16" s="547"/>
    </row>
    <row r="17" spans="2:12" ht="14.5" hidden="1" outlineLevel="1">
      <c r="B17" s="713"/>
      <c r="C17" s="713"/>
      <c r="E17" s="1149">
        <v>2</v>
      </c>
      <c r="F17" s="110" t="s">
        <v>2240</v>
      </c>
      <c r="G17" s="171">
        <v>3.0259999999999998</v>
      </c>
      <c r="H17" s="171"/>
      <c r="I17" s="171"/>
      <c r="J17" s="171">
        <v>1.651</v>
      </c>
      <c r="K17" s="547"/>
    </row>
    <row r="18" spans="2:12" ht="15" hidden="1" outlineLevel="1" thickBot="1">
      <c r="B18" s="713"/>
      <c r="C18" s="713"/>
      <c r="E18" s="1149">
        <v>1</v>
      </c>
      <c r="F18" s="111" t="s">
        <v>2241</v>
      </c>
      <c r="G18" s="172"/>
      <c r="H18" s="172"/>
      <c r="I18" s="172">
        <v>0.95199999999999996</v>
      </c>
      <c r="J18" s="172">
        <v>3.57</v>
      </c>
      <c r="K18" s="709"/>
    </row>
    <row r="19" spans="2:12" hidden="1" outlineLevel="1">
      <c r="B19" s="713"/>
      <c r="C19" s="713"/>
      <c r="G19" s="713"/>
      <c r="H19" s="579"/>
      <c r="I19" s="579"/>
      <c r="J19" s="579"/>
      <c r="K19" s="579"/>
      <c r="L19" s="579"/>
    </row>
    <row r="20" spans="2:12" hidden="1" outlineLevel="1">
      <c r="B20" s="713"/>
      <c r="C20" s="713"/>
      <c r="G20" s="713"/>
    </row>
    <row r="21" spans="2:12" hidden="1" outlineLevel="1">
      <c r="B21" s="713"/>
      <c r="C21" s="713"/>
      <c r="G21" s="713"/>
    </row>
    <row r="22" spans="2:12" hidden="1" outlineLevel="1">
      <c r="B22" s="713"/>
      <c r="C22" s="713"/>
      <c r="G22" s="713"/>
    </row>
    <row r="23" spans="2:12" hidden="1" outlineLevel="1">
      <c r="B23" s="713"/>
      <c r="C23" s="713"/>
    </row>
    <row r="24" spans="2:12" hidden="1" outlineLevel="1">
      <c r="B24" s="713"/>
      <c r="C24" s="713"/>
      <c r="G24" s="713"/>
    </row>
    <row r="25" spans="2:12" hidden="1" outlineLevel="1">
      <c r="B25" s="713"/>
      <c r="C25" s="713"/>
    </row>
    <row r="26" spans="2:12" hidden="1" outlineLevel="1">
      <c r="B26" s="713"/>
      <c r="C26" s="713"/>
      <c r="G26" s="713"/>
    </row>
    <row r="27" spans="2:12" hidden="1" outlineLevel="1">
      <c r="B27" s="713"/>
      <c r="C27" s="713"/>
    </row>
    <row r="28" spans="2:12" hidden="1" outlineLevel="1">
      <c r="C28" s="713"/>
    </row>
    <row r="29" spans="2:12" hidden="1" outlineLevel="1"/>
    <row r="30" spans="2:12" hidden="1" outlineLevel="1"/>
    <row r="31" spans="2:12" hidden="1" outlineLevel="1"/>
    <row r="32" spans="2:12" hidden="1" outlineLevel="1"/>
    <row r="33" hidden="1" outlineLevel="1"/>
    <row r="34" hidden="1" outlineLevel="1"/>
    <row r="35" hidden="1" outlineLevel="1"/>
    <row r="36" hidden="1" outlineLevel="1"/>
    <row r="37" hidden="1" outlineLevel="1"/>
    <row r="38" hidden="1" outlineLevel="1"/>
    <row r="39" hidden="1" outlineLevel="1"/>
    <row r="40" hidden="1" outlineLevel="1"/>
    <row r="41" hidden="1" outlineLevel="1"/>
    <row r="42" hidden="1" outlineLevel="1"/>
    <row r="43" hidden="1" outlineLevel="1"/>
    <row r="44" hidden="1" outlineLevel="1"/>
    <row r="45" hidden="1" outlineLevel="1"/>
    <row r="46" hidden="1" outlineLevel="1"/>
    <row r="47" hidden="1" outlineLevel="1"/>
    <row r="48" hidden="1" outlineLevel="1"/>
    <row r="49" spans="2:4" hidden="1" outlineLevel="1"/>
    <row r="50" spans="2:4" collapsed="1"/>
    <row r="51" spans="2:4" ht="23.5">
      <c r="B51" s="2" t="s">
        <v>2242</v>
      </c>
    </row>
    <row r="53" spans="2:4" ht="14.5" hidden="1" outlineLevel="1" thickBot="1">
      <c r="B53" s="1251" t="s">
        <v>2243</v>
      </c>
    </row>
    <row r="54" spans="2:4" ht="29" hidden="1" outlineLevel="1">
      <c r="B54" s="169"/>
      <c r="C54" s="158" t="s">
        <v>73</v>
      </c>
      <c r="D54" s="159" t="s">
        <v>301</v>
      </c>
    </row>
    <row r="55" spans="2:4" ht="14.5" hidden="1" outlineLevel="1">
      <c r="B55" s="10" t="s">
        <v>362</v>
      </c>
      <c r="C55" s="94">
        <v>20.9</v>
      </c>
      <c r="D55" s="1283" t="s">
        <v>2244</v>
      </c>
    </row>
    <row r="56" spans="2:4" ht="15" hidden="1" outlineLevel="1" thickBot="1">
      <c r="B56" s="13" t="s">
        <v>2245</v>
      </c>
      <c r="C56" s="92">
        <v>35.466666666666669</v>
      </c>
      <c r="D56" s="1285" t="s">
        <v>2244</v>
      </c>
    </row>
    <row r="57" spans="2:4" hidden="1" outlineLevel="1">
      <c r="B57" s="1251"/>
    </row>
    <row r="58" spans="2:4" collapsed="1">
      <c r="B58" s="1251"/>
    </row>
    <row r="59" spans="2:4" ht="23.5">
      <c r="B59" s="2" t="s">
        <v>2246</v>
      </c>
    </row>
    <row r="61" spans="2:4" ht="18">
      <c r="B61" s="258" t="s">
        <v>2247</v>
      </c>
    </row>
    <row r="63" spans="2:4" hidden="1" outlineLevel="1"/>
    <row r="64" spans="2:4" hidden="1" outlineLevel="1"/>
    <row r="65" spans="2:3" hidden="1" outlineLevel="1"/>
    <row r="66" spans="2:3" hidden="1" outlineLevel="1"/>
    <row r="67" spans="2:3" hidden="1" outlineLevel="1"/>
    <row r="68" spans="2:3" hidden="1" outlineLevel="1"/>
    <row r="69" spans="2:3" hidden="1" outlineLevel="1"/>
    <row r="70" spans="2:3" hidden="1" outlineLevel="1"/>
    <row r="71" spans="2:3" hidden="1" outlineLevel="1"/>
    <row r="72" spans="2:3" hidden="1" outlineLevel="1">
      <c r="B72" s="272"/>
      <c r="C72" s="274"/>
    </row>
    <row r="73" spans="2:3" hidden="1" outlineLevel="1">
      <c r="B73" s="272"/>
      <c r="C73" s="274"/>
    </row>
    <row r="74" spans="2:3" hidden="1" outlineLevel="1">
      <c r="B74" s="295"/>
      <c r="C74" s="274"/>
    </row>
    <row r="75" spans="2:3" hidden="1" outlineLevel="1">
      <c r="B75" s="295"/>
      <c r="C75" s="274"/>
    </row>
    <row r="76" spans="2:3" hidden="1" outlineLevel="1">
      <c r="B76" s="295"/>
      <c r="C76" s="274"/>
    </row>
    <row r="77" spans="2:3" hidden="1" outlineLevel="1">
      <c r="B77" s="1342"/>
      <c r="C77" s="76"/>
    </row>
    <row r="78" spans="2:3" hidden="1" outlineLevel="1">
      <c r="B78" s="1342"/>
      <c r="C78" s="76"/>
    </row>
    <row r="79" spans="2:3" hidden="1" outlineLevel="1">
      <c r="B79" s="1343" t="s">
        <v>2248</v>
      </c>
      <c r="C79" s="76"/>
    </row>
    <row r="80" spans="2:3" ht="14.5" hidden="1" outlineLevel="1" thickBot="1">
      <c r="B80" s="1251"/>
      <c r="C80" s="23"/>
    </row>
    <row r="81" spans="2:4" ht="15" hidden="1" outlineLevel="1" thickBot="1">
      <c r="B81" s="20" t="s">
        <v>2249</v>
      </c>
      <c r="C81" s="1141">
        <v>0.3</v>
      </c>
      <c r="D81" s="1305" t="s">
        <v>2250</v>
      </c>
    </row>
    <row r="82" spans="2:4" ht="14.5" hidden="1" outlineLevel="1" thickBot="1">
      <c r="B82" s="1251"/>
      <c r="C82" s="76"/>
      <c r="D82" s="1251"/>
    </row>
    <row r="83" spans="2:4" ht="58" hidden="1" outlineLevel="1">
      <c r="B83" s="169"/>
      <c r="C83" s="159" t="s">
        <v>2251</v>
      </c>
    </row>
    <row r="84" spans="2:4" ht="14.5" hidden="1" outlineLevel="1">
      <c r="B84" s="1142" t="s">
        <v>2252</v>
      </c>
      <c r="C84" s="228">
        <f>5.4*C81</f>
        <v>1.62</v>
      </c>
      <c r="D84" s="103"/>
    </row>
    <row r="85" spans="2:4" ht="14.5" hidden="1" outlineLevel="1">
      <c r="B85" s="1142" t="s">
        <v>2253</v>
      </c>
      <c r="C85" s="228">
        <f>0.02*C81</f>
        <v>6.0000000000000001E-3</v>
      </c>
      <c r="D85" s="103"/>
    </row>
    <row r="86" spans="2:4" ht="14.5" hidden="1" outlineLevel="1">
      <c r="B86" s="1142" t="s">
        <v>2254</v>
      </c>
      <c r="C86" s="228">
        <f>0.07*C81</f>
        <v>2.1000000000000001E-2</v>
      </c>
      <c r="D86" s="103"/>
    </row>
    <row r="87" spans="2:4" ht="14.5" hidden="1" outlineLevel="1">
      <c r="B87" s="1142" t="s">
        <v>2255</v>
      </c>
      <c r="C87" s="228">
        <f>6*C81</f>
        <v>1.7999999999999998</v>
      </c>
      <c r="D87" s="103"/>
    </row>
    <row r="88" spans="2:4" ht="14.5" hidden="1" outlineLevel="1">
      <c r="B88" s="10" t="s">
        <v>2256</v>
      </c>
      <c r="C88" s="228">
        <f>SUM(C84:C87)</f>
        <v>3.4470000000000001</v>
      </c>
      <c r="D88" s="1251" t="s">
        <v>2257</v>
      </c>
    </row>
    <row r="89" spans="2:4" ht="14.5" hidden="1" outlineLevel="1">
      <c r="B89" s="10" t="s">
        <v>201</v>
      </c>
      <c r="C89" s="228">
        <f>0.3</f>
        <v>0.3</v>
      </c>
    </row>
    <row r="90" spans="2:4" ht="15" hidden="1" outlineLevel="1" thickBot="1">
      <c r="B90" s="13" t="s">
        <v>89</v>
      </c>
      <c r="C90" s="230">
        <f>0.3</f>
        <v>0.3</v>
      </c>
    </row>
    <row r="91" spans="2:4" hidden="1" outlineLevel="1"/>
    <row r="92" spans="2:4" collapsed="1"/>
    <row r="93" spans="2:4" ht="18">
      <c r="B93" s="258" t="s">
        <v>2258</v>
      </c>
    </row>
    <row r="95" spans="2:4" hidden="1" outlineLevel="1">
      <c r="B95" s="1343" t="s">
        <v>2248</v>
      </c>
    </row>
    <row r="96" spans="2:4" ht="14.5" hidden="1" outlineLevel="1" thickBot="1"/>
    <row r="97" spans="2:5" ht="44" hidden="1" outlineLevel="1" thickBot="1">
      <c r="B97" s="169" t="s">
        <v>2259</v>
      </c>
      <c r="C97" s="300" t="s">
        <v>2260</v>
      </c>
    </row>
    <row r="98" spans="2:5" ht="15.5" hidden="1" outlineLevel="1">
      <c r="B98" s="1142" t="s">
        <v>2261</v>
      </c>
      <c r="C98" s="228"/>
      <c r="D98" s="1144" t="s">
        <v>2262</v>
      </c>
      <c r="E98" s="1000"/>
    </row>
    <row r="99" spans="2:5" ht="15.5" hidden="1" outlineLevel="1">
      <c r="B99" s="1142" t="s">
        <v>2263</v>
      </c>
      <c r="C99" s="1301">
        <v>0.16900000000000001</v>
      </c>
      <c r="D99" s="1344">
        <v>189.25</v>
      </c>
      <c r="E99" s="1000"/>
    </row>
    <row r="100" spans="2:5" ht="16" hidden="1" outlineLevel="1" thickBot="1">
      <c r="B100" s="1142" t="s">
        <v>2264</v>
      </c>
      <c r="C100" s="1143">
        <v>0.64600000000000002</v>
      </c>
      <c r="D100" s="1344">
        <v>18.55</v>
      </c>
      <c r="E100" s="1000"/>
    </row>
    <row r="101" spans="2:5" ht="16" hidden="1" outlineLevel="1" thickBot="1">
      <c r="B101" s="1142" t="s">
        <v>2265</v>
      </c>
      <c r="C101" s="1143">
        <v>1.5900000000000001E-3</v>
      </c>
      <c r="D101" s="1143">
        <v>0.19</v>
      </c>
      <c r="E101" s="1000"/>
    </row>
    <row r="102" spans="2:5" ht="16" hidden="1" outlineLevel="1" thickBot="1">
      <c r="B102" s="1142" t="s">
        <v>2266</v>
      </c>
      <c r="C102" s="1001">
        <v>1.6400000000000001E-2</v>
      </c>
      <c r="D102" s="1000"/>
      <c r="E102" s="1000"/>
    </row>
    <row r="103" spans="2:5" ht="16" hidden="1" outlineLevel="1" thickBot="1">
      <c r="B103" s="1142" t="s">
        <v>2267</v>
      </c>
      <c r="C103" s="1001">
        <v>0.112</v>
      </c>
      <c r="D103" s="1000"/>
      <c r="E103" s="1000"/>
    </row>
    <row r="104" spans="2:5" ht="16" hidden="1" outlineLevel="1" thickBot="1">
      <c r="B104" s="1142" t="s">
        <v>2268</v>
      </c>
      <c r="C104" s="1001">
        <v>2.54</v>
      </c>
      <c r="D104" s="1000"/>
      <c r="E104" s="1000"/>
    </row>
    <row r="105" spans="2:5" ht="16" hidden="1" outlineLevel="1" thickBot="1">
      <c r="B105" s="1142" t="s">
        <v>2269</v>
      </c>
      <c r="C105" s="1001">
        <v>1.17E-4</v>
      </c>
      <c r="D105" s="1000"/>
      <c r="E105" s="1000"/>
    </row>
    <row r="106" spans="2:5" ht="16" hidden="1" outlineLevel="1" thickBot="1">
      <c r="B106" s="1142" t="s">
        <v>2270</v>
      </c>
      <c r="C106" s="1001">
        <v>1.5599999999999999E-2</v>
      </c>
      <c r="D106" s="1000"/>
      <c r="E106" s="1000"/>
    </row>
    <row r="107" spans="2:5" ht="16" hidden="1" outlineLevel="1" thickBot="1">
      <c r="B107" s="1142" t="s">
        <v>2271</v>
      </c>
      <c r="C107" s="1002">
        <v>3.5</v>
      </c>
      <c r="D107" s="1000"/>
      <c r="E107" s="1000"/>
    </row>
    <row r="108" spans="2:5" ht="16" hidden="1" outlineLevel="1" thickBot="1">
      <c r="B108" s="1142"/>
      <c r="C108" s="1003"/>
      <c r="D108" s="1000"/>
      <c r="E108" s="1000"/>
    </row>
    <row r="109" spans="2:5" ht="16" hidden="1" outlineLevel="1" thickBot="1">
      <c r="B109" s="1142" t="s">
        <v>2272</v>
      </c>
      <c r="C109" s="1003"/>
      <c r="D109" s="1000"/>
      <c r="E109" s="1000"/>
    </row>
    <row r="110" spans="2:5" ht="16" hidden="1" outlineLevel="1" thickBot="1">
      <c r="B110" s="1142" t="s">
        <v>2273</v>
      </c>
      <c r="C110" s="1001">
        <v>4.7399999999999998E-2</v>
      </c>
      <c r="D110" s="1000"/>
      <c r="E110" s="1000"/>
    </row>
    <row r="111" spans="2:5" ht="16" hidden="1" outlineLevel="1" thickBot="1">
      <c r="B111" s="1142" t="s">
        <v>2274</v>
      </c>
      <c r="C111" s="1001">
        <v>4.41E-2</v>
      </c>
      <c r="D111" s="1000"/>
      <c r="E111" s="1000"/>
    </row>
    <row r="112" spans="2:5" ht="16" hidden="1" outlineLevel="1" thickBot="1">
      <c r="B112" s="1142" t="s">
        <v>2275</v>
      </c>
      <c r="C112" s="1002">
        <v>9.1499999999999998E-2</v>
      </c>
      <c r="D112" s="1000"/>
      <c r="E112" s="1000"/>
    </row>
    <row r="113" spans="2:5" ht="16" hidden="1" outlineLevel="1" thickBot="1">
      <c r="B113" s="1142"/>
      <c r="C113" s="1003"/>
      <c r="D113" s="1000"/>
      <c r="E113" s="1000"/>
    </row>
    <row r="114" spans="2:5" ht="16" hidden="1" outlineLevel="1" thickBot="1">
      <c r="B114" s="1142" t="s">
        <v>2276</v>
      </c>
      <c r="C114" s="1003"/>
      <c r="D114" s="1000"/>
      <c r="E114" s="1000"/>
    </row>
    <row r="115" spans="2:5" ht="16" hidden="1" outlineLevel="1" thickBot="1">
      <c r="B115" s="1142" t="s">
        <v>2268</v>
      </c>
      <c r="C115" s="1001">
        <v>0.14000000000000001</v>
      </c>
      <c r="D115" s="1000"/>
      <c r="E115" s="1000"/>
    </row>
    <row r="116" spans="2:5" ht="16" hidden="1" outlineLevel="1" thickBot="1">
      <c r="B116" s="1142" t="s">
        <v>2277</v>
      </c>
      <c r="C116" s="1002">
        <v>0.14000000000000001</v>
      </c>
      <c r="D116" s="1000"/>
      <c r="E116" s="1000"/>
    </row>
    <row r="117" spans="2:5" ht="16" hidden="1" outlineLevel="1" thickBot="1">
      <c r="B117" s="1142"/>
      <c r="C117" s="1003"/>
      <c r="D117" s="1000"/>
      <c r="E117" s="1000"/>
    </row>
    <row r="118" spans="2:5" ht="16" hidden="1" outlineLevel="1" thickBot="1">
      <c r="B118" s="1142" t="s">
        <v>2278</v>
      </c>
      <c r="C118" s="1003"/>
      <c r="D118" s="1000"/>
      <c r="E118" s="1000"/>
    </row>
    <row r="119" spans="2:5" ht="16" hidden="1" outlineLevel="1" thickBot="1">
      <c r="B119" s="1142" t="s">
        <v>2274</v>
      </c>
      <c r="C119" s="1001">
        <v>1.89E-3</v>
      </c>
      <c r="D119" s="1000"/>
      <c r="E119" s="1000"/>
    </row>
    <row r="120" spans="2:5" ht="16" hidden="1" outlineLevel="1" thickBot="1">
      <c r="B120" s="1142" t="s">
        <v>2279</v>
      </c>
      <c r="C120" s="1001">
        <v>1.2</v>
      </c>
      <c r="D120" s="1000"/>
      <c r="E120" s="1000"/>
    </row>
    <row r="121" spans="2:5" ht="16" hidden="1" outlineLevel="1" thickBot="1">
      <c r="B121" s="1142" t="s">
        <v>2280</v>
      </c>
      <c r="C121" s="1002">
        <v>1.2</v>
      </c>
      <c r="D121" s="1000"/>
      <c r="E121" s="1000"/>
    </row>
    <row r="122" spans="2:5" ht="16" hidden="1" outlineLevel="1" thickBot="1">
      <c r="B122" s="1142"/>
      <c r="C122" s="1003"/>
      <c r="D122" s="1000"/>
      <c r="E122" s="1000"/>
    </row>
    <row r="123" spans="2:5" ht="16" hidden="1" outlineLevel="1" thickBot="1">
      <c r="B123" s="1145" t="s">
        <v>287</v>
      </c>
      <c r="C123" s="1003">
        <v>4.93</v>
      </c>
      <c r="D123" s="1000"/>
      <c r="E123" s="1000"/>
    </row>
    <row r="124" spans="2:5" hidden="1" outlineLevel="1"/>
    <row r="125" spans="2:5" collapsed="1"/>
    <row r="126" spans="2:5" ht="18">
      <c r="B126" s="258" t="s">
        <v>2281</v>
      </c>
    </row>
    <row r="128" spans="2:5" ht="14.5" hidden="1" outlineLevel="1" thickBot="1">
      <c r="B128" s="1251" t="s">
        <v>2282</v>
      </c>
    </row>
    <row r="129" spans="2:5" ht="43.5" hidden="1" outlineLevel="1">
      <c r="B129" s="169"/>
      <c r="C129" s="158" t="s">
        <v>2283</v>
      </c>
      <c r="D129" s="158" t="s">
        <v>2284</v>
      </c>
      <c r="E129" s="159" t="s">
        <v>2285</v>
      </c>
    </row>
    <row r="130" spans="2:5" ht="14.5" hidden="1" outlineLevel="1">
      <c r="B130" s="10" t="s">
        <v>2286</v>
      </c>
      <c r="C130" s="1005">
        <f>C88*208/300</f>
        <v>2.38992</v>
      </c>
      <c r="D130" s="1005">
        <f>SUM(C99:C102)</f>
        <v>0.83299000000000001</v>
      </c>
      <c r="E130" s="17"/>
    </row>
    <row r="131" spans="2:5" ht="14.5" hidden="1" outlineLevel="1">
      <c r="B131" s="10" t="s">
        <v>2287</v>
      </c>
      <c r="C131" s="1005"/>
      <c r="D131" s="1005">
        <f>C103</f>
        <v>0.112</v>
      </c>
      <c r="E131" s="17"/>
    </row>
    <row r="132" spans="2:5" ht="14.5" hidden="1" outlineLevel="1">
      <c r="B132" s="10" t="s">
        <v>187</v>
      </c>
      <c r="C132" s="1146"/>
      <c r="D132" s="1146">
        <f>C104+C105</f>
        <v>2.540117</v>
      </c>
      <c r="E132" s="17"/>
    </row>
    <row r="133" spans="2:5" ht="14.5" hidden="1" outlineLevel="1">
      <c r="B133" s="10" t="s">
        <v>201</v>
      </c>
      <c r="C133" s="1146">
        <f>C89*208/300</f>
        <v>0.20799999999999999</v>
      </c>
      <c r="D133" s="1146">
        <f>C106</f>
        <v>1.5599999999999999E-2</v>
      </c>
      <c r="E133" s="17"/>
    </row>
    <row r="134" spans="2:5" ht="14.5" hidden="1" outlineLevel="1">
      <c r="B134" s="10" t="s">
        <v>2288</v>
      </c>
      <c r="C134" s="1146"/>
      <c r="D134" s="1146">
        <f>C110+C111</f>
        <v>9.1499999999999998E-2</v>
      </c>
      <c r="E134" s="17"/>
    </row>
    <row r="135" spans="2:5" ht="14.5" hidden="1" outlineLevel="1">
      <c r="B135" s="10" t="s">
        <v>87</v>
      </c>
      <c r="C135" s="1146"/>
      <c r="D135" s="1146">
        <f>C115</f>
        <v>0.14000000000000001</v>
      </c>
      <c r="E135" s="17"/>
    </row>
    <row r="136" spans="2:5" ht="14.5" hidden="1" outlineLevel="1">
      <c r="B136" s="10" t="s">
        <v>89</v>
      </c>
      <c r="C136" s="1146">
        <f>C90*208/300</f>
        <v>0.20799999999999999</v>
      </c>
      <c r="D136" s="1146">
        <f>C120</f>
        <v>1.2</v>
      </c>
      <c r="E136" s="17"/>
    </row>
    <row r="137" spans="2:5" ht="14.5" hidden="1" outlineLevel="1">
      <c r="B137" s="10" t="s">
        <v>2289</v>
      </c>
      <c r="C137" s="1146"/>
      <c r="D137" s="1146"/>
      <c r="E137" s="17">
        <f>208*C55/10^3</f>
        <v>4.3472</v>
      </c>
    </row>
    <row r="138" spans="2:5" ht="14.5" hidden="1" outlineLevel="1">
      <c r="B138" s="10" t="s">
        <v>2290</v>
      </c>
      <c r="C138" s="1146"/>
      <c r="D138" s="1146"/>
      <c r="E138" s="1147">
        <f>208*C56/10^3 -E137</f>
        <v>3.0298666666666678</v>
      </c>
    </row>
    <row r="139" spans="2:5" ht="15" hidden="1" outlineLevel="1" thickBot="1">
      <c r="B139" s="13" t="s">
        <v>83</v>
      </c>
      <c r="C139" s="127">
        <f>SUM(C130:C136)</f>
        <v>2.8059200000000004</v>
      </c>
      <c r="D139" s="127">
        <f>SUM(D130:D136)</f>
        <v>4.932207</v>
      </c>
      <c r="E139" s="38"/>
    </row>
    <row r="140" spans="2:5" hidden="1" outlineLevel="1"/>
    <row r="141" spans="2:5" hidden="1" outlineLevel="1">
      <c r="E141" s="999"/>
    </row>
    <row r="142" spans="2:5" hidden="1" outlineLevel="1"/>
    <row r="143" spans="2:5" hidden="1" outlineLevel="1"/>
    <row r="144" spans="2:5" hidden="1" outlineLevel="1"/>
    <row r="145" spans="2:3" collapsed="1"/>
    <row r="146" spans="2:3" ht="23.5">
      <c r="B146" s="2" t="s">
        <v>2291</v>
      </c>
    </row>
    <row r="148" spans="2:3" ht="18">
      <c r="B148" s="258" t="s">
        <v>2292</v>
      </c>
    </row>
    <row r="150" spans="2:3" hidden="1" outlineLevel="1">
      <c r="B150" s="87" t="s">
        <v>2293</v>
      </c>
    </row>
    <row r="151" spans="2:3" hidden="1" outlineLevel="1"/>
    <row r="152" spans="2:3" hidden="1" outlineLevel="1"/>
    <row r="153" spans="2:3" hidden="1" outlineLevel="1"/>
    <row r="154" spans="2:3" hidden="1" outlineLevel="1"/>
    <row r="155" spans="2:3" hidden="1" outlineLevel="1"/>
    <row r="156" spans="2:3" hidden="1" outlineLevel="1"/>
    <row r="157" spans="2:3" hidden="1" outlineLevel="1"/>
    <row r="158" spans="2:3" hidden="1" outlineLevel="1"/>
    <row r="159" spans="2:3" hidden="1" outlineLevel="1">
      <c r="B159" s="272"/>
      <c r="C159" s="274"/>
    </row>
    <row r="160" spans="2:3" hidden="1" outlineLevel="1">
      <c r="B160" s="272"/>
      <c r="C160" s="274"/>
    </row>
    <row r="161" spans="2:8" hidden="1" outlineLevel="1">
      <c r="B161" s="295"/>
      <c r="C161" s="274"/>
    </row>
    <row r="162" spans="2:8" hidden="1" outlineLevel="1">
      <c r="B162" s="295"/>
      <c r="C162" s="274"/>
    </row>
    <row r="163" spans="2:8" hidden="1" outlineLevel="1">
      <c r="B163" s="295"/>
      <c r="C163" s="274"/>
    </row>
    <row r="164" spans="2:8" hidden="1" outlineLevel="1">
      <c r="B164" s="1342"/>
      <c r="C164" s="76"/>
    </row>
    <row r="165" spans="2:8" hidden="1" outlineLevel="1">
      <c r="B165" s="1342"/>
      <c r="C165" s="76"/>
    </row>
    <row r="166" spans="2:8" hidden="1" outlineLevel="1">
      <c r="B166" s="1343" t="s">
        <v>2248</v>
      </c>
      <c r="C166" s="76"/>
    </row>
    <row r="167" spans="2:8" ht="14.5" hidden="1" outlineLevel="1" thickBot="1">
      <c r="B167" s="1251"/>
      <c r="C167" s="23"/>
    </row>
    <row r="168" spans="2:8" ht="15" hidden="1" outlineLevel="1" thickBot="1">
      <c r="B168" s="20" t="s">
        <v>2294</v>
      </c>
      <c r="C168" s="1141">
        <v>0.15160000000000001</v>
      </c>
      <c r="D168" s="1305" t="s">
        <v>2250</v>
      </c>
    </row>
    <row r="169" spans="2:8" ht="14.5" hidden="1" outlineLevel="1" thickBot="1">
      <c r="B169" s="1251"/>
      <c r="C169" s="76"/>
      <c r="D169" s="1251"/>
    </row>
    <row r="170" spans="2:8" ht="58" hidden="1" outlineLevel="1">
      <c r="B170" s="169"/>
      <c r="C170" s="159" t="s">
        <v>2251</v>
      </c>
    </row>
    <row r="171" spans="2:8" ht="14.5" hidden="1" outlineLevel="1">
      <c r="B171" s="10" t="s">
        <v>2295</v>
      </c>
      <c r="C171" s="1148">
        <f>1.6</f>
        <v>1.6</v>
      </c>
      <c r="D171" s="1251" t="s">
        <v>2257</v>
      </c>
      <c r="H171" s="1251"/>
    </row>
    <row r="172" spans="2:8" ht="15" hidden="1" outlineLevel="1" thickBot="1">
      <c r="B172" s="13" t="s">
        <v>2296</v>
      </c>
      <c r="C172" s="145">
        <f>2.9</f>
        <v>2.9</v>
      </c>
      <c r="G172" s="1251"/>
    </row>
    <row r="173" spans="2:8" hidden="1" outlineLevel="1">
      <c r="B173" s="1251" t="s">
        <v>2297</v>
      </c>
    </row>
    <row r="174" spans="2:8" hidden="1" outlineLevel="1"/>
    <row r="175" spans="2:8" collapsed="1"/>
    <row r="176" spans="2:8" ht="18">
      <c r="B176" s="258" t="s">
        <v>2298</v>
      </c>
    </row>
    <row r="178" spans="2:10" hidden="1" outlineLevel="1">
      <c r="B178" s="87" t="s">
        <v>2299</v>
      </c>
    </row>
    <row r="179" spans="2:10" hidden="1" outlineLevel="1"/>
    <row r="180" spans="2:10" hidden="1" outlineLevel="1"/>
    <row r="181" spans="2:10" hidden="1" outlineLevel="1"/>
    <row r="182" spans="2:10" hidden="1" outlineLevel="1"/>
    <row r="183" spans="2:10" hidden="1" outlineLevel="1"/>
    <row r="184" spans="2:10" hidden="1" outlineLevel="1"/>
    <row r="185" spans="2:10" hidden="1" outlineLevel="1"/>
    <row r="186" spans="2:10" hidden="1" outlineLevel="1"/>
    <row r="187" spans="2:10" hidden="1" outlineLevel="1"/>
    <row r="188" spans="2:10" hidden="1" outlineLevel="1"/>
    <row r="189" spans="2:10" hidden="1" outlineLevel="1"/>
    <row r="190" spans="2:10" hidden="1" outlineLevel="1"/>
    <row r="191" spans="2:10" hidden="1" outlineLevel="1"/>
    <row r="192" spans="2:10" hidden="1" outlineLevel="1">
      <c r="B192" t="s">
        <v>2300</v>
      </c>
      <c r="H192" s="1251"/>
      <c r="I192" s="143"/>
      <c r="J192" s="143"/>
    </row>
    <row r="193" spans="2:9" hidden="1" outlineLevel="1"/>
    <row r="194" spans="2:9" ht="14.5" hidden="1" outlineLevel="1" thickBot="1">
      <c r="B194" s="1343" t="s">
        <v>2248</v>
      </c>
      <c r="I194" s="74"/>
    </row>
    <row r="195" spans="2:9" ht="58" hidden="1" outlineLevel="1">
      <c r="B195" s="169"/>
      <c r="C195" s="159" t="s">
        <v>2251</v>
      </c>
      <c r="I195" s="74"/>
    </row>
    <row r="196" spans="2:9" ht="14.5" hidden="1" outlineLevel="1">
      <c r="B196" s="10" t="s">
        <v>2301</v>
      </c>
      <c r="C196" s="1148">
        <f>7800/2000</f>
        <v>3.9</v>
      </c>
      <c r="D196" t="s">
        <v>2302</v>
      </c>
    </row>
    <row r="197" spans="2:9" ht="15" hidden="1" outlineLevel="1" thickBot="1">
      <c r="B197" s="13" t="s">
        <v>2231</v>
      </c>
      <c r="C197" s="145">
        <f>5800/2000</f>
        <v>2.9</v>
      </c>
    </row>
    <row r="198" spans="2:9" hidden="1" outlineLevel="1"/>
    <row r="199" spans="2:9" collapsed="1"/>
    <row r="200" spans="2:9" ht="18">
      <c r="B200" s="258" t="s">
        <v>2281</v>
      </c>
    </row>
    <row r="202" spans="2:9" ht="14.5" hidden="1" outlineLevel="1" thickBot="1">
      <c r="B202" s="1251" t="s">
        <v>300</v>
      </c>
    </row>
    <row r="203" spans="2:9" ht="14.5" hidden="1" outlineLevel="1">
      <c r="B203" s="169"/>
      <c r="C203" s="158" t="s">
        <v>2233</v>
      </c>
      <c r="D203" s="158" t="s">
        <v>2231</v>
      </c>
      <c r="E203" s="158"/>
      <c r="F203" s="159"/>
    </row>
    <row r="204" spans="2:9" ht="14.5" hidden="1" outlineLevel="1">
      <c r="B204" s="10" t="s">
        <v>2303</v>
      </c>
      <c r="C204" s="247">
        <f>C171</f>
        <v>1.6</v>
      </c>
      <c r="D204" s="247">
        <f>C172</f>
        <v>2.9</v>
      </c>
      <c r="E204" s="247"/>
      <c r="F204" s="703"/>
    </row>
    <row r="205" spans="2:9" ht="14.5" hidden="1" outlineLevel="1">
      <c r="B205" s="10" t="s">
        <v>2304</v>
      </c>
      <c r="C205" s="247">
        <f>C196</f>
        <v>3.9</v>
      </c>
      <c r="D205" s="247">
        <f>C197</f>
        <v>2.9</v>
      </c>
      <c r="E205" s="247"/>
      <c r="F205" s="703"/>
    </row>
    <row r="206" spans="2:9" ht="15" hidden="1" outlineLevel="1" thickBot="1">
      <c r="B206" s="13" t="s">
        <v>2285</v>
      </c>
      <c r="C206" s="127"/>
      <c r="D206" s="127"/>
      <c r="E206" s="127">
        <f>C168*C55</f>
        <v>3.1684399999999999</v>
      </c>
      <c r="F206" s="705">
        <f>C168*C56-E206</f>
        <v>2.2083066666666675</v>
      </c>
    </row>
    <row r="207" spans="2:9" hidden="1" outlineLevel="1"/>
    <row r="208" spans="2:9" hidden="1" outlineLevel="1"/>
    <row r="209" hidden="1" outlineLevel="1"/>
    <row r="210" hidden="1" outlineLevel="1"/>
    <row r="211" hidden="1" outlineLevel="1"/>
    <row r="212" hidden="1" outlineLevel="1"/>
    <row r="213" hidden="1" outlineLevel="1"/>
    <row r="214" hidden="1" outlineLevel="1"/>
    <row r="215" hidden="1" outlineLevel="1"/>
    <row r="216" hidden="1" outlineLevel="1"/>
    <row r="217" hidden="1" outlineLevel="1"/>
    <row r="218" hidden="1" outlineLevel="1"/>
    <row r="219" hidden="1" outlineLevel="1"/>
    <row r="220" hidden="1" outlineLevel="1"/>
    <row r="221" hidden="1" outlineLevel="1"/>
    <row r="222" hidden="1" outlineLevel="1"/>
    <row r="223" hidden="1" outlineLevel="1"/>
    <row r="224" hidden="1" outlineLevel="1"/>
    <row r="225" spans="2:8" hidden="1" outlineLevel="1">
      <c r="B225" t="s">
        <v>2305</v>
      </c>
    </row>
    <row r="226" spans="2:8" hidden="1" outlineLevel="1">
      <c r="B226" t="s">
        <v>2306</v>
      </c>
    </row>
    <row r="227" spans="2:8" hidden="1" outlineLevel="1">
      <c r="E227" s="706"/>
    </row>
    <row r="228" spans="2:8" collapsed="1">
      <c r="E228" s="706"/>
    </row>
    <row r="229" spans="2:8" ht="23.5">
      <c r="B229" s="2" t="s">
        <v>2307</v>
      </c>
    </row>
    <row r="231" spans="2:8" hidden="1" outlineLevel="1">
      <c r="B231" s="1038" t="s">
        <v>2308</v>
      </c>
    </row>
    <row r="232" spans="2:8" ht="14.5" hidden="1" outlineLevel="1" thickBot="1">
      <c r="B232" s="1251" t="s">
        <v>2309</v>
      </c>
    </row>
    <row r="233" spans="2:8" ht="15" hidden="1" outlineLevel="1" thickBot="1">
      <c r="B233" s="1150" t="s">
        <v>2310</v>
      </c>
      <c r="C233" s="1588" t="s">
        <v>83</v>
      </c>
      <c r="D233" s="1589"/>
      <c r="E233" s="1590"/>
      <c r="F233" s="1588" t="s">
        <v>2311</v>
      </c>
      <c r="G233" s="1589"/>
      <c r="H233" s="1590"/>
    </row>
    <row r="234" spans="2:8" ht="58" hidden="1" outlineLevel="1">
      <c r="B234" s="169" t="s">
        <v>2312</v>
      </c>
      <c r="C234" s="158" t="s">
        <v>2233</v>
      </c>
      <c r="D234" s="158" t="s">
        <v>2313</v>
      </c>
      <c r="E234" s="158" t="s">
        <v>2314</v>
      </c>
      <c r="F234" s="158" t="s">
        <v>2233</v>
      </c>
      <c r="G234" s="158" t="s">
        <v>2315</v>
      </c>
      <c r="H234" s="159" t="s">
        <v>2316</v>
      </c>
    </row>
    <row r="235" spans="2:8" ht="14.5" hidden="1" outlineLevel="1">
      <c r="B235" s="10" t="s">
        <v>84</v>
      </c>
      <c r="C235" s="1151">
        <v>270.60000000000002</v>
      </c>
      <c r="D235" s="1151">
        <v>11.200000000000001</v>
      </c>
      <c r="E235" s="1151">
        <f>D235</f>
        <v>11.200000000000001</v>
      </c>
      <c r="F235" s="1146">
        <f t="shared" ref="F235:H240" si="0">C235/450</f>
        <v>0.60133333333333339</v>
      </c>
      <c r="G235" s="1146">
        <f t="shared" si="0"/>
        <v>2.4888888888888891E-2</v>
      </c>
      <c r="H235" s="1152">
        <f t="shared" si="0"/>
        <v>2.4888888888888891E-2</v>
      </c>
    </row>
    <row r="236" spans="2:8" ht="14.5" hidden="1" outlineLevel="1">
      <c r="B236" s="10" t="s">
        <v>187</v>
      </c>
      <c r="C236" s="1151">
        <v>467.4</v>
      </c>
      <c r="D236" s="1151">
        <v>11.200000000000001</v>
      </c>
      <c r="E236" s="1151">
        <f>D236</f>
        <v>11.200000000000001</v>
      </c>
      <c r="F236" s="1146">
        <f t="shared" si="0"/>
        <v>1.0386666666666666</v>
      </c>
      <c r="G236" s="1146">
        <f t="shared" si="0"/>
        <v>2.4888888888888891E-2</v>
      </c>
      <c r="H236" s="1152">
        <f t="shared" si="0"/>
        <v>2.4888888888888891E-2</v>
      </c>
    </row>
    <row r="237" spans="2:8" ht="14.5" hidden="1" outlineLevel="1">
      <c r="B237" s="10" t="s">
        <v>2317</v>
      </c>
      <c r="C237" s="1151">
        <v>0</v>
      </c>
      <c r="D237" s="1151">
        <v>492.8</v>
      </c>
      <c r="E237" s="1345">
        <v>111.6561650144133</v>
      </c>
      <c r="F237" s="1146">
        <f t="shared" si="0"/>
        <v>0</v>
      </c>
      <c r="G237" s="1146">
        <f t="shared" si="0"/>
        <v>1.0951111111111111</v>
      </c>
      <c r="H237" s="1152">
        <f t="shared" si="0"/>
        <v>0.24812481114314067</v>
      </c>
    </row>
    <row r="238" spans="2:8" ht="14.5" hidden="1" outlineLevel="1">
      <c r="B238" s="10" t="s">
        <v>2318</v>
      </c>
      <c r="C238" s="1151">
        <v>0</v>
      </c>
      <c r="D238" s="1151">
        <v>492.8</v>
      </c>
      <c r="E238" s="1151">
        <f>D238</f>
        <v>492.8</v>
      </c>
      <c r="F238" s="1146">
        <f t="shared" si="0"/>
        <v>0</v>
      </c>
      <c r="G238" s="1146">
        <f t="shared" si="0"/>
        <v>1.0951111111111111</v>
      </c>
      <c r="H238" s="1152">
        <f t="shared" si="0"/>
        <v>1.0951111111111111</v>
      </c>
    </row>
    <row r="239" spans="2:8" ht="14.5" hidden="1" outlineLevel="1">
      <c r="B239" s="10" t="s">
        <v>87</v>
      </c>
      <c r="C239" s="1151">
        <v>307.5</v>
      </c>
      <c r="D239" s="1151">
        <v>22.400000000000002</v>
      </c>
      <c r="E239" s="1151">
        <f>D239</f>
        <v>22.400000000000002</v>
      </c>
      <c r="F239" s="1146">
        <f t="shared" si="0"/>
        <v>0.68333333333333335</v>
      </c>
      <c r="G239" s="1146">
        <f t="shared" si="0"/>
        <v>4.9777777777777782E-2</v>
      </c>
      <c r="H239" s="1152">
        <f t="shared" si="0"/>
        <v>4.9777777777777782E-2</v>
      </c>
    </row>
    <row r="240" spans="2:8" ht="15" hidden="1" outlineLevel="1" thickBot="1">
      <c r="B240" s="13" t="s">
        <v>89</v>
      </c>
      <c r="C240" s="1153">
        <v>184.5</v>
      </c>
      <c r="D240" s="1153">
        <v>89.600000000000009</v>
      </c>
      <c r="E240" s="1153">
        <f>D240</f>
        <v>89.600000000000009</v>
      </c>
      <c r="F240" s="1154">
        <f t="shared" si="0"/>
        <v>0.41</v>
      </c>
      <c r="G240" s="1154">
        <f t="shared" si="0"/>
        <v>0.19911111111111113</v>
      </c>
      <c r="H240" s="1155">
        <f t="shared" si="0"/>
        <v>0.19911111111111113</v>
      </c>
    </row>
    <row r="241" spans="2:9" hidden="1" outlineLevel="1"/>
    <row r="242" spans="2:9" hidden="1" outlineLevel="1">
      <c r="B242" s="16"/>
      <c r="H242" s="706"/>
      <c r="I242" s="706"/>
    </row>
    <row r="243" spans="2:9" hidden="1" outlineLevel="1">
      <c r="F243" s="74"/>
      <c r="G243" s="74"/>
    </row>
    <row r="244" spans="2:9" hidden="1" outlineLevel="1">
      <c r="B244" s="16"/>
    </row>
    <row r="245" spans="2:9" hidden="1" outlineLevel="1"/>
    <row r="246" spans="2:9" collapsed="1"/>
  </sheetData>
  <mergeCells count="3">
    <mergeCell ref="F233:H233"/>
    <mergeCell ref="A1:XFD2"/>
    <mergeCell ref="C233:E233"/>
  </mergeCells>
  <conditionalFormatting sqref="A1:XFD2">
    <cfRule type="containsBlanks" dxfId="15" priority="1">
      <formula>LEN(TRIM(A1))=0</formula>
    </cfRule>
  </conditionalFormatting>
  <hyperlinks>
    <hyperlink ref="B150" r:id="rId1" display="https://www.sciencepublishinggroup.com/article/10.11648/j.ajep.20180704.11" xr:uid="{9836E00D-8A7F-4AA5-BE01-1C5E43CF1DFC}"/>
    <hyperlink ref="B178" r:id="rId2" location="supplementary-material" display="https://www.bjanaesthesia.org/article/S0007-0912(23)00119-8/fulltext - supplementary-material" xr:uid="{E7EE5C36-DB71-4FB5-82EB-4347C53E0898}"/>
    <hyperlink ref="B231" r:id="rId3" xr:uid="{E3A224F8-731E-46BB-B8BF-1981D3C29C52}"/>
  </hyperlinks>
  <pageMargins left="0.7" right="0.7" top="0.75" bottom="0.75" header="0.3" footer="0.3"/>
  <pageSetup paperSize="9" orientation="portrait" r:id="rId4"/>
  <drawing r:id="rId5"/>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0433EF-8207-4FCD-8B55-4055225DEF41}">
  <sheetPr>
    <tabColor theme="6"/>
  </sheetPr>
  <dimension ref="A1:S747"/>
  <sheetViews>
    <sheetView zoomScale="60" zoomScaleNormal="60" workbookViewId="0">
      <selection sqref="A1:XFD2"/>
    </sheetView>
  </sheetViews>
  <sheetFormatPr baseColWidth="10" defaultColWidth="11" defaultRowHeight="14" outlineLevelRow="2"/>
  <cols>
    <col min="2" max="2" width="28" customWidth="1"/>
    <col min="3" max="3" width="19.1640625" customWidth="1"/>
    <col min="4" max="4" width="16.5" customWidth="1"/>
    <col min="5" max="5" width="17.6640625" customWidth="1"/>
    <col min="6" max="6" width="16.33203125" customWidth="1"/>
    <col min="7" max="7" width="14.83203125" customWidth="1"/>
    <col min="8" max="8" width="15.83203125" customWidth="1"/>
    <col min="9" max="9" width="13.33203125" bestFit="1" customWidth="1"/>
    <col min="10" max="10" width="12" customWidth="1"/>
    <col min="11" max="11" width="32" customWidth="1"/>
    <col min="12" max="12" width="13.83203125" bestFit="1" customWidth="1"/>
    <col min="13" max="13" width="10.6640625" bestFit="1" customWidth="1"/>
    <col min="14" max="14" width="10.83203125" bestFit="1" customWidth="1"/>
    <col min="15" max="15" width="45" customWidth="1"/>
    <col min="16" max="16" width="12.83203125" bestFit="1" customWidth="1"/>
  </cols>
  <sheetData>
    <row r="1" spans="1:8" s="1505" customFormat="1">
      <c r="A1" s="1505" t="s">
        <v>2319</v>
      </c>
    </row>
    <row r="2" spans="1:8" s="1505" customFormat="1"/>
    <row r="5" spans="1:8">
      <c r="B5" s="1251" t="s">
        <v>36</v>
      </c>
    </row>
    <row r="6" spans="1:8">
      <c r="B6" s="1251"/>
    </row>
    <row r="8" spans="1:8" ht="23.5">
      <c r="B8" s="2" t="s">
        <v>180</v>
      </c>
    </row>
    <row r="10" spans="1:8" ht="18">
      <c r="B10" s="258" t="s">
        <v>2320</v>
      </c>
    </row>
    <row r="12" spans="1:8" hidden="1" outlineLevel="1">
      <c r="B12" s="1251" t="s">
        <v>954</v>
      </c>
    </row>
    <row r="13" spans="1:8" ht="14.5" hidden="1" outlineLevel="1" thickBot="1"/>
    <row r="14" spans="1:8" ht="70" hidden="1" outlineLevel="1">
      <c r="B14" s="273" t="s">
        <v>184</v>
      </c>
      <c r="C14" s="287" t="s">
        <v>2321</v>
      </c>
      <c r="D14" s="287" t="s">
        <v>2322</v>
      </c>
      <c r="E14" s="287" t="s">
        <v>191</v>
      </c>
      <c r="F14" s="287" t="s">
        <v>2323</v>
      </c>
      <c r="G14" s="288" t="s">
        <v>192</v>
      </c>
    </row>
    <row r="15" spans="1:8" hidden="1" outlineLevel="1">
      <c r="B15" s="276" t="s">
        <v>84</v>
      </c>
      <c r="C15" s="180">
        <f>$C196</f>
        <v>1.1657556749015396</v>
      </c>
      <c r="D15" s="180">
        <f>$C196</f>
        <v>1.1657556749015396</v>
      </c>
      <c r="E15" s="1005">
        <f>$C196</f>
        <v>1.1657556749015396</v>
      </c>
      <c r="F15" s="1005">
        <f>$C196</f>
        <v>1.1657556749015396</v>
      </c>
      <c r="G15" s="1063">
        <f>$C196</f>
        <v>1.1657556749015396</v>
      </c>
      <c r="H15" s="143"/>
    </row>
    <row r="16" spans="1:8" hidden="1" outlineLevel="1">
      <c r="B16" s="276" t="s">
        <v>193</v>
      </c>
      <c r="C16" s="180">
        <f>$C198</f>
        <v>0.14399999999999999</v>
      </c>
      <c r="D16" s="180">
        <f>$C198</f>
        <v>0.14399999999999999</v>
      </c>
      <c r="E16" s="1005">
        <f>$C198</f>
        <v>0.14399999999999999</v>
      </c>
      <c r="F16" s="1005">
        <f>$C198</f>
        <v>0.14399999999999999</v>
      </c>
      <c r="G16" s="1063">
        <f>$C198</f>
        <v>0.14399999999999999</v>
      </c>
      <c r="H16" s="143"/>
    </row>
    <row r="17" spans="2:8" hidden="1" outlineLevel="1">
      <c r="B17" s="276" t="s">
        <v>86</v>
      </c>
      <c r="C17" s="180">
        <f>$C331</f>
        <v>3.4057999999999998E-2</v>
      </c>
      <c r="D17" s="180">
        <f>$C331</f>
        <v>3.4057999999999998E-2</v>
      </c>
      <c r="E17" s="1005">
        <f>$C331</f>
        <v>3.4057999999999998E-2</v>
      </c>
      <c r="F17" s="1005">
        <f>$C331</f>
        <v>3.4057999999999998E-2</v>
      </c>
      <c r="G17" s="1063">
        <f>$C331</f>
        <v>3.4057999999999998E-2</v>
      </c>
      <c r="H17" s="143"/>
    </row>
    <row r="18" spans="2:8" hidden="1" outlineLevel="1">
      <c r="B18" s="276" t="s">
        <v>194</v>
      </c>
      <c r="C18" s="180">
        <f>D247</f>
        <v>1.7911373946111728</v>
      </c>
      <c r="D18" s="1346">
        <f>D247</f>
        <v>1.7911373946111728</v>
      </c>
      <c r="E18" s="1005">
        <f>D245</f>
        <v>0.30313615268087785</v>
      </c>
      <c r="F18" s="1005">
        <f>D246</f>
        <v>0.87711353664745073</v>
      </c>
      <c r="G18" s="1063">
        <f>D247</f>
        <v>1.7911373946111728</v>
      </c>
      <c r="H18" s="143"/>
    </row>
    <row r="19" spans="2:8" ht="28" hidden="1" outlineLevel="1">
      <c r="B19" s="276" t="s">
        <v>195</v>
      </c>
      <c r="C19" s="180">
        <f>$C277 + $C307</f>
        <v>0.23120977166826873</v>
      </c>
      <c r="D19" s="180">
        <f>$C277 + $C307</f>
        <v>0.23120977166826873</v>
      </c>
      <c r="E19" s="1005">
        <f>$C277 + $C307</f>
        <v>0.23120977166826873</v>
      </c>
      <c r="F19" s="1005">
        <f>$C277 + $C307</f>
        <v>0.23120977166826873</v>
      </c>
      <c r="G19" s="1063">
        <f>$C277 + $C307</f>
        <v>0.23120977166826873</v>
      </c>
      <c r="H19" s="143"/>
    </row>
    <row r="20" spans="2:8" hidden="1" outlineLevel="1">
      <c r="B20" s="276" t="s">
        <v>88</v>
      </c>
      <c r="C20" s="180">
        <f>C419</f>
        <v>0.11259693336327821</v>
      </c>
      <c r="D20" s="180">
        <f>D419</f>
        <v>0.16293357152355439</v>
      </c>
      <c r="E20" s="1005">
        <f>E419</f>
        <v>1.7074799999999999E-3</v>
      </c>
      <c r="F20" s="1005">
        <f>F419</f>
        <v>0.48020018549395893</v>
      </c>
      <c r="G20" s="1063">
        <f>G419</f>
        <v>7.3567942599358269E-2</v>
      </c>
      <c r="H20" s="143"/>
    </row>
    <row r="21" spans="2:8" hidden="1" outlineLevel="1">
      <c r="B21" s="515" t="s">
        <v>196</v>
      </c>
      <c r="C21" s="769">
        <f>$C431/10^3</f>
        <v>3.8250000000000003E-3</v>
      </c>
      <c r="D21" s="769">
        <f>$C431/10^3</f>
        <v>3.8250000000000003E-3</v>
      </c>
      <c r="E21" s="1124">
        <f>$C431/10^3</f>
        <v>3.8250000000000003E-3</v>
      </c>
      <c r="F21" s="1124">
        <f>$C431/10^3</f>
        <v>3.8250000000000003E-3</v>
      </c>
      <c r="G21" s="1125">
        <f>$C431/10^3</f>
        <v>3.8250000000000003E-3</v>
      </c>
      <c r="H21" s="143"/>
    </row>
    <row r="22" spans="2:8" ht="28" hidden="1" outlineLevel="1">
      <c r="B22" s="515" t="s">
        <v>197</v>
      </c>
      <c r="C22" s="383">
        <f>$C449</f>
        <v>0.18155671755725189</v>
      </c>
      <c r="D22" s="383">
        <f>$C449</f>
        <v>0.18155671755725189</v>
      </c>
      <c r="E22" s="1124">
        <f>$C449</f>
        <v>0.18155671755725189</v>
      </c>
      <c r="F22" s="1124">
        <f>$C449</f>
        <v>0.18155671755725189</v>
      </c>
      <c r="G22" s="1125">
        <f>$C449</f>
        <v>0.18155671755725189</v>
      </c>
      <c r="H22" s="143"/>
    </row>
    <row r="23" spans="2:8" ht="14.5" hidden="1" outlineLevel="1" thickBot="1">
      <c r="B23" s="281" t="s">
        <v>188</v>
      </c>
      <c r="C23" s="98">
        <f>SUM(C15:C22)</f>
        <v>3.6641394921015107</v>
      </c>
      <c r="D23" s="98">
        <f>SUM(D15:D22)</f>
        <v>3.714476130261787</v>
      </c>
      <c r="E23" s="98">
        <f>SUM(E15:E22)</f>
        <v>2.0652487968079383</v>
      </c>
      <c r="F23" s="98">
        <f>SUM(F15:F22)</f>
        <v>3.1177188862684697</v>
      </c>
      <c r="G23" s="512">
        <f>SUM(G15:G22)</f>
        <v>3.6251105013375908</v>
      </c>
    </row>
    <row r="24" spans="2:8" hidden="1" outlineLevel="1">
      <c r="B24" s="276" t="s">
        <v>2324</v>
      </c>
      <c r="C24" s="11">
        <f>C74</f>
        <v>2040000</v>
      </c>
      <c r="D24" s="11">
        <f>C72</f>
        <v>22600000</v>
      </c>
      <c r="E24" s="11">
        <f>C73*75%*(1-C378)</f>
        <v>4538627.9501081677</v>
      </c>
      <c r="F24" s="11">
        <f>C73*75%*C378</f>
        <v>9711372.0498918314</v>
      </c>
      <c r="G24" s="12">
        <f>C73*25%</f>
        <v>4750000</v>
      </c>
    </row>
    <row r="25" spans="2:8" ht="14.5" hidden="1" outlineLevel="1" thickBot="1">
      <c r="B25" s="281" t="s">
        <v>674</v>
      </c>
      <c r="C25" s="325">
        <f>C23*C24/10^6</f>
        <v>7.474844563887082</v>
      </c>
      <c r="D25" s="325">
        <f>D23*D24/10^6</f>
        <v>83.947160543916382</v>
      </c>
      <c r="E25" s="325">
        <f>E23*E24/10^6</f>
        <v>9.3733959131197722</v>
      </c>
      <c r="F25" s="325">
        <f>F23*F24/10^6</f>
        <v>30.277328051527508</v>
      </c>
      <c r="G25" s="327">
        <f>G23*G24/10^6</f>
        <v>17.219274881353556</v>
      </c>
    </row>
    <row r="26" spans="2:8" ht="14.5" hidden="1" outlineLevel="1" thickBot="1"/>
    <row r="27" spans="2:8" ht="28.5" hidden="1" outlineLevel="1" thickBot="1">
      <c r="B27" s="282" t="s">
        <v>2325</v>
      </c>
      <c r="C27" s="34">
        <f>SUM(C25:G25)</f>
        <v>148.29200395380431</v>
      </c>
      <c r="D27" s="284" t="s">
        <v>661</v>
      </c>
      <c r="E27" s="420"/>
    </row>
    <row r="28" spans="2:8" hidden="1" outlineLevel="1">
      <c r="B28" s="1251"/>
      <c r="F28" s="581"/>
    </row>
    <row r="29" spans="2:8" collapsed="1"/>
    <row r="30" spans="2:8" ht="18">
      <c r="B30" s="258" t="s">
        <v>2326</v>
      </c>
    </row>
    <row r="32" spans="2:8" ht="14.5" hidden="1" outlineLevel="1" thickBot="1">
      <c r="B32" s="1251" t="s">
        <v>2327</v>
      </c>
    </row>
    <row r="33" spans="2:18" hidden="1" outlineLevel="1">
      <c r="B33" s="273"/>
      <c r="C33" s="287" t="s">
        <v>2328</v>
      </c>
      <c r="D33" s="288" t="s">
        <v>301</v>
      </c>
      <c r="P33" s="74"/>
    </row>
    <row r="34" spans="2:18" hidden="1" outlineLevel="1">
      <c r="B34" s="276" t="s">
        <v>84</v>
      </c>
      <c r="C34" s="168">
        <f>AVERAGE(C492:D492)</f>
        <v>0.68914174053194155</v>
      </c>
      <c r="D34" s="1283" t="s">
        <v>2119</v>
      </c>
      <c r="P34" s="50"/>
      <c r="R34" s="579"/>
    </row>
    <row r="35" spans="2:18" hidden="1" outlineLevel="1">
      <c r="B35" s="276" t="s">
        <v>2329</v>
      </c>
      <c r="C35" s="168">
        <f>AVERAGE(C494:D494)</f>
        <v>0.13086075328862828</v>
      </c>
      <c r="D35" s="1283" t="s">
        <v>2119</v>
      </c>
      <c r="P35" s="50"/>
      <c r="R35" s="579"/>
    </row>
    <row r="36" spans="2:18" hidden="1" outlineLevel="1">
      <c r="B36" s="276" t="s">
        <v>86</v>
      </c>
      <c r="C36" s="168">
        <f>AVERAGE(C493:D493)</f>
        <v>0.15023191797267066</v>
      </c>
      <c r="D36" s="1283" t="s">
        <v>2119</v>
      </c>
      <c r="P36" s="50"/>
      <c r="R36" s="579"/>
    </row>
    <row r="37" spans="2:18" ht="28" hidden="1" outlineLevel="1">
      <c r="B37" s="276" t="s">
        <v>2330</v>
      </c>
      <c r="C37" s="168">
        <f>AVERAGE(C517:D517)</f>
        <v>1.9700433284643255</v>
      </c>
      <c r="D37" s="1283" t="s">
        <v>2119</v>
      </c>
      <c r="P37" s="50"/>
      <c r="R37" s="579"/>
    </row>
    <row r="38" spans="2:18" hidden="1" outlineLevel="1">
      <c r="B38" s="276" t="s">
        <v>2331</v>
      </c>
      <c r="C38" s="168">
        <f>C540</f>
        <v>5.8225419999999993E-2</v>
      </c>
      <c r="D38" s="1283" t="s">
        <v>2119</v>
      </c>
      <c r="P38" s="74"/>
      <c r="R38" s="579"/>
    </row>
    <row r="39" spans="2:18" hidden="1" outlineLevel="1">
      <c r="B39" s="276" t="s">
        <v>88</v>
      </c>
      <c r="C39" s="168">
        <f>AVERAGE(C566:D566)</f>
        <v>0.56887834998803999</v>
      </c>
      <c r="D39" s="1283" t="s">
        <v>2119</v>
      </c>
      <c r="P39" s="50"/>
      <c r="R39" s="579"/>
    </row>
    <row r="40" spans="2:18" hidden="1" outlineLevel="1">
      <c r="B40" s="515" t="s">
        <v>196</v>
      </c>
      <c r="C40" s="549">
        <f>C578/10^3</f>
        <v>2.1660974999999996E-2</v>
      </c>
      <c r="D40" s="1283" t="s">
        <v>2119</v>
      </c>
    </row>
    <row r="41" spans="2:18" hidden="1" outlineLevel="1">
      <c r="B41" s="515" t="s">
        <v>89</v>
      </c>
      <c r="C41" s="549">
        <f>C594</f>
        <v>0.21172969999999999</v>
      </c>
      <c r="D41" s="1283" t="s">
        <v>2119</v>
      </c>
    </row>
    <row r="42" spans="2:18" ht="14.5" hidden="1" outlineLevel="1" thickBot="1">
      <c r="B42" s="281" t="s">
        <v>188</v>
      </c>
      <c r="C42" s="325">
        <f>SUM(C34:C41)</f>
        <v>3.8007721852456058</v>
      </c>
      <c r="D42" s="38" t="s">
        <v>2119</v>
      </c>
    </row>
    <row r="43" spans="2:18" ht="14.5" hidden="1" outlineLevel="1" thickBot="1"/>
    <row r="44" spans="2:18" hidden="1" outlineLevel="1">
      <c r="B44" s="280" t="s">
        <v>2324</v>
      </c>
      <c r="C44" s="537">
        <f>C96</f>
        <v>16000000</v>
      </c>
    </row>
    <row r="45" spans="2:18" ht="14.5" hidden="1" outlineLevel="1" thickBot="1">
      <c r="B45" s="281" t="s">
        <v>674</v>
      </c>
      <c r="C45" s="327">
        <f>C42*C44/10^6</f>
        <v>60.812354963929693</v>
      </c>
    </row>
    <row r="46" spans="2:18" hidden="1" outlineLevel="1"/>
    <row r="47" spans="2:18" hidden="1" outlineLevel="1"/>
    <row r="48" spans="2:18" hidden="1" outlineLevel="1"/>
    <row r="49" spans="2:4" collapsed="1"/>
    <row r="50" spans="2:4" ht="18">
      <c r="B50" s="258" t="s">
        <v>2332</v>
      </c>
    </row>
    <row r="52" spans="2:4" ht="14.5" hidden="1" outlineLevel="1" thickBot="1">
      <c r="B52" s="1251" t="s">
        <v>2327</v>
      </c>
    </row>
    <row r="53" spans="2:4" hidden="1" outlineLevel="1">
      <c r="B53" s="273"/>
      <c r="C53" s="287" t="s">
        <v>2333</v>
      </c>
      <c r="D53" s="288" t="s">
        <v>301</v>
      </c>
    </row>
    <row r="54" spans="2:4" hidden="1" outlineLevel="1">
      <c r="B54" s="276" t="s">
        <v>84</v>
      </c>
      <c r="C54" s="168">
        <v>0</v>
      </c>
      <c r="D54" s="1283" t="s">
        <v>661</v>
      </c>
    </row>
    <row r="55" spans="2:4" hidden="1" outlineLevel="1">
      <c r="B55" s="276" t="s">
        <v>2287</v>
      </c>
      <c r="C55" s="168">
        <f>C643</f>
        <v>2.5092253635410851</v>
      </c>
      <c r="D55" s="1283" t="s">
        <v>661</v>
      </c>
    </row>
    <row r="56" spans="2:4" ht="28" hidden="1" outlineLevel="1">
      <c r="B56" s="276" t="s">
        <v>2334</v>
      </c>
      <c r="C56" s="168">
        <f>C644</f>
        <v>0.84449759104447808</v>
      </c>
      <c r="D56" s="1283"/>
    </row>
    <row r="57" spans="2:4" ht="28" hidden="1" outlineLevel="1">
      <c r="B57" s="276" t="s">
        <v>2335</v>
      </c>
      <c r="C57" s="168">
        <f>C677</f>
        <v>5.5318200866585885</v>
      </c>
      <c r="D57" s="1283" t="s">
        <v>661</v>
      </c>
    </row>
    <row r="58" spans="2:4" ht="28" hidden="1" outlineLevel="1">
      <c r="B58" s="276" t="s">
        <v>195</v>
      </c>
      <c r="C58" s="168">
        <f>C705+C706</f>
        <v>0.96769505699952685</v>
      </c>
      <c r="D58" s="1283" t="s">
        <v>661</v>
      </c>
    </row>
    <row r="59" spans="2:4" hidden="1" outlineLevel="1">
      <c r="B59" s="276" t="s">
        <v>88</v>
      </c>
      <c r="C59" s="168">
        <f>C735</f>
        <v>2.5496646290345084</v>
      </c>
      <c r="D59" s="1283" t="s">
        <v>661</v>
      </c>
    </row>
    <row r="60" spans="2:4" hidden="1" outlineLevel="1">
      <c r="B60" s="515" t="s">
        <v>89</v>
      </c>
      <c r="C60" s="549">
        <f>C745</f>
        <v>0.29006613333333331</v>
      </c>
      <c r="D60" s="1283" t="s">
        <v>661</v>
      </c>
    </row>
    <row r="61" spans="2:4" ht="14.5" hidden="1" outlineLevel="1" thickBot="1">
      <c r="B61" s="281" t="s">
        <v>2336</v>
      </c>
      <c r="C61" s="325">
        <f>SUM(C54:C60)</f>
        <v>12.69296886061152</v>
      </c>
      <c r="D61" s="38" t="s">
        <v>2119</v>
      </c>
    </row>
    <row r="62" spans="2:4" hidden="1" outlineLevel="1"/>
    <row r="63" spans="2:4" hidden="1" outlineLevel="1"/>
    <row r="64" spans="2:4" hidden="1" outlineLevel="1"/>
    <row r="65" spans="2:5" collapsed="1"/>
    <row r="66" spans="2:5" ht="23.5">
      <c r="B66" s="2" t="s">
        <v>1130</v>
      </c>
    </row>
    <row r="68" spans="2:5" ht="18">
      <c r="B68" s="258" t="s">
        <v>2320</v>
      </c>
    </row>
    <row r="70" spans="2:5" ht="14.5" hidden="1" outlineLevel="1" thickBot="1">
      <c r="B70" s="1343" t="s">
        <v>2337</v>
      </c>
      <c r="C70" s="76"/>
      <c r="D70" s="76"/>
    </row>
    <row r="71" spans="2:5" hidden="1" outlineLevel="1">
      <c r="B71" s="273" t="s">
        <v>2338</v>
      </c>
      <c r="C71" s="288" t="s">
        <v>2339</v>
      </c>
      <c r="D71" s="76"/>
    </row>
    <row r="72" spans="2:5" hidden="1" outlineLevel="1">
      <c r="B72" s="276" t="s">
        <v>2340</v>
      </c>
      <c r="C72" s="1275">
        <v>22600000</v>
      </c>
      <c r="D72" s="76"/>
      <c r="E72" s="422"/>
    </row>
    <row r="73" spans="2:5" hidden="1" outlineLevel="1">
      <c r="B73" s="276" t="s">
        <v>2341</v>
      </c>
      <c r="C73" s="270">
        <v>19000000</v>
      </c>
      <c r="D73" s="76"/>
    </row>
    <row r="74" spans="2:5" hidden="1" outlineLevel="1">
      <c r="B74" s="276" t="s">
        <v>2342</v>
      </c>
      <c r="C74" s="270">
        <f>C75-C72-C73</f>
        <v>2040000</v>
      </c>
      <c r="D74" s="1347"/>
    </row>
    <row r="75" spans="2:5" ht="14.5" hidden="1" outlineLevel="1" thickBot="1">
      <c r="B75" s="281" t="s">
        <v>83</v>
      </c>
      <c r="C75" s="309">
        <v>43640000</v>
      </c>
      <c r="D75" s="76"/>
    </row>
    <row r="76" spans="2:5" hidden="1" outlineLevel="1">
      <c r="B76" s="147"/>
      <c r="C76" s="76"/>
      <c r="D76" s="76"/>
    </row>
    <row r="77" spans="2:5" ht="14.5" hidden="1" outlineLevel="1" thickBot="1">
      <c r="B77" s="1343" t="s">
        <v>2343</v>
      </c>
      <c r="C77" s="76"/>
      <c r="D77" s="76"/>
    </row>
    <row r="78" spans="2:5" hidden="1" outlineLevel="1">
      <c r="B78" s="273" t="s">
        <v>2338</v>
      </c>
      <c r="C78" s="288" t="s">
        <v>2339</v>
      </c>
      <c r="D78" s="76"/>
    </row>
    <row r="79" spans="2:5" hidden="1" outlineLevel="1">
      <c r="B79" s="276" t="s">
        <v>2340</v>
      </c>
      <c r="C79" s="1275">
        <v>17108588</v>
      </c>
      <c r="D79" s="76"/>
      <c r="E79" s="422"/>
    </row>
    <row r="80" spans="2:5" hidden="1" outlineLevel="1">
      <c r="B80" s="276" t="s">
        <v>2341</v>
      </c>
      <c r="C80" s="270">
        <v>15407654</v>
      </c>
      <c r="D80" s="76"/>
    </row>
    <row r="81" spans="2:12" hidden="1" outlineLevel="1">
      <c r="B81" s="276" t="s">
        <v>2344</v>
      </c>
      <c r="C81" s="270">
        <v>154779</v>
      </c>
      <c r="D81" s="76"/>
    </row>
    <row r="82" spans="2:12" ht="14.5" hidden="1" outlineLevel="1" thickBot="1">
      <c r="B82" s="281" t="s">
        <v>83</v>
      </c>
      <c r="C82" s="309">
        <v>43640000</v>
      </c>
      <c r="D82" s="76"/>
    </row>
    <row r="83" spans="2:12" hidden="1" outlineLevel="1">
      <c r="C83" s="76"/>
      <c r="D83" s="76"/>
    </row>
    <row r="84" spans="2:12" hidden="1" outlineLevel="1">
      <c r="B84" s="1343" t="s">
        <v>2345</v>
      </c>
      <c r="C84" s="76"/>
      <c r="D84" s="76"/>
    </row>
    <row r="85" spans="2:12" hidden="1" outlineLevel="1">
      <c r="B85" s="1251" t="s">
        <v>2346</v>
      </c>
      <c r="C85" s="76"/>
      <c r="D85" s="76"/>
    </row>
    <row r="86" spans="2:12" hidden="1" outlineLevel="1">
      <c r="C86" s="76"/>
      <c r="D86" s="76"/>
    </row>
    <row r="87" spans="2:12" hidden="1" outlineLevel="1">
      <c r="B87" s="1251" t="s">
        <v>2347</v>
      </c>
      <c r="C87" s="76"/>
      <c r="D87" s="76"/>
    </row>
    <row r="88" spans="2:12" hidden="1" outlineLevel="1">
      <c r="B88" s="1343" t="s">
        <v>2348</v>
      </c>
      <c r="C88" s="76"/>
      <c r="D88" s="76"/>
    </row>
    <row r="89" spans="2:12" hidden="1" outlineLevel="1">
      <c r="B89" s="147"/>
      <c r="C89" s="76"/>
      <c r="D89" s="76"/>
    </row>
    <row r="90" spans="2:12" collapsed="1">
      <c r="B90" s="147"/>
      <c r="C90" s="76"/>
      <c r="D90" s="76"/>
    </row>
    <row r="91" spans="2:12" ht="18">
      <c r="B91" s="258" t="s">
        <v>2326</v>
      </c>
      <c r="F91" s="1251"/>
      <c r="G91" s="76"/>
    </row>
    <row r="92" spans="2:12">
      <c r="B92" s="295"/>
      <c r="C92" s="274"/>
      <c r="D92" s="274"/>
      <c r="F92" s="1251"/>
      <c r="G92" s="76"/>
    </row>
    <row r="93" spans="2:12" hidden="1" outlineLevel="1">
      <c r="B93" s="1343" t="s">
        <v>2349</v>
      </c>
      <c r="C93" s="76"/>
      <c r="F93" s="1251"/>
      <c r="G93" s="76"/>
      <c r="L93" s="1251"/>
    </row>
    <row r="94" spans="2:12" ht="14.5" hidden="1" outlineLevel="1" thickBot="1">
      <c r="B94" s="76" t="s">
        <v>2350</v>
      </c>
      <c r="C94" s="76"/>
      <c r="D94" s="76"/>
      <c r="F94" s="1251"/>
      <c r="G94" s="76"/>
      <c r="L94" s="1251"/>
    </row>
    <row r="95" spans="2:12" hidden="1" outlineLevel="1">
      <c r="B95" s="273"/>
      <c r="C95" s="288" t="s">
        <v>2351</v>
      </c>
      <c r="D95" s="76"/>
      <c r="F95" s="75"/>
      <c r="G95" s="76"/>
      <c r="H95" s="76"/>
      <c r="I95" s="1251"/>
      <c r="L95" s="24"/>
    </row>
    <row r="96" spans="2:12" ht="14.5" hidden="1" outlineLevel="1" thickBot="1">
      <c r="B96" s="281" t="s">
        <v>2352</v>
      </c>
      <c r="C96" s="1276">
        <v>16000000</v>
      </c>
      <c r="D96" s="76"/>
      <c r="F96" s="1343"/>
      <c r="G96" s="76"/>
      <c r="H96" s="1347"/>
      <c r="I96" s="1251"/>
      <c r="L96" s="24"/>
    </row>
    <row r="97" spans="2:12" hidden="1" outlineLevel="1">
      <c r="B97" s="75"/>
      <c r="C97" s="76"/>
      <c r="D97" s="76"/>
      <c r="F97" s="75"/>
      <c r="G97" s="76"/>
      <c r="H97" s="76"/>
      <c r="I97" s="1251"/>
      <c r="L97" s="24"/>
    </row>
    <row r="98" spans="2:12" hidden="1" outlineLevel="1">
      <c r="B98" s="1343" t="s">
        <v>2353</v>
      </c>
      <c r="C98" s="274"/>
      <c r="D98" s="274"/>
      <c r="F98" s="75"/>
      <c r="G98" s="76"/>
      <c r="H98" s="76"/>
    </row>
    <row r="99" spans="2:12" hidden="1" outlineLevel="1">
      <c r="B99" s="1343"/>
      <c r="C99" s="1343"/>
      <c r="D99" s="76"/>
      <c r="F99" s="75"/>
      <c r="G99" s="76"/>
      <c r="H99" s="76"/>
      <c r="K99" s="1251"/>
      <c r="L99" s="23"/>
    </row>
    <row r="100" spans="2:12" ht="14.5" hidden="1" outlineLevel="1" thickBot="1">
      <c r="B100" s="1343" t="s">
        <v>2354</v>
      </c>
      <c r="C100" s="1343"/>
      <c r="D100" s="274"/>
      <c r="F100" s="75"/>
      <c r="G100" s="76"/>
      <c r="H100" s="76"/>
    </row>
    <row r="101" spans="2:12" hidden="1" outlineLevel="1">
      <c r="B101" s="273" t="s">
        <v>2355</v>
      </c>
      <c r="C101" s="287" t="s">
        <v>2356</v>
      </c>
      <c r="D101" s="286" t="s">
        <v>588</v>
      </c>
      <c r="F101" s="296"/>
      <c r="G101" s="76"/>
      <c r="H101" s="76"/>
    </row>
    <row r="102" spans="2:12" ht="28" hidden="1" outlineLevel="1">
      <c r="B102" s="276" t="s">
        <v>2357</v>
      </c>
      <c r="C102" s="310">
        <v>12524572</v>
      </c>
      <c r="D102" s="161">
        <f>C102/SUM(C102:C103)</f>
        <v>0.4929077303835992</v>
      </c>
      <c r="F102" s="75"/>
      <c r="G102" s="76"/>
      <c r="H102" s="76"/>
    </row>
    <row r="103" spans="2:12" ht="28.5" hidden="1" outlineLevel="1" thickBot="1">
      <c r="B103" s="281" t="s">
        <v>2358</v>
      </c>
      <c r="C103" s="312">
        <v>12884995</v>
      </c>
      <c r="D103" s="162">
        <f>C103/SUM(C102:C103)</f>
        <v>0.50709226961640075</v>
      </c>
      <c r="F103" s="75"/>
      <c r="G103" s="76"/>
      <c r="H103" s="76"/>
      <c r="L103" s="1251"/>
    </row>
    <row r="104" spans="2:12" hidden="1" outlineLevel="1">
      <c r="B104" s="1343"/>
      <c r="C104" s="1343"/>
      <c r="D104" s="76"/>
      <c r="F104" s="75"/>
      <c r="G104" s="76"/>
      <c r="H104" s="76"/>
      <c r="L104" s="1251"/>
    </row>
    <row r="105" spans="2:12" hidden="1" outlineLevel="1">
      <c r="B105" s="1343" t="s">
        <v>2359</v>
      </c>
      <c r="C105" s="1343"/>
      <c r="D105" s="76"/>
      <c r="F105" s="75"/>
      <c r="G105" s="76"/>
      <c r="H105" s="76"/>
      <c r="L105" s="1251"/>
    </row>
    <row r="106" spans="2:12" hidden="1" outlineLevel="1">
      <c r="F106" s="75"/>
      <c r="G106" s="76"/>
      <c r="H106" s="76"/>
    </row>
    <row r="107" spans="2:12" hidden="1" outlineLevel="1">
      <c r="B107" s="1251" t="s">
        <v>2360</v>
      </c>
      <c r="F107" s="75"/>
      <c r="G107" s="76"/>
      <c r="H107" s="76"/>
    </row>
    <row r="108" spans="2:12" hidden="1" outlineLevel="1">
      <c r="B108" s="1251" t="s">
        <v>2361</v>
      </c>
      <c r="F108" s="75"/>
      <c r="G108" s="76"/>
      <c r="H108" s="76"/>
    </row>
    <row r="109" spans="2:12" hidden="1" outlineLevel="1">
      <c r="B109" s="1251" t="s">
        <v>2362</v>
      </c>
      <c r="F109" s="75"/>
      <c r="G109" s="76"/>
    </row>
    <row r="110" spans="2:12" hidden="1" outlineLevel="1">
      <c r="F110" s="75"/>
      <c r="G110" s="76"/>
      <c r="H110" s="76"/>
    </row>
    <row r="111" spans="2:12" collapsed="1">
      <c r="F111" s="75"/>
      <c r="G111" s="76"/>
      <c r="H111" s="76"/>
    </row>
    <row r="112" spans="2:12" ht="18">
      <c r="B112" s="258" t="s">
        <v>2332</v>
      </c>
      <c r="F112" s="75"/>
      <c r="G112" s="76"/>
    </row>
    <row r="113" spans="2:12">
      <c r="B113" s="295"/>
      <c r="C113" s="274"/>
      <c r="D113" s="274"/>
      <c r="F113" s="1251"/>
      <c r="G113" s="76"/>
    </row>
    <row r="114" spans="2:12" ht="14.5" hidden="1" outlineLevel="1" thickBot="1">
      <c r="B114" s="1343" t="s">
        <v>2363</v>
      </c>
      <c r="C114" s="76"/>
      <c r="D114" s="76"/>
      <c r="F114" s="1251"/>
      <c r="G114" s="76"/>
      <c r="L114" s="1251"/>
    </row>
    <row r="115" spans="2:12" hidden="1" outlineLevel="1">
      <c r="B115" s="273" t="s">
        <v>2364</v>
      </c>
      <c r="C115" s="288" t="s">
        <v>2339</v>
      </c>
      <c r="D115" s="76"/>
      <c r="F115" s="1251"/>
      <c r="G115" s="76"/>
      <c r="H115" s="76"/>
      <c r="I115" s="1251"/>
      <c r="L115" s="24"/>
    </row>
    <row r="116" spans="2:12" ht="14.5" hidden="1" outlineLevel="1" thickBot="1">
      <c r="B116" s="281" t="s">
        <v>2365</v>
      </c>
      <c r="C116" s="314">
        <v>226812</v>
      </c>
      <c r="F116" s="1251"/>
      <c r="G116" s="86"/>
      <c r="H116" s="1347"/>
      <c r="I116" s="1251"/>
      <c r="L116" s="24"/>
    </row>
    <row r="117" spans="2:12" hidden="1" outlineLevel="1">
      <c r="F117" s="1251"/>
      <c r="G117" s="86"/>
      <c r="H117" s="1347"/>
      <c r="I117" s="1251"/>
      <c r="L117" s="24"/>
    </row>
    <row r="118" spans="2:12" ht="14.5" hidden="1" outlineLevel="1" thickBot="1">
      <c r="B118" s="1251" t="s">
        <v>2366</v>
      </c>
      <c r="F118" s="1251"/>
      <c r="G118" s="86"/>
      <c r="H118" s="1347"/>
      <c r="I118" s="1251"/>
      <c r="L118" s="24"/>
    </row>
    <row r="119" spans="2:12" ht="28.5" hidden="1" outlineLevel="1" thickBot="1">
      <c r="B119" s="282" t="s">
        <v>2367</v>
      </c>
      <c r="C119" s="1201">
        <f>C116*365*2</f>
        <v>165572760</v>
      </c>
      <c r="E119" s="76"/>
      <c r="F119" s="1343"/>
      <c r="G119" s="86"/>
      <c r="H119" s="1347"/>
      <c r="I119" s="1251"/>
      <c r="L119" s="24"/>
    </row>
    <row r="120" spans="2:12" hidden="1" outlineLevel="1">
      <c r="B120" s="1251" t="s">
        <v>2368</v>
      </c>
      <c r="F120" s="1251"/>
      <c r="G120" s="76"/>
      <c r="L120" s="1251"/>
    </row>
    <row r="121" spans="2:12" hidden="1" outlineLevel="1">
      <c r="B121" s="1251"/>
      <c r="F121" s="1251"/>
      <c r="G121" s="76"/>
      <c r="L121" s="1251"/>
    </row>
    <row r="122" spans="2:12" ht="14.5" hidden="1" outlineLevel="1" thickBot="1">
      <c r="B122" s="1251" t="s">
        <v>2369</v>
      </c>
      <c r="F122" s="1251"/>
      <c r="G122" s="76"/>
      <c r="L122" s="1251"/>
    </row>
    <row r="123" spans="2:12" ht="42.5" hidden="1" outlineLevel="1" thickBot="1">
      <c r="B123" s="282" t="s">
        <v>2370</v>
      </c>
      <c r="C123" s="1202">
        <f>270000000</f>
        <v>270000000</v>
      </c>
      <c r="F123" s="75"/>
      <c r="G123" s="76"/>
      <c r="H123" s="76"/>
      <c r="I123" s="1251"/>
      <c r="L123" s="24"/>
    </row>
    <row r="124" spans="2:12" hidden="1" outlineLevel="1">
      <c r="F124" s="75"/>
      <c r="G124" s="76"/>
      <c r="H124" s="76"/>
      <c r="I124" s="1251"/>
      <c r="L124" s="24"/>
    </row>
    <row r="125" spans="2:12" hidden="1" outlineLevel="1">
      <c r="B125" s="1251" t="s">
        <v>2371</v>
      </c>
      <c r="G125" s="76"/>
      <c r="H125" s="76"/>
      <c r="I125" s="1251"/>
      <c r="L125" s="24"/>
    </row>
    <row r="126" spans="2:12" hidden="1" outlineLevel="1">
      <c r="B126" s="1251" t="s">
        <v>2372</v>
      </c>
      <c r="F126" s="75"/>
      <c r="G126" s="76"/>
      <c r="H126" s="76"/>
      <c r="I126" s="1251"/>
      <c r="L126" s="24"/>
    </row>
    <row r="127" spans="2:12" hidden="1" outlineLevel="1">
      <c r="B127" s="1251" t="s">
        <v>2373</v>
      </c>
      <c r="F127" s="75"/>
      <c r="H127" s="76"/>
    </row>
    <row r="128" spans="2:12" hidden="1" outlineLevel="1">
      <c r="B128" s="1251" t="s">
        <v>2374</v>
      </c>
      <c r="F128" s="296"/>
      <c r="G128" s="76"/>
      <c r="H128" s="76"/>
      <c r="I128" s="87"/>
    </row>
    <row r="129" spans="2:12" hidden="1" outlineLevel="1">
      <c r="B129" s="1251"/>
      <c r="C129" s="1251" t="s">
        <v>2375</v>
      </c>
      <c r="F129" s="296"/>
      <c r="G129" s="76"/>
      <c r="H129" s="76"/>
    </row>
    <row r="130" spans="2:12" hidden="1" outlineLevel="1">
      <c r="B130" s="87" t="s">
        <v>2376</v>
      </c>
      <c r="F130" s="296"/>
      <c r="G130" s="76"/>
      <c r="H130" s="76"/>
    </row>
    <row r="131" spans="2:12" hidden="1" outlineLevel="1">
      <c r="B131" s="1251" t="s">
        <v>2377</v>
      </c>
      <c r="F131" s="75"/>
      <c r="G131" s="76"/>
      <c r="H131" s="76"/>
    </row>
    <row r="132" spans="2:12" hidden="1" outlineLevel="1">
      <c r="B132" s="1343" t="s">
        <v>2378</v>
      </c>
      <c r="C132" s="1343"/>
      <c r="D132" s="76"/>
      <c r="F132" s="75"/>
      <c r="G132" s="76"/>
      <c r="H132" s="76"/>
      <c r="I132" s="1251"/>
      <c r="L132" s="24"/>
    </row>
    <row r="133" spans="2:12" hidden="1" outlineLevel="1">
      <c r="B133" s="1343"/>
      <c r="C133" s="1343"/>
      <c r="D133" s="76"/>
      <c r="F133" s="75"/>
      <c r="G133" s="76"/>
      <c r="H133" s="76"/>
      <c r="L133" s="1251"/>
    </row>
    <row r="134" spans="2:12" hidden="1" outlineLevel="1">
      <c r="B134" s="1251" t="s">
        <v>2379</v>
      </c>
      <c r="F134" s="75"/>
      <c r="G134" s="76"/>
      <c r="H134" s="76"/>
      <c r="I134" s="1251"/>
    </row>
    <row r="135" spans="2:12" hidden="1" outlineLevel="1">
      <c r="B135" s="1251"/>
      <c r="F135" s="75"/>
      <c r="G135" s="76"/>
      <c r="H135" s="76"/>
    </row>
    <row r="136" spans="2:12" ht="14.5" hidden="1" outlineLevel="1" thickBot="1">
      <c r="B136" s="1251" t="s">
        <v>2380</v>
      </c>
      <c r="F136" s="75"/>
      <c r="G136" s="76"/>
      <c r="H136" s="76"/>
    </row>
    <row r="137" spans="2:12" ht="43.5" hidden="1" outlineLevel="1">
      <c r="B137" s="169" t="s">
        <v>2381</v>
      </c>
      <c r="C137" s="158" t="s">
        <v>2382</v>
      </c>
      <c r="D137" s="159" t="s">
        <v>2383</v>
      </c>
      <c r="F137" s="75"/>
      <c r="G137" s="76"/>
      <c r="H137" s="76"/>
    </row>
    <row r="138" spans="2:12" hidden="1" outlineLevel="1">
      <c r="B138" s="276" t="s">
        <v>2384</v>
      </c>
      <c r="C138" s="229">
        <v>0.35</v>
      </c>
      <c r="D138" s="320" t="s">
        <v>2385</v>
      </c>
      <c r="F138" s="75"/>
      <c r="G138" s="76"/>
      <c r="H138" s="76"/>
    </row>
    <row r="139" spans="2:12" hidden="1" outlineLevel="1">
      <c r="B139" s="276" t="s">
        <v>2386</v>
      </c>
      <c r="C139" s="229">
        <v>0.25</v>
      </c>
      <c r="D139" s="320" t="s">
        <v>2387</v>
      </c>
      <c r="F139" s="75"/>
      <c r="G139" s="76"/>
      <c r="H139" s="76"/>
    </row>
    <row r="140" spans="2:12" hidden="1" outlineLevel="1">
      <c r="B140" s="276" t="s">
        <v>155</v>
      </c>
      <c r="C140" s="1312">
        <v>0.15</v>
      </c>
      <c r="D140" s="1348" t="s">
        <v>2388</v>
      </c>
      <c r="F140" s="75"/>
      <c r="G140" s="76"/>
      <c r="H140" s="76"/>
    </row>
    <row r="141" spans="2:12" hidden="1" outlineLevel="1">
      <c r="B141" s="276" t="s">
        <v>2389</v>
      </c>
      <c r="C141" s="1312">
        <v>0.1</v>
      </c>
      <c r="D141" s="1348" t="s">
        <v>2390</v>
      </c>
      <c r="F141" s="75"/>
      <c r="G141" s="76"/>
      <c r="H141" s="76"/>
    </row>
    <row r="142" spans="2:12" hidden="1" outlineLevel="1">
      <c r="B142" s="276" t="s">
        <v>176</v>
      </c>
      <c r="C142" s="1312">
        <v>0.05</v>
      </c>
      <c r="D142" s="1348" t="s">
        <v>2391</v>
      </c>
      <c r="F142" s="75"/>
      <c r="G142" s="76"/>
      <c r="H142" s="76"/>
    </row>
    <row r="143" spans="2:12" hidden="1" outlineLevel="1">
      <c r="B143" s="276" t="s">
        <v>2392</v>
      </c>
      <c r="C143" s="1312">
        <v>0.05</v>
      </c>
      <c r="D143" s="1348" t="s">
        <v>2393</v>
      </c>
      <c r="F143" s="75"/>
      <c r="G143" s="76"/>
      <c r="H143" s="76"/>
    </row>
    <row r="144" spans="2:12" ht="14.5" hidden="1" outlineLevel="1" thickBot="1">
      <c r="B144" s="281" t="s">
        <v>186</v>
      </c>
      <c r="C144" s="1314">
        <v>0.05</v>
      </c>
      <c r="D144" s="1349" t="s">
        <v>2394</v>
      </c>
      <c r="F144" s="75"/>
      <c r="G144" s="76"/>
      <c r="H144" s="76"/>
    </row>
    <row r="145" spans="2:8" collapsed="1">
      <c r="B145" s="1251"/>
      <c r="F145" s="75"/>
      <c r="G145" s="76"/>
      <c r="H145" s="76"/>
    </row>
    <row r="146" spans="2:8" ht="23.5">
      <c r="B146" s="2" t="s">
        <v>2395</v>
      </c>
    </row>
    <row r="148" spans="2:8" ht="18" hidden="1" outlineLevel="1">
      <c r="B148" s="258" t="s">
        <v>975</v>
      </c>
    </row>
    <row r="149" spans="2:8" hidden="1" outlineLevel="1"/>
    <row r="150" spans="2:8" hidden="1" outlineLevel="2">
      <c r="B150" s="1251" t="s">
        <v>2396</v>
      </c>
    </row>
    <row r="151" spans="2:8" hidden="1" outlineLevel="2">
      <c r="B151" s="1251" t="s">
        <v>2397</v>
      </c>
    </row>
    <row r="152" spans="2:8" hidden="1" outlineLevel="2">
      <c r="B152" s="278"/>
    </row>
    <row r="153" spans="2:8" hidden="1" outlineLevel="2">
      <c r="B153" s="3" t="s">
        <v>2398</v>
      </c>
    </row>
    <row r="154" spans="2:8" hidden="1" outlineLevel="2">
      <c r="B154" s="1251" t="s">
        <v>2129</v>
      </c>
    </row>
    <row r="155" spans="2:8" hidden="1" outlineLevel="2">
      <c r="B155" s="1251" t="s">
        <v>2399</v>
      </c>
    </row>
    <row r="156" spans="2:8" hidden="1" outlineLevel="2">
      <c r="B156" s="1251" t="s">
        <v>2400</v>
      </c>
    </row>
    <row r="157" spans="2:8" hidden="1" outlineLevel="2">
      <c r="B157" s="1251"/>
    </row>
    <row r="158" spans="2:8" ht="14.5" hidden="1" outlineLevel="2" thickBot="1">
      <c r="B158" s="1251" t="s">
        <v>934</v>
      </c>
    </row>
    <row r="159" spans="2:8" hidden="1" outlineLevel="2">
      <c r="B159" s="280" t="s">
        <v>2401</v>
      </c>
      <c r="C159" s="279">
        <f>PI()* (0.075/2) * (0.075/2) * (0.01)</f>
        <v>4.417864669110647E-5</v>
      </c>
      <c r="D159" s="1340" t="s">
        <v>2402</v>
      </c>
    </row>
    <row r="160" spans="2:8" hidden="1" outlineLevel="2">
      <c r="B160" s="276" t="s">
        <v>2403</v>
      </c>
      <c r="C160" s="168">
        <f>1.32</f>
        <v>1.32</v>
      </c>
      <c r="D160" s="1283" t="s">
        <v>2404</v>
      </c>
    </row>
    <row r="161" spans="2:12" ht="14.5" hidden="1" outlineLevel="2" thickBot="1">
      <c r="B161" s="281" t="s">
        <v>2405</v>
      </c>
      <c r="C161" s="18">
        <f>10^6*C160*C159</f>
        <v>58.315813632260543</v>
      </c>
      <c r="D161" s="1285" t="s">
        <v>420</v>
      </c>
    </row>
    <row r="162" spans="2:12" hidden="1" outlineLevel="2">
      <c r="B162" s="1251"/>
      <c r="K162" s="418"/>
    </row>
    <row r="163" spans="2:12" hidden="1" outlineLevel="2">
      <c r="B163" s="3" t="s">
        <v>2406</v>
      </c>
      <c r="K163" s="418"/>
    </row>
    <row r="164" spans="2:12" hidden="1" outlineLevel="2">
      <c r="B164" s="1251"/>
      <c r="K164" s="418"/>
    </row>
    <row r="165" spans="2:12" hidden="1" outlineLevel="2">
      <c r="B165" s="1251" t="s">
        <v>2407</v>
      </c>
      <c r="K165" s="418"/>
    </row>
    <row r="166" spans="2:12" hidden="1" outlineLevel="2">
      <c r="B166" s="87" t="s">
        <v>2408</v>
      </c>
      <c r="K166" s="418"/>
    </row>
    <row r="167" spans="2:12" ht="14.5" hidden="1" outlineLevel="2" thickBot="1">
      <c r="B167" s="1251" t="s">
        <v>2409</v>
      </c>
      <c r="K167" s="418"/>
    </row>
    <row r="168" spans="2:12" ht="14.5" hidden="1" outlineLevel="2" thickBot="1">
      <c r="B168" s="282" t="s">
        <v>2405</v>
      </c>
      <c r="C168" s="517">
        <f>126*32%+10</f>
        <v>50.32</v>
      </c>
      <c r="D168" s="1305" t="s">
        <v>420</v>
      </c>
      <c r="K168" s="418"/>
    </row>
    <row r="169" spans="2:12" hidden="1" outlineLevel="2">
      <c r="B169" s="1251"/>
      <c r="K169" s="418"/>
    </row>
    <row r="170" spans="2:12" hidden="1" outlineLevel="2">
      <c r="B170" s="1251"/>
      <c r="K170" s="418"/>
    </row>
    <row r="171" spans="2:12" hidden="1" outlineLevel="2">
      <c r="B171" s="1251" t="s">
        <v>2111</v>
      </c>
    </row>
    <row r="172" spans="2:12" hidden="1" outlineLevel="2">
      <c r="B172" s="1251" t="s">
        <v>2410</v>
      </c>
      <c r="K172" s="415"/>
      <c r="L172" s="1251"/>
    </row>
    <row r="173" spans="2:12" hidden="1" outlineLevel="2">
      <c r="B173" s="1251" t="s">
        <v>2411</v>
      </c>
    </row>
    <row r="174" spans="2:12" hidden="1" outlineLevel="2">
      <c r="B174" s="1251" t="s">
        <v>2412</v>
      </c>
    </row>
    <row r="175" spans="2:12" hidden="1" outlineLevel="2">
      <c r="B175" s="1251"/>
    </row>
    <row r="176" spans="2:12" ht="14.5" hidden="1" outlineLevel="2" thickBot="1">
      <c r="B176" s="1251" t="s">
        <v>1093</v>
      </c>
    </row>
    <row r="177" spans="2:6" ht="28.5" hidden="1" outlineLevel="2" thickBot="1">
      <c r="B177" s="282" t="s">
        <v>2413</v>
      </c>
      <c r="C177" s="283">
        <f>C168/0.9/0.95/0.98</f>
        <v>60.054899152643515</v>
      </c>
      <c r="D177" s="284" t="s">
        <v>420</v>
      </c>
    </row>
    <row r="178" spans="2:6" hidden="1" outlineLevel="2">
      <c r="B178" s="1251"/>
    </row>
    <row r="179" spans="2:6" hidden="1" outlineLevel="2">
      <c r="B179" s="1251" t="s">
        <v>2414</v>
      </c>
      <c r="F179" s="1251"/>
    </row>
    <row r="180" spans="2:6" hidden="1" outlineLevel="2">
      <c r="B180" s="1251" t="s">
        <v>2129</v>
      </c>
      <c r="F180" s="1251"/>
    </row>
    <row r="181" spans="2:6" hidden="1" outlineLevel="2">
      <c r="B181" s="1251" t="s">
        <v>2415</v>
      </c>
      <c r="F181" s="1251"/>
    </row>
    <row r="182" spans="2:6" hidden="1" outlineLevel="2">
      <c r="B182" s="1251" t="s">
        <v>2416</v>
      </c>
      <c r="F182" s="1251"/>
    </row>
    <row r="183" spans="2:6" hidden="1" outlineLevel="2">
      <c r="B183" s="1251"/>
      <c r="F183" s="1251"/>
    </row>
    <row r="184" spans="2:6" hidden="1" outlineLevel="2">
      <c r="B184" s="1251" t="s">
        <v>2417</v>
      </c>
    </row>
    <row r="185" spans="2:6" hidden="1" outlineLevel="2">
      <c r="B185" t="s">
        <v>2418</v>
      </c>
      <c r="F185" s="1251"/>
    </row>
    <row r="186" spans="2:6" ht="14.5" hidden="1" outlineLevel="2" thickBot="1">
      <c r="B186" s="1251" t="s">
        <v>1093</v>
      </c>
      <c r="F186" s="1251"/>
    </row>
    <row r="187" spans="2:6" ht="42.5" hidden="1" outlineLevel="2" thickBot="1">
      <c r="B187" s="282" t="s">
        <v>2419</v>
      </c>
      <c r="C187" s="1350">
        <f>4/45%</f>
        <v>8.8888888888888893</v>
      </c>
      <c r="D187" s="1305" t="s">
        <v>420</v>
      </c>
    </row>
    <row r="188" spans="2:6" hidden="1" outlineLevel="2"/>
    <row r="189" spans="2:6" ht="14.5" hidden="1" outlineLevel="2" thickBot="1">
      <c r="B189" s="1251" t="s">
        <v>2420</v>
      </c>
    </row>
    <row r="190" spans="2:6" hidden="1" outlineLevel="2">
      <c r="B190" s="273"/>
      <c r="C190" s="285" t="s">
        <v>73</v>
      </c>
      <c r="D190" s="285" t="s">
        <v>301</v>
      </c>
      <c r="E190" s="286" t="s">
        <v>70</v>
      </c>
    </row>
    <row r="191" spans="2:6" ht="28.5" hidden="1" outlineLevel="2" thickBot="1">
      <c r="B191" s="281" t="s">
        <v>2421</v>
      </c>
      <c r="C191" s="1351">
        <v>50</v>
      </c>
      <c r="D191" s="1267" t="s">
        <v>2422</v>
      </c>
      <c r="E191" s="1285" t="s">
        <v>2423</v>
      </c>
    </row>
    <row r="192" spans="2:6" hidden="1" outlineLevel="2">
      <c r="B192" s="1251" t="s">
        <v>2424</v>
      </c>
    </row>
    <row r="193" spans="2:5" hidden="1" outlineLevel="2"/>
    <row r="194" spans="2:5" ht="14.5" hidden="1" outlineLevel="2" thickBot="1">
      <c r="B194" s="1251" t="s">
        <v>2425</v>
      </c>
    </row>
    <row r="195" spans="2:5" ht="42" hidden="1" outlineLevel="2">
      <c r="B195" s="273"/>
      <c r="C195" s="287" t="s">
        <v>2426</v>
      </c>
      <c r="D195" s="286" t="s">
        <v>301</v>
      </c>
    </row>
    <row r="196" spans="2:5" hidden="1" outlineLevel="2">
      <c r="B196" s="276" t="s">
        <v>183</v>
      </c>
      <c r="C196" s="168">
        <v>1.1657556749015396</v>
      </c>
      <c r="D196" s="1283" t="s">
        <v>2119</v>
      </c>
    </row>
    <row r="197" spans="2:5" hidden="1" outlineLevel="2">
      <c r="B197" s="276" t="s">
        <v>2329</v>
      </c>
      <c r="C197" s="168">
        <v>6.5430376644314142E-2</v>
      </c>
      <c r="D197" s="1283" t="s">
        <v>2119</v>
      </c>
      <c r="E197" s="1251" t="s">
        <v>2427</v>
      </c>
    </row>
    <row r="198" spans="2:5" hidden="1" outlineLevel="2">
      <c r="B198" s="515" t="s">
        <v>193</v>
      </c>
      <c r="C198" s="877">
        <v>0.14399999999999999</v>
      </c>
      <c r="D198" s="1283" t="s">
        <v>2119</v>
      </c>
    </row>
    <row r="199" spans="2:5" ht="14.5" hidden="1" outlineLevel="2" thickBot="1">
      <c r="B199" s="281" t="s">
        <v>83</v>
      </c>
      <c r="C199" s="535">
        <f>C196+C198</f>
        <v>1.3097556749015395</v>
      </c>
      <c r="D199" s="292" t="s">
        <v>2119</v>
      </c>
    </row>
    <row r="200" spans="2:5" hidden="1" outlineLevel="2"/>
    <row r="201" spans="2:5" hidden="1" outlineLevel="1" collapsed="1"/>
    <row r="202" spans="2:5" ht="18" hidden="1" outlineLevel="1">
      <c r="B202" s="258" t="s">
        <v>2428</v>
      </c>
    </row>
    <row r="203" spans="2:5" hidden="1" outlineLevel="1">
      <c r="B203" s="1251"/>
      <c r="C203" s="1251"/>
    </row>
    <row r="204" spans="2:5" hidden="1" outlineLevel="2">
      <c r="B204" s="1251" t="s">
        <v>2429</v>
      </c>
      <c r="C204" s="1251"/>
    </row>
    <row r="205" spans="2:5" hidden="1" outlineLevel="2">
      <c r="B205" s="1251" t="s">
        <v>2430</v>
      </c>
      <c r="C205" s="1251"/>
    </row>
    <row r="206" spans="2:5" ht="14.5" hidden="1" outlineLevel="2" thickBot="1">
      <c r="B206" s="1251"/>
      <c r="C206" s="1251"/>
    </row>
    <row r="207" spans="2:5" ht="28" hidden="1" outlineLevel="2">
      <c r="B207" s="273"/>
      <c r="C207" s="287" t="s">
        <v>2431</v>
      </c>
      <c r="D207" s="286" t="s">
        <v>301</v>
      </c>
    </row>
    <row r="208" spans="2:5" hidden="1" outlineLevel="2">
      <c r="B208" s="276" t="s">
        <v>2432</v>
      </c>
      <c r="C208" s="1266">
        <v>6638</v>
      </c>
      <c r="D208" s="1283" t="s">
        <v>2433</v>
      </c>
    </row>
    <row r="209" spans="2:6" ht="14.5" hidden="1" outlineLevel="2" thickBot="1">
      <c r="B209" s="281" t="s">
        <v>2434</v>
      </c>
      <c r="C209" s="1267">
        <v>2285</v>
      </c>
      <c r="D209" s="1285" t="s">
        <v>2433</v>
      </c>
    </row>
    <row r="210" spans="2:6" hidden="1" outlineLevel="2">
      <c r="B210" s="1251"/>
      <c r="C210" s="1251"/>
    </row>
    <row r="211" spans="2:6" hidden="1" outlineLevel="2">
      <c r="B211" s="1251" t="s">
        <v>2435</v>
      </c>
      <c r="C211" s="87"/>
    </row>
    <row r="212" spans="2:6" hidden="1" outlineLevel="2">
      <c r="B212" s="1251"/>
      <c r="C212" s="1251"/>
    </row>
    <row r="213" spans="2:6" ht="14.5" hidden="1" outlineLevel="2" thickBot="1">
      <c r="B213" s="1251" t="s">
        <v>2436</v>
      </c>
      <c r="C213" s="1251"/>
    </row>
    <row r="214" spans="2:6" ht="28" hidden="1" outlineLevel="2">
      <c r="B214" s="280" t="s">
        <v>2437</v>
      </c>
      <c r="C214" s="518">
        <f>(C208+C209)/8000</f>
        <v>1.115375</v>
      </c>
      <c r="D214" s="519" t="s">
        <v>416</v>
      </c>
    </row>
    <row r="215" spans="2:6" hidden="1" outlineLevel="2">
      <c r="B215" s="276" t="s">
        <v>2438</v>
      </c>
      <c r="C215" s="1302">
        <f>C208/8000</f>
        <v>0.82974999999999999</v>
      </c>
      <c r="D215" s="1283" t="s">
        <v>416</v>
      </c>
    </row>
    <row r="216" spans="2:6" ht="14.5" hidden="1" outlineLevel="2" thickBot="1">
      <c r="B216" s="281" t="s">
        <v>2439</v>
      </c>
      <c r="C216" s="1299">
        <f>C209/8000</f>
        <v>0.28562500000000002</v>
      </c>
      <c r="D216" s="1285" t="s">
        <v>416</v>
      </c>
    </row>
    <row r="217" spans="2:6" hidden="1" outlineLevel="2"/>
    <row r="218" spans="2:6" hidden="1" outlineLevel="2">
      <c r="B218" s="1251" t="s">
        <v>2440</v>
      </c>
    </row>
    <row r="219" spans="2:6" ht="14.5" hidden="1" outlineLevel="2" thickBot="1"/>
    <row r="220" spans="2:6" ht="28" hidden="1" outlineLevel="2">
      <c r="B220" s="273"/>
      <c r="C220" s="287" t="s">
        <v>2441</v>
      </c>
      <c r="D220" s="287" t="s">
        <v>2442</v>
      </c>
      <c r="E220" s="287" t="s">
        <v>83</v>
      </c>
      <c r="F220" s="286" t="s">
        <v>301</v>
      </c>
    </row>
    <row r="221" spans="2:6" hidden="1" outlineLevel="2">
      <c r="B221" s="276" t="s">
        <v>2443</v>
      </c>
      <c r="C221" s="1266">
        <v>4963</v>
      </c>
      <c r="D221" s="21">
        <v>2224</v>
      </c>
      <c r="E221" s="21">
        <f>C221+D221</f>
        <v>7187</v>
      </c>
      <c r="F221" s="1283" t="s">
        <v>2433</v>
      </c>
    </row>
    <row r="222" spans="2:6" ht="14.5" hidden="1" outlineLevel="2" thickBot="1">
      <c r="B222" s="281" t="s">
        <v>2444</v>
      </c>
      <c r="C222" s="1267">
        <v>8343</v>
      </c>
      <c r="D222" s="22">
        <v>683</v>
      </c>
      <c r="E222" s="22">
        <f>C222+D222</f>
        <v>9026</v>
      </c>
      <c r="F222" s="1285" t="s">
        <v>2433</v>
      </c>
    </row>
    <row r="223" spans="2:6" hidden="1" outlineLevel="2"/>
    <row r="224" spans="2:6" ht="14.5" hidden="1" outlineLevel="2" thickBot="1">
      <c r="B224" s="1251" t="s">
        <v>927</v>
      </c>
    </row>
    <row r="225" spans="2:6" hidden="1" outlineLevel="2">
      <c r="B225" s="521" t="s">
        <v>2445</v>
      </c>
      <c r="C225" s="1352">
        <f>(C221+C222)/(E221+E222)</f>
        <v>0.82069943872201323</v>
      </c>
    </row>
    <row r="226" spans="2:6" ht="14.5" hidden="1" outlineLevel="2" thickBot="1">
      <c r="B226" s="520" t="s">
        <v>2446</v>
      </c>
      <c r="C226" s="1353">
        <f>(D221+D222)/(E222+E221)</f>
        <v>0.1793005612779868</v>
      </c>
    </row>
    <row r="227" spans="2:6" hidden="1" outlineLevel="2"/>
    <row r="228" spans="2:6" hidden="1" outlineLevel="2">
      <c r="B228" s="1251" t="s">
        <v>2447</v>
      </c>
    </row>
    <row r="229" spans="2:6" hidden="1" outlineLevel="2">
      <c r="B229" s="87" t="s">
        <v>2408</v>
      </c>
    </row>
    <row r="230" spans="2:6" hidden="1" outlineLevel="2"/>
    <row r="231" spans="2:6" hidden="1" outlineLevel="2">
      <c r="B231" s="1251" t="s">
        <v>2436</v>
      </c>
    </row>
    <row r="232" spans="2:6" ht="14.5" hidden="1" outlineLevel="2" thickBot="1"/>
    <row r="233" spans="2:6" ht="42" hidden="1" outlineLevel="2">
      <c r="B233" s="521" t="s">
        <v>2448</v>
      </c>
      <c r="C233" s="518">
        <f>1.61*C225</f>
        <v>1.3213260963424414</v>
      </c>
      <c r="D233" s="519" t="s">
        <v>2449</v>
      </c>
    </row>
    <row r="234" spans="2:6" ht="28.5" hidden="1" outlineLevel="2" thickBot="1">
      <c r="B234" s="520" t="s">
        <v>2450</v>
      </c>
      <c r="C234" s="326">
        <f>1.61*C226</f>
        <v>0.28867390365755874</v>
      </c>
      <c r="D234" s="108" t="s">
        <v>2449</v>
      </c>
    </row>
    <row r="235" spans="2:6" hidden="1" outlineLevel="2"/>
    <row r="236" spans="2:6" hidden="1" outlineLevel="2">
      <c r="B236" s="1251"/>
      <c r="C236" s="1251"/>
    </row>
    <row r="237" spans="2:6" ht="14.5" hidden="1" outlineLevel="2" thickBot="1">
      <c r="B237" s="1251" t="s">
        <v>2451</v>
      </c>
    </row>
    <row r="238" spans="2:6" ht="14.5" hidden="1" outlineLevel="2">
      <c r="B238" s="4"/>
      <c r="C238" s="5" t="s">
        <v>2452</v>
      </c>
      <c r="D238" s="5" t="s">
        <v>2453</v>
      </c>
      <c r="E238" s="105" t="s">
        <v>2454</v>
      </c>
      <c r="F238" s="6" t="s">
        <v>301</v>
      </c>
    </row>
    <row r="239" spans="2:6" ht="14.5" hidden="1" outlineLevel="2">
      <c r="B239" s="10" t="s">
        <v>2455</v>
      </c>
      <c r="C239" s="1302">
        <v>0.13224996052248944</v>
      </c>
      <c r="D239" s="168">
        <v>0.33823041374770646</v>
      </c>
      <c r="E239" s="168">
        <v>0.70622734448906233</v>
      </c>
      <c r="F239" s="1295" t="s">
        <v>2119</v>
      </c>
    </row>
    <row r="240" spans="2:6" ht="29" hidden="1" outlineLevel="2">
      <c r="B240" s="10" t="s">
        <v>2456</v>
      </c>
      <c r="C240" s="1302">
        <v>0.17088619215838841</v>
      </c>
      <c r="D240" s="168">
        <v>0.49889745842283295</v>
      </c>
      <c r="E240" s="168">
        <v>1.0849100501221105</v>
      </c>
      <c r="F240" s="1295" t="s">
        <v>2119</v>
      </c>
    </row>
    <row r="241" spans="2:9" ht="29.5" hidden="1" outlineLevel="2" thickBot="1">
      <c r="B241" s="13" t="s">
        <v>2457</v>
      </c>
      <c r="C241" s="326">
        <v>0.30313615268087785</v>
      </c>
      <c r="D241" s="326">
        <v>0.83712787217053941</v>
      </c>
      <c r="E241" s="326">
        <v>1.7911373946111728</v>
      </c>
      <c r="F241" s="1297" t="s">
        <v>2119</v>
      </c>
    </row>
    <row r="242" spans="2:9" hidden="1" outlineLevel="2">
      <c r="B242" s="1251"/>
      <c r="C242" s="1251"/>
    </row>
    <row r="243" spans="2:9" ht="14.5" hidden="1" outlineLevel="2" thickBot="1">
      <c r="B243" s="1251" t="s">
        <v>300</v>
      </c>
      <c r="C243" s="1251"/>
    </row>
    <row r="244" spans="2:9" ht="14" hidden="1" customHeight="1" outlineLevel="2">
      <c r="B244" s="1602" t="s">
        <v>2458</v>
      </c>
      <c r="C244" s="1603"/>
      <c r="D244" s="497" t="s">
        <v>2459</v>
      </c>
      <c r="E244" s="1251"/>
    </row>
    <row r="245" spans="2:9" ht="29" hidden="1" outlineLevel="2">
      <c r="B245" s="1600" t="s">
        <v>2460</v>
      </c>
      <c r="C245" s="522" t="s">
        <v>2461</v>
      </c>
      <c r="D245" s="523">
        <f>C241</f>
        <v>0.30313615268087785</v>
      </c>
    </row>
    <row r="246" spans="2:9" ht="29" hidden="1" outlineLevel="2">
      <c r="B246" s="1601"/>
      <c r="C246" s="522" t="s">
        <v>2462</v>
      </c>
      <c r="D246" s="523">
        <f>E239+C240</f>
        <v>0.87711353664745073</v>
      </c>
    </row>
    <row r="247" spans="2:9" ht="14.5" hidden="1" customHeight="1" outlineLevel="2" thickBot="1">
      <c r="B247" s="498" t="s">
        <v>2463</v>
      </c>
      <c r="C247" s="524" t="s">
        <v>2462</v>
      </c>
      <c r="D247" s="525">
        <f>E241</f>
        <v>1.7911373946111728</v>
      </c>
    </row>
    <row r="248" spans="2:9" hidden="1" outlineLevel="2">
      <c r="B248" s="1251"/>
      <c r="C248" s="1251"/>
    </row>
    <row r="249" spans="2:9" hidden="1" outlineLevel="1" collapsed="1">
      <c r="B249" s="1251"/>
      <c r="C249" s="1251"/>
    </row>
    <row r="250" spans="2:9" ht="18" hidden="1" outlineLevel="1">
      <c r="B250" s="258" t="s">
        <v>2464</v>
      </c>
    </row>
    <row r="251" spans="2:9" hidden="1" outlineLevel="1">
      <c r="B251" s="1251"/>
    </row>
    <row r="252" spans="2:9" hidden="1" outlineLevel="2">
      <c r="B252" s="1251" t="s">
        <v>2465</v>
      </c>
      <c r="C252" s="1251"/>
    </row>
    <row r="253" spans="2:9" hidden="1" outlineLevel="2">
      <c r="B253" s="1251"/>
      <c r="C253" s="1251"/>
    </row>
    <row r="254" spans="2:9" hidden="1" outlineLevel="2">
      <c r="B254" s="1251" t="s">
        <v>2466</v>
      </c>
      <c r="C254" s="87"/>
      <c r="E254" s="40"/>
      <c r="F254" s="40"/>
      <c r="G254" s="40"/>
      <c r="I254" s="40"/>
    </row>
    <row r="255" spans="2:9" ht="14.5" hidden="1" outlineLevel="2" thickBot="1"/>
    <row r="256" spans="2:9" hidden="1" outlineLevel="2">
      <c r="B256" s="273"/>
      <c r="C256" s="287" t="s">
        <v>2467</v>
      </c>
      <c r="D256" s="288" t="s">
        <v>70</v>
      </c>
    </row>
    <row r="257" spans="2:7" ht="28" hidden="1" outlineLevel="2">
      <c r="B257" s="276" t="s">
        <v>2468</v>
      </c>
      <c r="C257" s="1266">
        <v>60</v>
      </c>
      <c r="D257" s="100" t="s">
        <v>2469</v>
      </c>
    </row>
    <row r="258" spans="2:7" hidden="1" outlineLevel="2">
      <c r="B258" s="276" t="s">
        <v>2107</v>
      </c>
      <c r="C258" s="1266">
        <f>200000</f>
        <v>200000</v>
      </c>
      <c r="D258" s="100" t="s">
        <v>2469</v>
      </c>
    </row>
    <row r="259" spans="2:7" ht="42.5" hidden="1" outlineLevel="2" thickBot="1">
      <c r="B259" s="281" t="s">
        <v>2470</v>
      </c>
      <c r="C259" s="170">
        <f>C258/C257/10^3</f>
        <v>3.3333333333333335</v>
      </c>
      <c r="D259" s="38"/>
    </row>
    <row r="260" spans="2:7" hidden="1" outlineLevel="2">
      <c r="B260" s="1251"/>
    </row>
    <row r="261" spans="2:7" hidden="1" outlineLevel="2">
      <c r="B261" s="1251" t="s">
        <v>2471</v>
      </c>
      <c r="C261" s="1251"/>
    </row>
    <row r="262" spans="2:7" ht="14.5" hidden="1" outlineLevel="2" thickBot="1">
      <c r="B262" s="1251"/>
      <c r="C262" s="1251"/>
    </row>
    <row r="263" spans="2:7" ht="42" hidden="1" outlineLevel="2">
      <c r="B263" s="273"/>
      <c r="C263" s="287" t="s">
        <v>2468</v>
      </c>
      <c r="D263" s="287" t="s">
        <v>2472</v>
      </c>
      <c r="E263" s="287" t="s">
        <v>2473</v>
      </c>
      <c r="F263" s="288" t="s">
        <v>70</v>
      </c>
    </row>
    <row r="264" spans="2:7" hidden="1" outlineLevel="2">
      <c r="B264" s="276" t="s">
        <v>2443</v>
      </c>
      <c r="C264" s="1266">
        <v>12</v>
      </c>
      <c r="D264" s="1354">
        <v>15000</v>
      </c>
      <c r="E264" s="168">
        <f>D264/C264/1000</f>
        <v>1.25</v>
      </c>
      <c r="F264" s="100" t="s">
        <v>2474</v>
      </c>
    </row>
    <row r="265" spans="2:7" ht="14.5" hidden="1" outlineLevel="2" thickBot="1">
      <c r="B265" s="281" t="s">
        <v>2444</v>
      </c>
      <c r="C265" s="1267">
        <v>9</v>
      </c>
      <c r="D265" s="1355">
        <v>14000</v>
      </c>
      <c r="E265" s="170">
        <f>D265/C265/1000</f>
        <v>1.5555555555555556</v>
      </c>
      <c r="F265" s="114" t="s">
        <v>2475</v>
      </c>
      <c r="G265" s="1251"/>
    </row>
    <row r="266" spans="2:7" hidden="1" outlineLevel="2">
      <c r="B266" s="1251"/>
      <c r="C266" s="1251"/>
    </row>
    <row r="267" spans="2:7" ht="14.5" hidden="1" outlineLevel="2" thickBot="1">
      <c r="B267" s="1251" t="s">
        <v>2109</v>
      </c>
    </row>
    <row r="268" spans="2:7" ht="14.5" hidden="1" outlineLevel="2">
      <c r="B268" s="4"/>
      <c r="C268" s="5"/>
      <c r="D268" s="5" t="s">
        <v>301</v>
      </c>
      <c r="E268" s="6" t="s">
        <v>70</v>
      </c>
    </row>
    <row r="269" spans="2:7" ht="15" hidden="1" outlineLevel="2" thickBot="1">
      <c r="B269" s="13" t="s">
        <v>1063</v>
      </c>
      <c r="C269" s="249">
        <v>825</v>
      </c>
      <c r="D269" s="1267" t="s">
        <v>1064</v>
      </c>
      <c r="E269" s="1285" t="s">
        <v>1065</v>
      </c>
    </row>
    <row r="270" spans="2:7" hidden="1" outlineLevel="2"/>
    <row r="271" spans="2:7" hidden="1" outlineLevel="2">
      <c r="B271" s="1251" t="s">
        <v>2110</v>
      </c>
    </row>
    <row r="272" spans="2:7" hidden="1" outlineLevel="2">
      <c r="B272" s="1251"/>
    </row>
    <row r="273" spans="2:9" ht="14.5" hidden="1" outlineLevel="2" thickBot="1">
      <c r="B273" s="1251" t="s">
        <v>1067</v>
      </c>
    </row>
    <row r="274" spans="2:9" ht="14.5" hidden="1" outlineLevel="2">
      <c r="B274" s="4"/>
      <c r="C274" s="5" t="s">
        <v>69</v>
      </c>
      <c r="D274" s="6" t="s">
        <v>301</v>
      </c>
    </row>
    <row r="275" spans="2:9" ht="43.5" hidden="1" outlineLevel="2">
      <c r="B275" s="10" t="s">
        <v>2476</v>
      </c>
      <c r="C275" s="94">
        <f>(AVERAGE(E264,E265)/1000)*C269/25</f>
        <v>4.6291666666666662E-2</v>
      </c>
      <c r="D275" s="1277" t="s">
        <v>2119</v>
      </c>
    </row>
    <row r="276" spans="2:9" ht="43.5" hidden="1" outlineLevel="2">
      <c r="B276" s="10" t="s">
        <v>2477</v>
      </c>
      <c r="C276" s="94">
        <f>(C259/1000)*C269/25</f>
        <v>0.11</v>
      </c>
      <c r="D276" s="1277" t="s">
        <v>2119</v>
      </c>
    </row>
    <row r="277" spans="2:9" ht="44" hidden="1" outlineLevel="2" thickBot="1">
      <c r="B277" s="13" t="s">
        <v>2478</v>
      </c>
      <c r="C277" s="289">
        <f>C275+C276</f>
        <v>0.15629166666666666</v>
      </c>
      <c r="D277" s="199" t="s">
        <v>2119</v>
      </c>
    </row>
    <row r="278" spans="2:9" hidden="1" outlineLevel="2">
      <c r="B278" s="1251"/>
    </row>
    <row r="279" spans="2:9" hidden="1" outlineLevel="1" collapsed="1">
      <c r="B279" s="1251"/>
    </row>
    <row r="280" spans="2:9" ht="18" hidden="1" outlineLevel="1">
      <c r="B280" s="258" t="s">
        <v>2479</v>
      </c>
    </row>
    <row r="281" spans="2:9" hidden="1" outlineLevel="1"/>
    <row r="282" spans="2:9" hidden="1" outlineLevel="2">
      <c r="B282" s="1251" t="s">
        <v>2480</v>
      </c>
      <c r="C282" s="1251"/>
    </row>
    <row r="283" spans="2:9" hidden="1" outlineLevel="2">
      <c r="B283" s="1251"/>
      <c r="C283" s="1251"/>
    </row>
    <row r="284" spans="2:9" hidden="1" outlineLevel="2">
      <c r="B284" s="1251" t="s">
        <v>2481</v>
      </c>
      <c r="C284" s="87"/>
      <c r="E284" s="40"/>
      <c r="F284" s="40"/>
      <c r="G284" s="40"/>
      <c r="I284" s="40"/>
    </row>
    <row r="285" spans="2:9" ht="14.5" hidden="1" outlineLevel="2" thickBot="1"/>
    <row r="286" spans="2:9" hidden="1" outlineLevel="2">
      <c r="B286" s="273"/>
      <c r="C286" s="287" t="s">
        <v>2467</v>
      </c>
      <c r="D286" s="288" t="s">
        <v>2482</v>
      </c>
    </row>
    <row r="287" spans="2:9" hidden="1" outlineLevel="2">
      <c r="B287" s="276" t="s">
        <v>70</v>
      </c>
      <c r="C287" s="113" t="s">
        <v>2469</v>
      </c>
      <c r="D287" s="100" t="s">
        <v>2483</v>
      </c>
    </row>
    <row r="288" spans="2:9" ht="28" hidden="1" outlineLevel="2">
      <c r="B288" s="276" t="s">
        <v>2468</v>
      </c>
      <c r="C288" s="1266">
        <v>60</v>
      </c>
      <c r="D288" s="17">
        <v>8</v>
      </c>
    </row>
    <row r="289" spans="2:6" hidden="1" outlineLevel="2">
      <c r="B289" s="276" t="s">
        <v>2484</v>
      </c>
      <c r="C289" s="1266">
        <v>1600</v>
      </c>
      <c r="D289" s="17">
        <v>229</v>
      </c>
    </row>
    <row r="290" spans="2:6" ht="28.5" hidden="1" outlineLevel="2" thickBot="1">
      <c r="B290" s="281" t="s">
        <v>2485</v>
      </c>
      <c r="C290" s="170">
        <f>C289/C288</f>
        <v>26.666666666666668</v>
      </c>
      <c r="D290" s="209">
        <f>D289/D288</f>
        <v>28.625</v>
      </c>
    </row>
    <row r="291" spans="2:6" hidden="1" outlineLevel="2">
      <c r="B291" s="1251"/>
    </row>
    <row r="292" spans="2:6" hidden="1" outlineLevel="2">
      <c r="B292" s="1251" t="s">
        <v>2486</v>
      </c>
      <c r="C292" s="1251"/>
    </row>
    <row r="293" spans="2:6" ht="14.5" hidden="1" outlineLevel="2" thickBot="1">
      <c r="B293" s="1251"/>
      <c r="C293" s="1251"/>
    </row>
    <row r="294" spans="2:6" ht="56" hidden="1" outlineLevel="2">
      <c r="B294" s="273"/>
      <c r="C294" s="287" t="s">
        <v>2468</v>
      </c>
      <c r="D294" s="287" t="s">
        <v>2484</v>
      </c>
      <c r="E294" s="287" t="s">
        <v>2487</v>
      </c>
      <c r="F294" s="288" t="s">
        <v>70</v>
      </c>
    </row>
    <row r="295" spans="2:6" ht="14.5" hidden="1" outlineLevel="2" thickBot="1">
      <c r="B295" s="281" t="s">
        <v>2443</v>
      </c>
      <c r="C295" s="1267">
        <v>12</v>
      </c>
      <c r="D295" s="1355">
        <v>221</v>
      </c>
      <c r="E295" s="170">
        <f>D295/C295</f>
        <v>18.416666666666668</v>
      </c>
      <c r="F295" s="114" t="s">
        <v>2483</v>
      </c>
    </row>
    <row r="296" spans="2:6" hidden="1" outlineLevel="2">
      <c r="B296" s="1251"/>
      <c r="C296" s="1251"/>
    </row>
    <row r="297" spans="2:6" ht="14.5" hidden="1" outlineLevel="2" thickBot="1">
      <c r="B297" s="1251" t="s">
        <v>2111</v>
      </c>
    </row>
    <row r="298" spans="2:6" ht="14.5" hidden="1" outlineLevel="2">
      <c r="B298" s="4"/>
      <c r="C298" s="5"/>
      <c r="D298" s="5" t="s">
        <v>301</v>
      </c>
      <c r="E298" s="6" t="s">
        <v>70</v>
      </c>
    </row>
    <row r="299" spans="2:6" ht="29" hidden="1" customHeight="1" outlineLevel="2">
      <c r="B299" s="10" t="s">
        <v>2112</v>
      </c>
      <c r="C299" s="180">
        <v>21.2</v>
      </c>
      <c r="D299" s="1307" t="s">
        <v>2113</v>
      </c>
      <c r="E299" s="1295" t="s">
        <v>2114</v>
      </c>
    </row>
    <row r="300" spans="2:6" ht="14.5" hidden="1" outlineLevel="2">
      <c r="B300" s="10" t="s">
        <v>2115</v>
      </c>
      <c r="C300" s="229">
        <v>0.75413181011075003</v>
      </c>
      <c r="D300" s="1307"/>
      <c r="E300" s="1295"/>
    </row>
    <row r="301" spans="2:6" ht="15" hidden="1" outlineLevel="2" thickBot="1">
      <c r="B301" s="13" t="s">
        <v>1063</v>
      </c>
      <c r="C301" s="203">
        <v>0.17048685674338901</v>
      </c>
      <c r="D301" s="22" t="s">
        <v>2116</v>
      </c>
      <c r="E301" s="38"/>
    </row>
    <row r="302" spans="2:6" hidden="1" outlineLevel="2"/>
    <row r="303" spans="2:6" ht="14.5" hidden="1" outlineLevel="2" thickBot="1">
      <c r="B303" s="1251" t="s">
        <v>2117</v>
      </c>
    </row>
    <row r="304" spans="2:6" ht="14.5" hidden="1" outlineLevel="2">
      <c r="B304" s="4"/>
      <c r="C304" s="5" t="s">
        <v>69</v>
      </c>
      <c r="D304" s="6" t="s">
        <v>301</v>
      </c>
    </row>
    <row r="305" spans="2:8" ht="43.5" hidden="1" outlineLevel="2">
      <c r="B305" s="10" t="s">
        <v>2488</v>
      </c>
      <c r="C305" s="94">
        <f>AVERAGE(C290,D290)*2*C299*225*C301/10^6</f>
        <v>4.4964416706072347E-2</v>
      </c>
      <c r="D305" s="1277" t="s">
        <v>2119</v>
      </c>
      <c r="H305" s="41"/>
    </row>
    <row r="306" spans="2:8" ht="43.5" hidden="1" outlineLevel="2">
      <c r="B306" s="10" t="s">
        <v>2489</v>
      </c>
      <c r="C306" s="94">
        <f>E295*2*C299*225*C301/10^6</f>
        <v>2.9953688295529732E-2</v>
      </c>
      <c r="D306" s="1277" t="s">
        <v>2119</v>
      </c>
      <c r="H306" s="41"/>
    </row>
    <row r="307" spans="2:8" ht="44" hidden="1" outlineLevel="2" thickBot="1">
      <c r="B307" s="13" t="s">
        <v>2490</v>
      </c>
      <c r="C307" s="289">
        <f>C305+C306</f>
        <v>7.4918105001602078E-2</v>
      </c>
      <c r="D307" s="199" t="s">
        <v>2119</v>
      </c>
      <c r="H307" s="41"/>
    </row>
    <row r="308" spans="2:8" hidden="1" outlineLevel="2"/>
    <row r="309" spans="2:8" hidden="1" outlineLevel="1" collapsed="1"/>
    <row r="310" spans="2:8" ht="18" hidden="1" outlineLevel="1">
      <c r="B310" s="258" t="s">
        <v>2491</v>
      </c>
    </row>
    <row r="311" spans="2:8" hidden="1" outlineLevel="1"/>
    <row r="312" spans="2:8" hidden="1" outlineLevel="2">
      <c r="B312" s="3" t="s">
        <v>2492</v>
      </c>
      <c r="H312" s="1251"/>
    </row>
    <row r="313" spans="2:8" hidden="1" outlineLevel="2">
      <c r="H313" s="1251"/>
    </row>
    <row r="314" spans="2:8" hidden="1" outlineLevel="2">
      <c r="B314" s="1251" t="s">
        <v>2493</v>
      </c>
      <c r="H314" s="1251"/>
    </row>
    <row r="315" spans="2:8" hidden="1" outlineLevel="2">
      <c r="B315" s="87" t="s">
        <v>2408</v>
      </c>
      <c r="H315" s="1251"/>
    </row>
    <row r="316" spans="2:8" hidden="1" outlineLevel="2">
      <c r="B316" s="1251" t="s">
        <v>2494</v>
      </c>
      <c r="C316">
        <f>126*15%</f>
        <v>18.899999999999999</v>
      </c>
      <c r="D316" s="1251" t="s">
        <v>2495</v>
      </c>
      <c r="H316" s="1251"/>
    </row>
    <row r="317" spans="2:8" hidden="1" outlineLevel="2">
      <c r="H317" s="1251"/>
    </row>
    <row r="318" spans="2:8" hidden="1" outlineLevel="2">
      <c r="B318" s="1251" t="s">
        <v>2496</v>
      </c>
      <c r="H318" s="1251"/>
    </row>
    <row r="319" spans="2:8" hidden="1" outlineLevel="2">
      <c r="C319" s="526"/>
      <c r="H319" s="1251"/>
    </row>
    <row r="320" spans="2:8" hidden="1" outlineLevel="2">
      <c r="B320" s="1251" t="s">
        <v>469</v>
      </c>
      <c r="C320" s="1251"/>
      <c r="H320" s="1251"/>
    </row>
    <row r="321" spans="2:8" ht="14.5" hidden="1" outlineLevel="2" thickBot="1">
      <c r="B321" s="1251" t="s">
        <v>2497</v>
      </c>
      <c r="H321" s="1251"/>
    </row>
    <row r="322" spans="2:8" ht="29.5" hidden="1" outlineLevel="2" thickBot="1">
      <c r="B322" s="20" t="s">
        <v>2498</v>
      </c>
      <c r="C322" s="1356">
        <f>20</f>
        <v>20</v>
      </c>
      <c r="D322" s="1357" t="s">
        <v>420</v>
      </c>
      <c r="G322" s="87" t="s">
        <v>2499</v>
      </c>
      <c r="H322" s="1251"/>
    </row>
    <row r="323" spans="2:8" hidden="1" outlineLevel="2">
      <c r="B323" s="1251"/>
      <c r="H323" s="1251"/>
    </row>
    <row r="324" spans="2:8" hidden="1" outlineLevel="2">
      <c r="B324" s="3" t="s">
        <v>2500</v>
      </c>
      <c r="H324" s="1251"/>
    </row>
    <row r="325" spans="2:8" hidden="1" outlineLevel="2">
      <c r="B325" s="1251"/>
      <c r="H325" s="1251"/>
    </row>
    <row r="326" spans="2:8" hidden="1" outlineLevel="2">
      <c r="B326" s="1251" t="s">
        <v>2501</v>
      </c>
      <c r="H326" s="1251"/>
    </row>
    <row r="327" spans="2:8" ht="14.5" hidden="1" outlineLevel="2" thickBot="1">
      <c r="B327" s="1251" t="s">
        <v>2502</v>
      </c>
      <c r="H327" s="1251"/>
    </row>
    <row r="328" spans="2:8" ht="15" hidden="1" outlineLevel="2" thickBot="1">
      <c r="B328" s="20" t="s">
        <v>2503</v>
      </c>
      <c r="C328" s="1356">
        <v>5</v>
      </c>
      <c r="D328" s="1357" t="s">
        <v>420</v>
      </c>
      <c r="H328" s="1251"/>
    </row>
    <row r="329" spans="2:8" hidden="1" outlineLevel="2">
      <c r="B329" s="1251"/>
      <c r="H329" s="1251"/>
    </row>
    <row r="330" spans="2:8" ht="14.5" hidden="1" outlineLevel="2" thickBot="1">
      <c r="B330" s="1251" t="s">
        <v>2504</v>
      </c>
    </row>
    <row r="331" spans="2:8" ht="29.5" hidden="1" outlineLevel="2" thickBot="1">
      <c r="B331" s="20" t="s">
        <v>2505</v>
      </c>
      <c r="C331" s="293">
        <v>3.4057999999999998E-2</v>
      </c>
      <c r="D331" s="294" t="s">
        <v>2119</v>
      </c>
    </row>
    <row r="332" spans="2:8" hidden="1" outlineLevel="2"/>
    <row r="333" spans="2:8" hidden="1" outlineLevel="1" collapsed="1"/>
    <row r="334" spans="2:8" ht="18" hidden="1" outlineLevel="1">
      <c r="B334" s="258" t="s">
        <v>2506</v>
      </c>
    </row>
    <row r="335" spans="2:8" hidden="1" outlineLevel="1"/>
    <row r="336" spans="2:8" hidden="1" outlineLevel="2">
      <c r="B336" s="3" t="s">
        <v>2507</v>
      </c>
    </row>
    <row r="337" spans="2:19" hidden="1" outlineLevel="2">
      <c r="B337" s="3"/>
    </row>
    <row r="338" spans="2:19" hidden="1" outlineLevel="2">
      <c r="B338" s="1251" t="s">
        <v>2508</v>
      </c>
    </row>
    <row r="339" spans="2:19" ht="14.5" hidden="1" outlineLevel="2" thickBot="1"/>
    <row r="340" spans="2:19" ht="43.5" hidden="1" outlineLevel="2">
      <c r="B340" s="123" t="s">
        <v>525</v>
      </c>
      <c r="C340" s="155" t="s">
        <v>526</v>
      </c>
      <c r="D340" s="155" t="s">
        <v>87</v>
      </c>
      <c r="E340" s="158" t="s">
        <v>2509</v>
      </c>
      <c r="F340" s="155" t="s">
        <v>165</v>
      </c>
      <c r="G340" s="155" t="s">
        <v>175</v>
      </c>
      <c r="H340" s="155" t="s">
        <v>163</v>
      </c>
      <c r="I340" s="155" t="s">
        <v>169</v>
      </c>
      <c r="J340" s="155" t="s">
        <v>161</v>
      </c>
      <c r="K340" s="155" t="s">
        <v>153</v>
      </c>
      <c r="L340" s="155" t="s">
        <v>171</v>
      </c>
      <c r="M340" s="155" t="s">
        <v>527</v>
      </c>
      <c r="N340" s="155" t="s">
        <v>167</v>
      </c>
      <c r="O340" s="155" t="s">
        <v>173</v>
      </c>
      <c r="P340" s="155" t="s">
        <v>159</v>
      </c>
      <c r="Q340" s="155" t="s">
        <v>154</v>
      </c>
      <c r="R340" s="155" t="s">
        <v>157</v>
      </c>
      <c r="S340" s="156" t="s">
        <v>2510</v>
      </c>
    </row>
    <row r="341" spans="2:19" ht="30.5" hidden="1" customHeight="1" outlineLevel="2">
      <c r="B341" s="10" t="s">
        <v>2511</v>
      </c>
      <c r="C341" s="11">
        <v>90015020</v>
      </c>
      <c r="D341" s="1358" t="s">
        <v>2512</v>
      </c>
      <c r="E341" s="11">
        <v>2282070</v>
      </c>
      <c r="F341" s="297">
        <v>0</v>
      </c>
      <c r="G341" s="297">
        <v>0</v>
      </c>
      <c r="H341" s="297">
        <v>4.2394383052324382E-3</v>
      </c>
      <c r="I341" s="297">
        <v>2.7384783316532771E-7</v>
      </c>
      <c r="J341" s="297">
        <v>9.0183294570172545E-2</v>
      </c>
      <c r="K341" s="297">
        <v>0.32688503840578936</v>
      </c>
      <c r="L341" s="297">
        <v>1.299161505319631E-2</v>
      </c>
      <c r="M341" s="297">
        <v>5.2031088301412261E-6</v>
      </c>
      <c r="N341" s="297">
        <v>5.2682024600846242E-2</v>
      </c>
      <c r="O341" s="297">
        <v>2.1907826653226217E-6</v>
      </c>
      <c r="P341" s="297">
        <v>8.9704334709966391E-3</v>
      </c>
      <c r="Q341" s="297">
        <v>0.49485344074740739</v>
      </c>
      <c r="R341" s="297">
        <v>9.1870471070304126E-3</v>
      </c>
      <c r="S341" s="161">
        <f>SUM(F341:R341)</f>
        <v>1</v>
      </c>
    </row>
    <row r="342" spans="2:19" ht="58" hidden="1" outlineLevel="2">
      <c r="B342" s="10" t="s">
        <v>2513</v>
      </c>
      <c r="C342" s="11">
        <v>90015041</v>
      </c>
      <c r="D342" s="1358" t="s">
        <v>2514</v>
      </c>
      <c r="E342" s="11">
        <v>41436991</v>
      </c>
      <c r="F342" s="297">
        <v>0</v>
      </c>
      <c r="G342" s="297">
        <v>2.1556338928879891E-5</v>
      </c>
      <c r="H342" s="297">
        <v>3.2173856941091973E-3</v>
      </c>
      <c r="I342" s="297">
        <v>1.2101804310950114E-6</v>
      </c>
      <c r="J342" s="297">
        <v>0.65690997520718475</v>
      </c>
      <c r="K342" s="297">
        <v>0.11582453866220151</v>
      </c>
      <c r="L342" s="297">
        <v>9.8346855712985737E-2</v>
      </c>
      <c r="M342" s="297">
        <v>9.3683092622142572E-5</v>
      </c>
      <c r="N342" s="297">
        <v>1.8431047965577024E-4</v>
      </c>
      <c r="O342" s="297">
        <v>0</v>
      </c>
      <c r="P342" s="297">
        <v>5.0570414764382784E-5</v>
      </c>
      <c r="Q342" s="297">
        <v>3.9346550974425937E-2</v>
      </c>
      <c r="R342" s="297">
        <v>8.6003363242690561E-2</v>
      </c>
      <c r="S342" s="161">
        <f>SUM(F342:R342)</f>
        <v>1</v>
      </c>
    </row>
    <row r="343" spans="2:19" ht="72.5" hidden="1" outlineLevel="2">
      <c r="B343" s="10" t="s">
        <v>2515</v>
      </c>
      <c r="C343" s="11">
        <v>90015049</v>
      </c>
      <c r="D343" s="1358" t="s">
        <v>2516</v>
      </c>
      <c r="E343" s="11">
        <v>11184061</v>
      </c>
      <c r="F343" s="297">
        <v>0</v>
      </c>
      <c r="G343" s="297">
        <v>0</v>
      </c>
      <c r="H343" s="297">
        <v>1.8097773979134327E-2</v>
      </c>
      <c r="I343" s="297">
        <v>0</v>
      </c>
      <c r="J343" s="297">
        <v>0.21650390075713544</v>
      </c>
      <c r="K343" s="297">
        <v>0.12639704128201631</v>
      </c>
      <c r="L343" s="297">
        <v>2.3324940471995816E-2</v>
      </c>
      <c r="M343" s="297">
        <v>1.963793784519939E-5</v>
      </c>
      <c r="N343" s="297">
        <v>5.3321446050463199E-4</v>
      </c>
      <c r="O343" s="297">
        <v>1.6162911806748468E-7</v>
      </c>
      <c r="P343" s="297">
        <v>5.7135893236855834E-5</v>
      </c>
      <c r="Q343" s="297">
        <v>0.54923756312425209</v>
      </c>
      <c r="R343" s="297">
        <v>6.5828630464761298E-2</v>
      </c>
      <c r="S343" s="161">
        <f>SUM(F343:R343)</f>
        <v>1</v>
      </c>
    </row>
    <row r="344" spans="2:19" ht="58.5" hidden="1" outlineLevel="2" thickBot="1">
      <c r="B344" s="13" t="s">
        <v>2517</v>
      </c>
      <c r="C344" s="14">
        <v>90015080</v>
      </c>
      <c r="D344" s="1359" t="s">
        <v>2518</v>
      </c>
      <c r="E344" s="14">
        <v>16523079</v>
      </c>
      <c r="F344" s="298">
        <v>0</v>
      </c>
      <c r="G344" s="298">
        <v>8.6061642799143456E-8</v>
      </c>
      <c r="H344" s="298">
        <v>2.9850279994383045E-2</v>
      </c>
      <c r="I344" s="298">
        <v>1.7473382209652759E-4</v>
      </c>
      <c r="J344" s="298">
        <v>0.24510249726503272</v>
      </c>
      <c r="K344" s="298">
        <v>0.17700665270842444</v>
      </c>
      <c r="L344" s="298">
        <v>0.10115820324518374</v>
      </c>
      <c r="M344" s="298">
        <v>7.5892312213854006E-3</v>
      </c>
      <c r="N344" s="298">
        <v>1.4847957047207823E-2</v>
      </c>
      <c r="O344" s="298">
        <v>2.0081049986466806E-7</v>
      </c>
      <c r="P344" s="298">
        <v>1.2735115029274585E-3</v>
      </c>
      <c r="Q344" s="298">
        <v>0.41489649581374655</v>
      </c>
      <c r="R344" s="298">
        <v>8.1001505074696483E-3</v>
      </c>
      <c r="S344" s="162">
        <f>SUM(F344:R344)</f>
        <v>1.0000000000000002</v>
      </c>
    </row>
    <row r="345" spans="2:19" hidden="1" outlineLevel="2"/>
    <row r="346" spans="2:19" hidden="1" outlineLevel="2">
      <c r="B346" s="1251" t="s">
        <v>2519</v>
      </c>
    </row>
    <row r="347" spans="2:19" hidden="1" outlineLevel="2">
      <c r="B347" s="1251" t="s">
        <v>2347</v>
      </c>
    </row>
    <row r="348" spans="2:19" hidden="1" outlineLevel="2"/>
    <row r="349" spans="2:19" hidden="1" outlineLevel="2">
      <c r="B349" s="1251" t="s">
        <v>2129</v>
      </c>
    </row>
    <row r="350" spans="2:19" hidden="1" outlineLevel="2">
      <c r="B350" s="1251" t="s">
        <v>2520</v>
      </c>
    </row>
    <row r="351" spans="2:19" hidden="1" outlineLevel="2">
      <c r="B351" s="1251" t="s">
        <v>2521</v>
      </c>
    </row>
    <row r="352" spans="2:19" hidden="1" outlineLevel="2">
      <c r="B352" s="1251" t="s">
        <v>2522</v>
      </c>
    </row>
    <row r="353" spans="2:5" hidden="1" outlineLevel="2">
      <c r="B353" s="1251"/>
    </row>
    <row r="354" spans="2:5" ht="17" hidden="1" customHeight="1" outlineLevel="2" thickBot="1">
      <c r="B354" s="1251" t="s">
        <v>934</v>
      </c>
    </row>
    <row r="355" spans="2:5" ht="32.5" hidden="1" customHeight="1" outlineLevel="2">
      <c r="B355" s="527"/>
      <c r="C355" s="379" t="s">
        <v>2523</v>
      </c>
    </row>
    <row r="356" spans="2:5" ht="17" hidden="1" customHeight="1" outlineLevel="2">
      <c r="B356" s="528" t="s">
        <v>2514</v>
      </c>
      <c r="C356" s="311">
        <v>0</v>
      </c>
    </row>
    <row r="357" spans="2:5" ht="17" hidden="1" customHeight="1" outlineLevel="2">
      <c r="B357" s="528" t="s">
        <v>2524</v>
      </c>
      <c r="C357" s="311">
        <f>Q341/(S341+Q341)</f>
        <v>0.33103809862456285</v>
      </c>
    </row>
    <row r="358" spans="2:5" ht="17" hidden="1" customHeight="1" outlineLevel="2" thickBot="1">
      <c r="B358" s="529" t="s">
        <v>2516</v>
      </c>
      <c r="C358" s="313">
        <v>0.75</v>
      </c>
    </row>
    <row r="359" spans="2:5" ht="17" hidden="1" customHeight="1" outlineLevel="2"/>
    <row r="360" spans="2:5" hidden="1" outlineLevel="2">
      <c r="B360" s="3" t="s">
        <v>2525</v>
      </c>
    </row>
    <row r="361" spans="2:5" hidden="1" outlineLevel="2">
      <c r="B361" s="3"/>
    </row>
    <row r="362" spans="2:5" ht="17" hidden="1" customHeight="1" outlineLevel="2" thickBot="1">
      <c r="B362" s="1251" t="s">
        <v>2526</v>
      </c>
    </row>
    <row r="363" spans="2:5" ht="32.5" hidden="1" customHeight="1" outlineLevel="2" thickBot="1">
      <c r="B363" s="530"/>
      <c r="C363" s="531" t="s">
        <v>2527</v>
      </c>
      <c r="D363" s="531" t="s">
        <v>70</v>
      </c>
      <c r="E363" s="532" t="s">
        <v>2528</v>
      </c>
    </row>
    <row r="364" spans="2:5" ht="17" hidden="1" customHeight="1" outlineLevel="2">
      <c r="B364" s="1607" t="s">
        <v>2529</v>
      </c>
      <c r="C364" s="1360" t="s">
        <v>2530</v>
      </c>
      <c r="D364" s="87" t="s">
        <v>2531</v>
      </c>
      <c r="E364" s="450">
        <v>8000000</v>
      </c>
    </row>
    <row r="365" spans="2:5" ht="17" hidden="1" customHeight="1" outlineLevel="2">
      <c r="B365" s="1608"/>
      <c r="C365" s="1266" t="s">
        <v>2532</v>
      </c>
      <c r="D365" s="87" t="s">
        <v>2533</v>
      </c>
      <c r="E365" s="12">
        <v>5000000</v>
      </c>
    </row>
    <row r="366" spans="2:5" ht="17" hidden="1" customHeight="1" outlineLevel="2" thickBot="1">
      <c r="B366" s="1609"/>
      <c r="C366" s="1267"/>
      <c r="D366" s="367" t="s">
        <v>83</v>
      </c>
      <c r="E366" s="15">
        <f>E364+E365</f>
        <v>13000000</v>
      </c>
    </row>
    <row r="367" spans="2:5" ht="17" hidden="1" customHeight="1" outlineLevel="2">
      <c r="B367" s="1604" t="s">
        <v>2534</v>
      </c>
      <c r="C367" s="352" t="s">
        <v>2535</v>
      </c>
      <c r="D367" s="358" t="s">
        <v>2536</v>
      </c>
      <c r="E367" s="533">
        <v>730000</v>
      </c>
    </row>
    <row r="368" spans="2:5" ht="17" hidden="1" customHeight="1" outlineLevel="2">
      <c r="B368" s="1605"/>
      <c r="C368" s="21" t="s">
        <v>2537</v>
      </c>
      <c r="D368" s="21"/>
      <c r="E368" s="12">
        <v>9000000</v>
      </c>
    </row>
    <row r="369" spans="2:8" ht="17" hidden="1" customHeight="1" outlineLevel="2">
      <c r="B369" s="1605"/>
      <c r="C369" s="21" t="s">
        <v>2538</v>
      </c>
      <c r="D369" s="113" t="s">
        <v>2539</v>
      </c>
      <c r="E369" s="12">
        <v>1400000</v>
      </c>
    </row>
    <row r="370" spans="2:8" ht="17" hidden="1" customHeight="1" outlineLevel="2">
      <c r="B370" s="1605"/>
      <c r="C370" s="21" t="s">
        <v>2532</v>
      </c>
      <c r="D370" s="113" t="s">
        <v>2540</v>
      </c>
      <c r="E370" s="12">
        <v>6000000</v>
      </c>
    </row>
    <row r="371" spans="2:8" ht="17" hidden="1" customHeight="1" outlineLevel="2">
      <c r="B371" s="1605"/>
      <c r="C371" s="21" t="s">
        <v>2541</v>
      </c>
      <c r="D371" s="113" t="s">
        <v>2542</v>
      </c>
      <c r="E371" s="12">
        <f>120*365</f>
        <v>43800</v>
      </c>
    </row>
    <row r="372" spans="2:8" ht="17" hidden="1" customHeight="1" outlineLevel="2">
      <c r="B372" s="1605"/>
      <c r="C372" s="21" t="s">
        <v>2543</v>
      </c>
      <c r="D372" s="113" t="s">
        <v>2544</v>
      </c>
      <c r="E372" s="12">
        <v>21000000</v>
      </c>
    </row>
    <row r="373" spans="2:8" ht="17" hidden="1" customHeight="1" outlineLevel="2">
      <c r="B373" s="1605"/>
      <c r="C373" s="21" t="s">
        <v>2545</v>
      </c>
      <c r="D373" s="113" t="s">
        <v>2546</v>
      </c>
      <c r="E373" s="12">
        <v>1000000</v>
      </c>
    </row>
    <row r="374" spans="2:8" ht="17" hidden="1" customHeight="1" outlineLevel="2">
      <c r="B374" s="1605"/>
      <c r="C374" s="21" t="s">
        <v>2547</v>
      </c>
      <c r="D374" s="113" t="s">
        <v>2548</v>
      </c>
      <c r="E374" s="12">
        <f>4500*365</f>
        <v>1642500</v>
      </c>
    </row>
    <row r="375" spans="2:8" ht="17" hidden="1" customHeight="1" outlineLevel="2" thickBot="1">
      <c r="B375" s="1606"/>
      <c r="C375" s="22"/>
      <c r="D375" s="367" t="s">
        <v>83</v>
      </c>
      <c r="E375" s="195">
        <f>SUM(E367:E374)</f>
        <v>40816300</v>
      </c>
    </row>
    <row r="376" spans="2:8" ht="17" hidden="1" customHeight="1" outlineLevel="2"/>
    <row r="377" spans="2:8" ht="14.5" hidden="1" outlineLevel="2" thickBot="1">
      <c r="B377" s="1251" t="s">
        <v>565</v>
      </c>
      <c r="C377" s="1251"/>
      <c r="D377" s="1251"/>
    </row>
    <row r="378" spans="2:8" ht="29.5" hidden="1" outlineLevel="2" thickBot="1">
      <c r="B378" s="534" t="s">
        <v>2549</v>
      </c>
      <c r="C378" s="1361">
        <f>1-E366/E375</f>
        <v>0.6814997929748654</v>
      </c>
      <c r="D378" s="1251"/>
    </row>
    <row r="379" spans="2:8" hidden="1" outlineLevel="2">
      <c r="B379" s="1251"/>
      <c r="C379" s="1251"/>
      <c r="D379" s="1251"/>
    </row>
    <row r="380" spans="2:8" hidden="1" outlineLevel="2">
      <c r="B380" t="s">
        <v>2550</v>
      </c>
      <c r="C380" s="1251"/>
      <c r="D380" s="1251"/>
    </row>
    <row r="381" spans="2:8" hidden="1" outlineLevel="2">
      <c r="B381" s="1251" t="s">
        <v>2551</v>
      </c>
      <c r="C381" s="1251"/>
      <c r="D381" s="1251"/>
    </row>
    <row r="382" spans="2:8" hidden="1" outlineLevel="2">
      <c r="B382" s="1251"/>
      <c r="C382" s="1251"/>
      <c r="D382" s="1251"/>
    </row>
    <row r="383" spans="2:8" hidden="1" outlineLevel="2">
      <c r="B383" s="3" t="s">
        <v>2552</v>
      </c>
      <c r="C383" s="1251"/>
      <c r="D383" s="1251"/>
      <c r="H383" s="1251"/>
    </row>
    <row r="384" spans="2:8" hidden="1" outlineLevel="2"/>
    <row r="385" spans="2:10" ht="14.5" hidden="1" outlineLevel="2" thickBot="1">
      <c r="B385" s="1251" t="s">
        <v>2553</v>
      </c>
    </row>
    <row r="386" spans="2:10" ht="14.5" hidden="1" outlineLevel="2">
      <c r="B386" s="527" t="s">
        <v>2554</v>
      </c>
      <c r="C386" s="374" t="s">
        <v>2555</v>
      </c>
      <c r="D386" s="379" t="s">
        <v>2556</v>
      </c>
    </row>
    <row r="387" spans="2:10" ht="29.5" hidden="1" outlineLevel="2" thickBot="1">
      <c r="B387" s="529" t="s">
        <v>2557</v>
      </c>
      <c r="C387" s="376">
        <v>0.1425260718424102</v>
      </c>
      <c r="D387" s="313">
        <v>0.85747392815758983</v>
      </c>
    </row>
    <row r="388" spans="2:10" hidden="1" outlineLevel="2">
      <c r="B388" s="1251"/>
      <c r="C388" s="1251"/>
      <c r="D388" s="1251"/>
    </row>
    <row r="389" spans="2:10" hidden="1" outlineLevel="2">
      <c r="B389" s="1251" t="s">
        <v>2558</v>
      </c>
      <c r="C389" s="1251"/>
      <c r="D389" s="1251"/>
    </row>
    <row r="390" spans="2:10" hidden="1" outlineLevel="2">
      <c r="B390" s="1251" t="s">
        <v>2559</v>
      </c>
      <c r="C390" s="1251"/>
      <c r="D390" s="1251"/>
    </row>
    <row r="391" spans="2:10" hidden="1" outlineLevel="2">
      <c r="B391" s="1251"/>
      <c r="C391" s="1251"/>
      <c r="D391" s="1251"/>
    </row>
    <row r="392" spans="2:10" hidden="1" outlineLevel="2">
      <c r="B392" s="3" t="s">
        <v>2560</v>
      </c>
      <c r="C392" s="1251"/>
      <c r="D392" s="1251"/>
    </row>
    <row r="393" spans="2:10" hidden="1" outlineLevel="2">
      <c r="B393" s="1251"/>
      <c r="C393" s="1251"/>
      <c r="D393" s="1251"/>
    </row>
    <row r="394" spans="2:10" hidden="1" outlineLevel="2">
      <c r="B394" s="1251" t="s">
        <v>2561</v>
      </c>
      <c r="C394" s="1251"/>
      <c r="D394" s="1251"/>
    </row>
    <row r="395" spans="2:10" hidden="1" outlineLevel="2">
      <c r="B395" s="1251"/>
      <c r="C395" s="1251"/>
      <c r="D395" s="1251"/>
    </row>
    <row r="396" spans="2:10" ht="14.5" hidden="1" outlineLevel="2" thickBot="1">
      <c r="B396" s="1251" t="s">
        <v>2562</v>
      </c>
      <c r="C396" s="1251"/>
      <c r="D396" s="1251"/>
    </row>
    <row r="397" spans="2:10" ht="16.5" hidden="1" customHeight="1" outlineLevel="2">
      <c r="B397" s="1593" t="s">
        <v>525</v>
      </c>
      <c r="C397" s="1594"/>
      <c r="D397" s="1597" t="s">
        <v>2563</v>
      </c>
      <c r="E397" s="1591" t="s">
        <v>2518</v>
      </c>
      <c r="F397" s="1591"/>
      <c r="G397" s="1591"/>
      <c r="H397" s="1591" t="s">
        <v>2564</v>
      </c>
      <c r="I397" s="1591"/>
      <c r="J397" s="1592"/>
    </row>
    <row r="398" spans="2:10" ht="51" hidden="1" customHeight="1" outlineLevel="2">
      <c r="B398" s="1595"/>
      <c r="C398" s="1596"/>
      <c r="D398" s="1598"/>
      <c r="E398" s="167" t="s">
        <v>541</v>
      </c>
      <c r="F398" s="167" t="s">
        <v>2565</v>
      </c>
      <c r="G398" s="167" t="s">
        <v>543</v>
      </c>
      <c r="H398" s="167" t="s">
        <v>541</v>
      </c>
      <c r="I398" s="167" t="s">
        <v>2565</v>
      </c>
      <c r="J398" s="303" t="s">
        <v>543</v>
      </c>
    </row>
    <row r="399" spans="2:10" ht="38" hidden="1" customHeight="1" outlineLevel="2">
      <c r="B399" s="1556" t="s">
        <v>2566</v>
      </c>
      <c r="C399" s="149" t="s">
        <v>2461</v>
      </c>
      <c r="D399" s="302">
        <f>75%*(1-C378)</f>
        <v>0.23887515526885095</v>
      </c>
      <c r="E399" s="11">
        <v>50</v>
      </c>
      <c r="F399" s="11"/>
      <c r="G399" s="21"/>
      <c r="H399" s="11"/>
      <c r="I399" s="11"/>
      <c r="J399" s="17">
        <f>500</f>
        <v>500</v>
      </c>
    </row>
    <row r="400" spans="2:10" ht="29.5" hidden="1" customHeight="1" outlineLevel="2">
      <c r="B400" s="1556"/>
      <c r="C400" s="149" t="s">
        <v>2462</v>
      </c>
      <c r="D400" s="302">
        <f>75%*C378</f>
        <v>0.51112484473114905</v>
      </c>
      <c r="E400" s="11">
        <f>SUMPRODUCT(F344:R344,'Annexe - Logistique'!D12:P12)</f>
        <v>1004.8600903044818</v>
      </c>
      <c r="F400" s="11">
        <f>SUMPRODUCT(F344:P344,'Annexe - Logistique'!D16:N16)</f>
        <v>5442.3059809829592</v>
      </c>
      <c r="G400" s="21">
        <f>500</f>
        <v>500</v>
      </c>
      <c r="H400" s="11"/>
      <c r="I400" s="11"/>
      <c r="J400" s="17">
        <f>500</f>
        <v>500</v>
      </c>
    </row>
    <row r="401" spans="2:19" ht="15" hidden="1" outlineLevel="2" thickBot="1">
      <c r="B401" s="1557" t="s">
        <v>2567</v>
      </c>
      <c r="C401" s="1599"/>
      <c r="D401" s="304">
        <f>SUM(F343:R343)*25%</f>
        <v>0.25</v>
      </c>
      <c r="E401" s="14"/>
      <c r="F401" s="14"/>
      <c r="G401" s="22"/>
      <c r="H401" s="14">
        <f>SUMPRODUCT(F343:P343,'Annexe - Logistique'!D15:N15)+SUMPRODUCT(Q343:R343,'Annexe - Logistique'!O12:P12)</f>
        <v>1039.4971782788568</v>
      </c>
      <c r="I401" s="14">
        <f>SUMPRODUCT(F343:P343,'Annexe - Logistique'!D16:N16)</f>
        <v>3846.6763161943973</v>
      </c>
      <c r="J401" s="38">
        <f>500</f>
        <v>500</v>
      </c>
    </row>
    <row r="402" spans="2:19" hidden="1" outlineLevel="2">
      <c r="B402" s="1251"/>
      <c r="C402" s="1251"/>
      <c r="D402" s="1251"/>
    </row>
    <row r="403" spans="2:19" ht="14.5" hidden="1" outlineLevel="2" thickBot="1">
      <c r="B403" s="1251" t="s">
        <v>2568</v>
      </c>
    </row>
    <row r="404" spans="2:19" ht="43.5" hidden="1" outlineLevel="2">
      <c r="B404" s="123" t="s">
        <v>525</v>
      </c>
      <c r="C404" s="158" t="s">
        <v>541</v>
      </c>
      <c r="D404" s="158" t="s">
        <v>649</v>
      </c>
      <c r="E404" s="159" t="s">
        <v>543</v>
      </c>
    </row>
    <row r="405" spans="2:19" ht="14.5" hidden="1" outlineLevel="2">
      <c r="B405" s="10" t="s">
        <v>2524</v>
      </c>
      <c r="C405" s="11">
        <f>(1-C357)*SUMPRODUCT(F341:P341,'Annexe - Logistique'!$D$15:$N$15)+(2/3)*SUMPRODUCT(Q341:R341,'Annexe - Logistique'!$O$12:$P$12)+(1/3)*'Annexe - Logistique'!Q12</f>
        <v>838.14649566256674</v>
      </c>
      <c r="D405" s="11">
        <f>(1-C357)*SUMPRODUCT(F341:P341,'Annexe - Logistique'!D13:N13)</f>
        <v>6049.0154046658718</v>
      </c>
      <c r="E405" s="17">
        <f>500</f>
        <v>500</v>
      </c>
    </row>
    <row r="406" spans="2:19" ht="15" hidden="1" outlineLevel="2" thickBot="1">
      <c r="B406" s="13" t="s">
        <v>2514</v>
      </c>
      <c r="C406" s="14">
        <f>SUMPRODUCT(F342:P342,'Annexe - Logistique'!$D$15:$N$15)+SUMPRODUCT(Q342:R342,'Annexe - Logistique'!$O$12:$P$12)</f>
        <v>1051.6020179456141</v>
      </c>
      <c r="D406" s="14">
        <f>SUMPRODUCT(F342:P342,'Annexe - Logistique'!$D$16:$N$16)</f>
        <v>8809.3857432727782</v>
      </c>
      <c r="E406" s="38">
        <f>500</f>
        <v>500</v>
      </c>
    </row>
    <row r="407" spans="2:19" hidden="1" outlineLevel="2">
      <c r="B407" s="1251"/>
    </row>
    <row r="408" spans="2:19" ht="14.5" hidden="1" outlineLevel="2" thickBot="1">
      <c r="B408" s="1251" t="s">
        <v>2569</v>
      </c>
      <c r="E408" s="1251"/>
    </row>
    <row r="409" spans="2:19" ht="14.5" hidden="1" outlineLevel="2">
      <c r="B409" s="169"/>
      <c r="C409" s="158" t="s">
        <v>2570</v>
      </c>
      <c r="D409" s="159" t="s">
        <v>301</v>
      </c>
      <c r="E409" s="24"/>
      <c r="F409" s="24"/>
      <c r="H409" s="1251"/>
    </row>
    <row r="410" spans="2:19" ht="14.5" hidden="1" outlineLevel="2">
      <c r="B410" s="10" t="s">
        <v>2571</v>
      </c>
      <c r="C410" s="1346">
        <f>10+C328</f>
        <v>15</v>
      </c>
      <c r="D410" s="1283" t="s">
        <v>2572</v>
      </c>
      <c r="E410" s="24"/>
      <c r="F410" s="24"/>
      <c r="H410" s="1251"/>
    </row>
    <row r="411" spans="2:19" ht="15" hidden="1" outlineLevel="2" thickBot="1">
      <c r="B411" s="13" t="s">
        <v>2573</v>
      </c>
      <c r="C411" s="1351">
        <f>C168+C322</f>
        <v>70.319999999999993</v>
      </c>
      <c r="D411" s="1285" t="s">
        <v>2572</v>
      </c>
      <c r="E411" s="24"/>
      <c r="F411" s="24"/>
    </row>
    <row r="412" spans="2:19" hidden="1" outlineLevel="2">
      <c r="E412" s="24"/>
      <c r="F412" s="24"/>
    </row>
    <row r="413" spans="2:19" hidden="1" outlineLevel="2">
      <c r="B413" s="1251" t="s">
        <v>546</v>
      </c>
    </row>
    <row r="414" spans="2:19" ht="14.5" hidden="1" outlineLevel="2" thickBot="1"/>
    <row r="415" spans="2:19" s="1" customFormat="1" ht="58" hidden="1" outlineLevel="2">
      <c r="B415" s="4"/>
      <c r="C415" s="138" t="s">
        <v>2574</v>
      </c>
      <c r="D415" s="138" t="s">
        <v>2575</v>
      </c>
      <c r="E415" s="138" t="s">
        <v>2576</v>
      </c>
      <c r="F415" s="138" t="s">
        <v>2577</v>
      </c>
      <c r="G415" s="139" t="s">
        <v>2578</v>
      </c>
      <c r="H415"/>
      <c r="I415"/>
      <c r="J415"/>
      <c r="K415"/>
      <c r="L415"/>
      <c r="M415"/>
      <c r="N415"/>
      <c r="O415"/>
      <c r="P415"/>
      <c r="Q415"/>
      <c r="R415"/>
      <c r="S415"/>
    </row>
    <row r="416" spans="2:19" ht="29" hidden="1" outlineLevel="2">
      <c r="B416" s="10" t="s">
        <v>550</v>
      </c>
      <c r="C416" s="305">
        <f>C410*C405*'Annexe - Logistique'!$D29/10^6</f>
        <v>2.552156079292516E-3</v>
      </c>
      <c r="D416" s="305">
        <f>C410*C406*'Annexe - Logistique'!$D29/10^6</f>
        <v>3.2021281446443948E-3</v>
      </c>
      <c r="E416" s="305">
        <f>C411*E399*'Annexe - Logistique'!$D30/10^6</f>
        <v>5.4497999999999992E-4</v>
      </c>
      <c r="F416" s="305">
        <f>(E400*C411)*'Annexe - Logistique'!D29/10^6</f>
        <v>1.4344337594692867E-2</v>
      </c>
      <c r="G416" s="306">
        <f>(E401*C411+H401*C410)*'Annexe - Logistique'!D29/10^6</f>
        <v>3.1652689078591192E-3</v>
      </c>
    </row>
    <row r="417" spans="2:7" ht="14.5" hidden="1" outlineLevel="2">
      <c r="B417" s="10" t="s">
        <v>2579</v>
      </c>
      <c r="C417" s="305">
        <f>C410*D405*'Annexe - Logistique'!$D26/10^6</f>
        <v>0.1088822772839857</v>
      </c>
      <c r="D417" s="305">
        <f>C410*D406*'Annexe - Logistique'!$D26/10^6</f>
        <v>0.15856894337890998</v>
      </c>
      <c r="E417" s="305"/>
      <c r="F417" s="305">
        <f>F400*C411*'Annexe - Logistique'!D26/10^6</f>
        <v>0.45924354789926602</v>
      </c>
      <c r="G417" s="306">
        <f>I401*C410*'Annexe - Logistique'!D26/10^6</f>
        <v>6.9240173691499152E-2</v>
      </c>
    </row>
    <row r="418" spans="2:7" ht="14.5" hidden="1" outlineLevel="2">
      <c r="B418" s="10" t="s">
        <v>552</v>
      </c>
      <c r="C418" s="305">
        <f>C410*E405*'Annexe - Logistique'!$D30/10^6</f>
        <v>1.1624999999999999E-3</v>
      </c>
      <c r="D418" s="305">
        <f>C410*E406*'Annexe - Logistique'!$D30/10^6</f>
        <v>1.1624999999999999E-3</v>
      </c>
      <c r="E418" s="305">
        <f>C410*J399*'Annexe - Logistique'!$D30/10^6</f>
        <v>1.1624999999999999E-3</v>
      </c>
      <c r="F418" s="305">
        <f>(G400*C411+J400*C410)*'Annexe - Logistique'!D30/10^6</f>
        <v>6.6122999999999998E-3</v>
      </c>
      <c r="G418" s="306">
        <f>J401*C410*'Annexe - Logistique'!D30/10^6</f>
        <v>1.1624999999999999E-3</v>
      </c>
    </row>
    <row r="419" spans="2:7" ht="15" hidden="1" outlineLevel="2" thickBot="1">
      <c r="B419" s="13" t="s">
        <v>2580</v>
      </c>
      <c r="C419" s="307">
        <f>SUM(C416:C418)</f>
        <v>0.11259693336327821</v>
      </c>
      <c r="D419" s="307">
        <f>SUM(D416:D418)</f>
        <v>0.16293357152355439</v>
      </c>
      <c r="E419" s="307">
        <f>SUM(E416:E418)</f>
        <v>1.7074799999999999E-3</v>
      </c>
      <c r="F419" s="307">
        <f>SUM(F416:F418)</f>
        <v>0.48020018549395893</v>
      </c>
      <c r="G419" s="308">
        <f>SUM(G416:G418)</f>
        <v>7.3567942599358269E-2</v>
      </c>
    </row>
    <row r="420" spans="2:7" hidden="1" outlineLevel="2"/>
    <row r="421" spans="2:7" hidden="1" outlineLevel="1" collapsed="1"/>
    <row r="422" spans="2:7" ht="18" hidden="1" outlineLevel="1">
      <c r="B422" s="258" t="s">
        <v>2581</v>
      </c>
    </row>
    <row r="423" spans="2:7" hidden="1" outlineLevel="1"/>
    <row r="424" spans="2:7" hidden="1" outlineLevel="2">
      <c r="B424" t="s">
        <v>2582</v>
      </c>
    </row>
    <row r="425" spans="2:7" ht="14.5" hidden="1" outlineLevel="2" thickBot="1">
      <c r="B425" s="1251" t="s">
        <v>2583</v>
      </c>
    </row>
    <row r="426" spans="2:7" ht="14.5" hidden="1" outlineLevel="2">
      <c r="B426" s="169"/>
      <c r="C426" s="158" t="s">
        <v>2570</v>
      </c>
      <c r="D426" s="159" t="s">
        <v>301</v>
      </c>
    </row>
    <row r="427" spans="2:7" ht="15" hidden="1" outlineLevel="2" thickBot="1">
      <c r="B427" s="13" t="s">
        <v>2571</v>
      </c>
      <c r="C427" s="1351">
        <f>10+C328</f>
        <v>15</v>
      </c>
      <c r="D427" s="1285" t="s">
        <v>2572</v>
      </c>
    </row>
    <row r="428" spans="2:7" hidden="1" outlineLevel="2"/>
    <row r="429" spans="2:7" ht="14.5" hidden="1" outlineLevel="2" thickBot="1">
      <c r="B429" t="s">
        <v>361</v>
      </c>
    </row>
    <row r="430" spans="2:7" ht="14.5" hidden="1" outlineLevel="2">
      <c r="B430" s="169"/>
      <c r="C430" s="158" t="s">
        <v>2584</v>
      </c>
      <c r="D430" s="159" t="s">
        <v>301</v>
      </c>
    </row>
    <row r="431" spans="2:7" ht="29.5" hidden="1" outlineLevel="2" thickBot="1">
      <c r="B431" s="13" t="s">
        <v>2585</v>
      </c>
      <c r="C431" s="98">
        <f>C427*'Annexe - Logistique'!C42</f>
        <v>3.8250000000000002</v>
      </c>
      <c r="D431" s="1285" t="s">
        <v>418</v>
      </c>
    </row>
    <row r="432" spans="2:7" hidden="1" outlineLevel="2"/>
    <row r="433" spans="2:5" hidden="1" outlineLevel="1" collapsed="1"/>
    <row r="434" spans="2:5" ht="18" hidden="1" outlineLevel="1">
      <c r="B434" s="258" t="s">
        <v>2586</v>
      </c>
    </row>
    <row r="435" spans="2:5" hidden="1" outlineLevel="1"/>
    <row r="436" spans="2:5" hidden="1" outlineLevel="1">
      <c r="B436" s="1251" t="s">
        <v>2587</v>
      </c>
    </row>
    <row r="437" spans="2:5" hidden="1" outlineLevel="1"/>
    <row r="438" spans="2:5" ht="14.5" hidden="1" outlineLevel="1" thickBot="1">
      <c r="B438" s="1251" t="s">
        <v>2588</v>
      </c>
    </row>
    <row r="439" spans="2:5" ht="14.5" hidden="1" outlineLevel="1">
      <c r="B439" s="123"/>
      <c r="C439" s="105"/>
      <c r="D439" s="105" t="s">
        <v>301</v>
      </c>
      <c r="E439" s="124" t="s">
        <v>70</v>
      </c>
    </row>
    <row r="440" spans="2:5" ht="14.5" hidden="1" outlineLevel="1">
      <c r="B440" s="10" t="s">
        <v>2589</v>
      </c>
      <c r="C440" s="21">
        <v>126</v>
      </c>
      <c r="D440" s="1266" t="s">
        <v>2590</v>
      </c>
      <c r="E440" s="100" t="s">
        <v>2408</v>
      </c>
    </row>
    <row r="441" spans="2:5" ht="14.5" hidden="1" outlineLevel="1">
      <c r="B441" s="10" t="s">
        <v>341</v>
      </c>
      <c r="C441" s="21">
        <v>157</v>
      </c>
      <c r="D441" s="1266" t="s">
        <v>2591</v>
      </c>
      <c r="E441" s="100" t="s">
        <v>2592</v>
      </c>
    </row>
    <row r="442" spans="2:5" ht="15" hidden="1" outlineLevel="1" thickBot="1">
      <c r="B442" s="13"/>
      <c r="C442" s="376">
        <f>68.9/104.8</f>
        <v>0.65744274809160308</v>
      </c>
      <c r="D442" s="1267" t="s">
        <v>2593</v>
      </c>
      <c r="E442" s="38"/>
    </row>
    <row r="443" spans="2:5" hidden="1" outlineLevel="1"/>
    <row r="444" spans="2:5" ht="14.5" hidden="1" outlineLevel="1" thickBot="1">
      <c r="B444" s="1251" t="s">
        <v>1110</v>
      </c>
    </row>
    <row r="445" spans="2:5" ht="14.5" hidden="1" outlineLevel="1">
      <c r="B445" s="182" t="s">
        <v>2594</v>
      </c>
      <c r="C445" s="205">
        <v>844</v>
      </c>
      <c r="D445" s="1360" t="s">
        <v>2595</v>
      </c>
      <c r="E445" s="1340" t="s">
        <v>2596</v>
      </c>
    </row>
    <row r="446" spans="2:5" ht="15" hidden="1" outlineLevel="1" thickBot="1">
      <c r="B446" s="13" t="s">
        <v>2597</v>
      </c>
      <c r="C446" s="22">
        <f>2140-384</f>
        <v>1756</v>
      </c>
      <c r="D446" s="1267" t="s">
        <v>2598</v>
      </c>
      <c r="E446" s="1285" t="s">
        <v>2599</v>
      </c>
    </row>
    <row r="447" spans="2:5" hidden="1" outlineLevel="1"/>
    <row r="448" spans="2:5" ht="14.5" hidden="1" outlineLevel="1" thickBot="1">
      <c r="B448" s="1251" t="s">
        <v>2600</v>
      </c>
    </row>
    <row r="449" spans="2:10" ht="29.5" hidden="1" outlineLevel="1" thickBot="1">
      <c r="B449" s="20" t="s">
        <v>2601</v>
      </c>
      <c r="C449" s="878">
        <f>C441*C442*C445/10^6 + C441*(1-C442)*C446/10^6</f>
        <v>0.18155671755725189</v>
      </c>
      <c r="D449" s="874" t="s">
        <v>2602</v>
      </c>
    </row>
    <row r="450" spans="2:10" hidden="1" outlineLevel="1"/>
    <row r="451" spans="2:10" collapsed="1"/>
    <row r="452" spans="2:10" ht="23.5">
      <c r="B452" s="2" t="s">
        <v>2603</v>
      </c>
    </row>
    <row r="454" spans="2:10" ht="18" hidden="1" outlineLevel="1">
      <c r="B454" s="258" t="s">
        <v>2604</v>
      </c>
    </row>
    <row r="455" spans="2:10" hidden="1" outlineLevel="1"/>
    <row r="456" spans="2:10" hidden="1" outlineLevel="2">
      <c r="B456" s="1251" t="s">
        <v>2605</v>
      </c>
    </row>
    <row r="457" spans="2:10" hidden="1" outlineLevel="2">
      <c r="B457" s="1251"/>
      <c r="F457" s="75"/>
      <c r="G457" s="76"/>
      <c r="H457" s="76"/>
    </row>
    <row r="458" spans="2:10" hidden="1" outlineLevel="2">
      <c r="B458" s="1251" t="s">
        <v>2606</v>
      </c>
      <c r="F458" s="75"/>
      <c r="G458" s="76"/>
      <c r="H458" s="76"/>
    </row>
    <row r="459" spans="2:10" hidden="1" outlineLevel="2">
      <c r="B459" s="1251" t="s">
        <v>2607</v>
      </c>
      <c r="F459" s="75"/>
      <c r="G459" s="76"/>
      <c r="H459" s="1347"/>
    </row>
    <row r="460" spans="2:10" hidden="1" outlineLevel="2">
      <c r="B460" s="1251"/>
    </row>
    <row r="461" spans="2:10" hidden="1" outlineLevel="2">
      <c r="B461" s="1251" t="s">
        <v>2608</v>
      </c>
    </row>
    <row r="462" spans="2:10" hidden="1" outlineLevel="2">
      <c r="B462" s="87" t="s">
        <v>2609</v>
      </c>
    </row>
    <row r="463" spans="2:10" ht="14.5" hidden="1" outlineLevel="2" thickBot="1">
      <c r="B463" s="1251" t="s">
        <v>2610</v>
      </c>
      <c r="G463" s="1251" t="s">
        <v>2611</v>
      </c>
    </row>
    <row r="464" spans="2:10" ht="56" hidden="1" outlineLevel="2">
      <c r="B464" s="273"/>
      <c r="C464" s="287" t="s">
        <v>2612</v>
      </c>
      <c r="D464" s="287" t="s">
        <v>2613</v>
      </c>
      <c r="E464" s="288" t="s">
        <v>2614</v>
      </c>
      <c r="G464" s="273"/>
      <c r="H464" s="287" t="s">
        <v>2612</v>
      </c>
      <c r="I464" s="287" t="s">
        <v>2613</v>
      </c>
      <c r="J464" s="288" t="s">
        <v>2614</v>
      </c>
    </row>
    <row r="465" spans="2:10" ht="28" hidden="1" outlineLevel="2">
      <c r="B465" s="276" t="s">
        <v>2615</v>
      </c>
      <c r="C465" s="180">
        <v>57.12</v>
      </c>
      <c r="D465" s="21">
        <f>14.2</f>
        <v>14.2</v>
      </c>
      <c r="E465" s="311">
        <f>D465/(C465+D465)</f>
        <v>0.19910263600673023</v>
      </c>
      <c r="G465" s="276" t="s">
        <v>2616</v>
      </c>
      <c r="H465" s="180">
        <v>9.33</v>
      </c>
      <c r="I465" s="21">
        <v>7.19</v>
      </c>
      <c r="J465" s="311">
        <f>I465/(H465+I465)</f>
        <v>0.43523002421307511</v>
      </c>
    </row>
    <row r="466" spans="2:10" hidden="1" outlineLevel="2">
      <c r="B466" s="276" t="s">
        <v>2617</v>
      </c>
      <c r="C466" s="168">
        <v>6.93</v>
      </c>
      <c r="D466" s="21">
        <v>50.19</v>
      </c>
      <c r="E466" s="311">
        <f>D466/(C466+D466)</f>
        <v>0.87867647058823528</v>
      </c>
      <c r="G466" s="276" t="s">
        <v>2618</v>
      </c>
      <c r="H466" s="168">
        <v>1.85</v>
      </c>
      <c r="I466" s="21">
        <v>5.81</v>
      </c>
      <c r="J466" s="311">
        <f t="shared" ref="J466:J471" si="0">I466/(H466+I466)</f>
        <v>0.75848563968668403</v>
      </c>
    </row>
    <row r="467" spans="2:10" ht="42.5" hidden="1" outlineLevel="2" thickBot="1">
      <c r="B467" s="281" t="s">
        <v>2619</v>
      </c>
      <c r="C467" s="18">
        <v>6.64</v>
      </c>
      <c r="D467" s="22">
        <v>2.52</v>
      </c>
      <c r="E467" s="313">
        <f>D467/(C467+D467)</f>
        <v>0.27510917030567683</v>
      </c>
      <c r="G467" s="276" t="s">
        <v>2620</v>
      </c>
      <c r="H467" s="180">
        <v>0.79</v>
      </c>
      <c r="I467" s="21">
        <v>0.16</v>
      </c>
      <c r="J467" s="311">
        <f t="shared" si="0"/>
        <v>0.16842105263157894</v>
      </c>
    </row>
    <row r="468" spans="2:10" ht="28" hidden="1" outlineLevel="2">
      <c r="B468" s="1251"/>
      <c r="G468" s="276" t="s">
        <v>2621</v>
      </c>
      <c r="H468" s="21">
        <v>3.4</v>
      </c>
      <c r="I468" s="21">
        <v>0</v>
      </c>
      <c r="J468" s="311">
        <f t="shared" si="0"/>
        <v>0</v>
      </c>
    </row>
    <row r="469" spans="2:10" hidden="1" outlineLevel="2">
      <c r="B469" s="1251"/>
      <c r="G469" s="276" t="s">
        <v>2622</v>
      </c>
      <c r="H469" s="21">
        <v>0.68</v>
      </c>
      <c r="I469" s="21">
        <v>0.89</v>
      </c>
      <c r="J469" s="311">
        <f t="shared" si="0"/>
        <v>0.56687898089171973</v>
      </c>
    </row>
    <row r="470" spans="2:10" ht="42" hidden="1" outlineLevel="2">
      <c r="B470" s="1251"/>
      <c r="G470" s="276" t="s">
        <v>2623</v>
      </c>
      <c r="H470" s="21">
        <v>5.25</v>
      </c>
      <c r="I470" s="21">
        <v>6.3</v>
      </c>
      <c r="J470" s="311">
        <f t="shared" si="0"/>
        <v>0.54545454545454541</v>
      </c>
    </row>
    <row r="471" spans="2:10" ht="42.5" hidden="1" outlineLevel="2" thickBot="1">
      <c r="B471" s="1251"/>
      <c r="G471" s="281" t="s">
        <v>2624</v>
      </c>
      <c r="H471" s="22">
        <v>0.2</v>
      </c>
      <c r="I471" s="22">
        <v>0</v>
      </c>
      <c r="J471" s="313">
        <f t="shared" si="0"/>
        <v>0</v>
      </c>
    </row>
    <row r="472" spans="2:10" hidden="1" outlineLevel="2"/>
    <row r="473" spans="2:10" hidden="1" outlineLevel="2">
      <c r="B473" s="1251" t="s">
        <v>2625</v>
      </c>
      <c r="C473" s="1251"/>
      <c r="D473" s="1251"/>
    </row>
    <row r="474" spans="2:10" ht="14.5" hidden="1" outlineLevel="2" thickBot="1">
      <c r="B474" s="1251"/>
      <c r="C474" s="1251"/>
      <c r="D474" s="1251"/>
      <c r="F474" s="1251"/>
    </row>
    <row r="475" spans="2:10" ht="28" hidden="1" outlineLevel="2">
      <c r="B475" s="273"/>
      <c r="C475" s="288" t="s">
        <v>2612</v>
      </c>
    </row>
    <row r="476" spans="2:10" hidden="1" outlineLevel="2">
      <c r="B476" s="276" t="s">
        <v>2626</v>
      </c>
      <c r="C476" s="131">
        <v>8.6</v>
      </c>
    </row>
    <row r="477" spans="2:10" hidden="1" outlineLevel="2">
      <c r="B477" s="276" t="s">
        <v>2627</v>
      </c>
      <c r="C477" s="132">
        <v>0.57999999999999996</v>
      </c>
    </row>
    <row r="478" spans="2:10" hidden="1" outlineLevel="2">
      <c r="B478" s="276" t="s">
        <v>2628</v>
      </c>
      <c r="C478" s="131">
        <v>15.07</v>
      </c>
    </row>
    <row r="479" spans="2:10" ht="28.5" hidden="1" outlineLevel="2" thickBot="1">
      <c r="B479" s="281" t="s">
        <v>2629</v>
      </c>
      <c r="C479" s="38">
        <v>6.6</v>
      </c>
    </row>
    <row r="480" spans="2:10" hidden="1" outlineLevel="2">
      <c r="B480" s="1251"/>
    </row>
    <row r="481" spans="2:6" ht="14.5" hidden="1" outlineLevel="2" thickBot="1">
      <c r="B481" s="1251" t="s">
        <v>2630</v>
      </c>
      <c r="F481" s="1347"/>
    </row>
    <row r="482" spans="2:6" ht="28" hidden="1" outlineLevel="2">
      <c r="B482" s="273"/>
      <c r="C482" s="286" t="s">
        <v>70</v>
      </c>
      <c r="D482" s="287" t="s">
        <v>2631</v>
      </c>
      <c r="E482" s="286" t="s">
        <v>301</v>
      </c>
    </row>
    <row r="483" spans="2:6" ht="14.5" hidden="1" outlineLevel="2" thickBot="1">
      <c r="B483" s="281" t="s">
        <v>2632</v>
      </c>
      <c r="C483" s="114" t="s">
        <v>2633</v>
      </c>
      <c r="D483" s="1351">
        <v>8.31</v>
      </c>
      <c r="E483" s="1285" t="s">
        <v>659</v>
      </c>
    </row>
    <row r="484" spans="2:6" hidden="1" outlineLevel="2">
      <c r="B484" s="794" t="s">
        <v>2634</v>
      </c>
      <c r="C484" s="1362" t="s">
        <v>2635</v>
      </c>
    </row>
    <row r="485" spans="2:6" hidden="1" outlineLevel="2">
      <c r="B485" s="276" t="s">
        <v>2636</v>
      </c>
      <c r="C485" s="1283" t="s">
        <v>2635</v>
      </c>
    </row>
    <row r="486" spans="2:6" hidden="1" outlineLevel="2">
      <c r="B486" s="276" t="s">
        <v>2637</v>
      </c>
      <c r="C486" s="1283" t="s">
        <v>2635</v>
      </c>
    </row>
    <row r="487" spans="2:6" hidden="1" outlineLevel="2">
      <c r="B487" s="276" t="s">
        <v>2638</v>
      </c>
      <c r="C487" s="1283" t="s">
        <v>2635</v>
      </c>
    </row>
    <row r="488" spans="2:6" ht="14.5" hidden="1" outlineLevel="2" thickBot="1">
      <c r="B488" s="281" t="s">
        <v>2639</v>
      </c>
      <c r="C488" s="1285" t="s">
        <v>2635</v>
      </c>
    </row>
    <row r="489" spans="2:6" hidden="1" outlineLevel="2"/>
    <row r="490" spans="2:6" ht="14.5" hidden="1" outlineLevel="2" thickBot="1">
      <c r="B490" s="1251" t="s">
        <v>2640</v>
      </c>
    </row>
    <row r="491" spans="2:6" ht="28" hidden="1" outlineLevel="2">
      <c r="B491" s="273"/>
      <c r="C491" s="287" t="s">
        <v>2641</v>
      </c>
      <c r="D491" s="287" t="s">
        <v>2642</v>
      </c>
      <c r="E491" s="288" t="s">
        <v>301</v>
      </c>
    </row>
    <row r="492" spans="2:6" hidden="1" outlineLevel="2">
      <c r="B492" s="276" t="s">
        <v>2643</v>
      </c>
      <c r="C492" s="94">
        <v>1.1403980119293244</v>
      </c>
      <c r="D492" s="94">
        <v>0.23788546913455855</v>
      </c>
      <c r="E492" s="1283" t="s">
        <v>2119</v>
      </c>
    </row>
    <row r="493" spans="2:6" hidden="1" outlineLevel="2">
      <c r="B493" s="276" t="s">
        <v>86</v>
      </c>
      <c r="C493" s="94">
        <v>0.15023191797267066</v>
      </c>
      <c r="D493" s="1294">
        <v>0.15023191797267066</v>
      </c>
      <c r="E493" s="1283" t="s">
        <v>2119</v>
      </c>
    </row>
    <row r="494" spans="2:6" hidden="1" outlineLevel="2">
      <c r="B494" s="515" t="s">
        <v>2329</v>
      </c>
      <c r="C494" s="769">
        <f>2*$C$197</f>
        <v>0.13086075328862828</v>
      </c>
      <c r="D494" s="769">
        <f>2*$C$197</f>
        <v>0.13086075328862828</v>
      </c>
      <c r="E494" s="1283" t="s">
        <v>2119</v>
      </c>
    </row>
    <row r="495" spans="2:6" ht="14.5" hidden="1" outlineLevel="2" thickBot="1">
      <c r="B495" s="281" t="s">
        <v>83</v>
      </c>
      <c r="C495" s="99">
        <f>C493+C492</f>
        <v>1.290629929901995</v>
      </c>
      <c r="D495" s="99">
        <f>D493+D492</f>
        <v>0.38811738710722921</v>
      </c>
      <c r="E495" s="1285" t="s">
        <v>2119</v>
      </c>
    </row>
    <row r="496" spans="2:6" hidden="1" outlineLevel="2"/>
    <row r="497" spans="2:6" hidden="1" outlineLevel="1" collapsed="1"/>
    <row r="498" spans="2:6" ht="18" hidden="1" outlineLevel="1">
      <c r="B498" s="258" t="s">
        <v>2428</v>
      </c>
    </row>
    <row r="499" spans="2:6" hidden="1" outlineLevel="1">
      <c r="B499" s="1251"/>
      <c r="C499" s="1251"/>
    </row>
    <row r="500" spans="2:6" hidden="1" outlineLevel="2">
      <c r="B500" s="1251" t="s">
        <v>2644</v>
      </c>
    </row>
    <row r="501" spans="2:6" hidden="1" outlineLevel="2">
      <c r="B501" s="1251"/>
      <c r="F501" s="75"/>
    </row>
    <row r="502" spans="2:6" hidden="1" outlineLevel="2">
      <c r="B502" s="1251" t="s">
        <v>2645</v>
      </c>
    </row>
    <row r="503" spans="2:6" hidden="1" outlineLevel="2">
      <c r="B503" s="87" t="s">
        <v>2418</v>
      </c>
    </row>
    <row r="504" spans="2:6" ht="14.5" hidden="1" outlineLevel="2" thickBot="1">
      <c r="B504" s="1251" t="s">
        <v>2646</v>
      </c>
    </row>
    <row r="505" spans="2:6" ht="28" hidden="1" outlineLevel="2">
      <c r="B505" s="273"/>
      <c r="C505" s="287" t="s">
        <v>2647</v>
      </c>
      <c r="D505" s="288" t="s">
        <v>301</v>
      </c>
    </row>
    <row r="506" spans="2:6" hidden="1" outlineLevel="2">
      <c r="B506" s="276" t="s">
        <v>2641</v>
      </c>
      <c r="C506" s="168">
        <v>3.16</v>
      </c>
      <c r="D506" s="17" t="s">
        <v>416</v>
      </c>
    </row>
    <row r="507" spans="2:6" hidden="1" outlineLevel="2">
      <c r="B507" s="276" t="s">
        <v>2642</v>
      </c>
      <c r="C507" s="168">
        <v>0.57999999999999996</v>
      </c>
      <c r="D507" s="17" t="s">
        <v>416</v>
      </c>
    </row>
    <row r="508" spans="2:6" hidden="1" outlineLevel="2">
      <c r="B508" s="276" t="s">
        <v>2648</v>
      </c>
      <c r="C508" s="1302">
        <v>0.16600000000000001</v>
      </c>
      <c r="D508" s="17" t="s">
        <v>416</v>
      </c>
    </row>
    <row r="509" spans="2:6" hidden="1" outlineLevel="2">
      <c r="B509" s="276" t="s">
        <v>2649</v>
      </c>
      <c r="C509" s="1302">
        <v>0.17399999999999999</v>
      </c>
      <c r="D509" s="17" t="s">
        <v>416</v>
      </c>
    </row>
    <row r="510" spans="2:6" ht="14.5" hidden="1" outlineLevel="2" thickBot="1">
      <c r="B510" s="281" t="s">
        <v>2650</v>
      </c>
      <c r="C510" s="1299">
        <v>1.43</v>
      </c>
      <c r="D510" s="38" t="s">
        <v>416</v>
      </c>
      <c r="E510" s="1251" t="s">
        <v>2651</v>
      </c>
    </row>
    <row r="511" spans="2:6" hidden="1" outlineLevel="2">
      <c r="B511" s="1251"/>
      <c r="C511" s="1251"/>
    </row>
    <row r="512" spans="2:6" hidden="1" outlineLevel="2">
      <c r="B512" s="1251" t="s">
        <v>2652</v>
      </c>
      <c r="C512" s="1251"/>
    </row>
    <row r="513" spans="2:9" hidden="1" outlineLevel="2">
      <c r="B513" s="1251" t="s">
        <v>2653</v>
      </c>
      <c r="C513" s="1251"/>
    </row>
    <row r="514" spans="2:9" hidden="1" outlineLevel="2">
      <c r="C514" s="1251"/>
    </row>
    <row r="515" spans="2:9" ht="14.5" hidden="1" outlineLevel="2" thickBot="1">
      <c r="B515" s="1251" t="s">
        <v>2654</v>
      </c>
      <c r="C515" s="1251"/>
    </row>
    <row r="516" spans="2:9" ht="28" hidden="1" outlineLevel="2">
      <c r="B516" s="273"/>
      <c r="C516" s="287" t="s">
        <v>2641</v>
      </c>
      <c r="D516" s="287" t="s">
        <v>2642</v>
      </c>
      <c r="E516" s="288" t="s">
        <v>301</v>
      </c>
    </row>
    <row r="517" spans="2:9" ht="42.5" hidden="1" outlineLevel="2" thickBot="1">
      <c r="B517" s="281" t="s">
        <v>2655</v>
      </c>
      <c r="C517" s="99">
        <v>3.1960680808848889</v>
      </c>
      <c r="D517" s="316">
        <v>0.74401857604376209</v>
      </c>
      <c r="E517" s="108" t="s">
        <v>2119</v>
      </c>
    </row>
    <row r="518" spans="2:9" hidden="1" outlineLevel="2">
      <c r="B518" s="1251"/>
      <c r="C518" s="1251"/>
    </row>
    <row r="519" spans="2:9" hidden="1" outlineLevel="1" collapsed="1"/>
    <row r="520" spans="2:9" ht="18" hidden="1" outlineLevel="1">
      <c r="B520" s="258" t="s">
        <v>2464</v>
      </c>
    </row>
    <row r="521" spans="2:9" hidden="1" outlineLevel="1">
      <c r="B521" s="1251"/>
    </row>
    <row r="522" spans="2:9" hidden="1" outlineLevel="2">
      <c r="B522" s="1251" t="s">
        <v>2465</v>
      </c>
      <c r="C522" s="1251"/>
    </row>
    <row r="523" spans="2:9" hidden="1" outlineLevel="2">
      <c r="B523" s="1251"/>
      <c r="C523" s="1251"/>
    </row>
    <row r="524" spans="2:9" hidden="1" outlineLevel="2">
      <c r="B524" s="1251" t="s">
        <v>2656</v>
      </c>
      <c r="E524" s="40"/>
      <c r="F524" s="40"/>
      <c r="G524" s="40"/>
      <c r="I524" s="40"/>
    </row>
    <row r="525" spans="2:9" ht="14.5" hidden="1" outlineLevel="2" thickBot="1"/>
    <row r="526" spans="2:9" hidden="1" outlineLevel="2">
      <c r="B526" s="273"/>
      <c r="C526" s="287" t="s">
        <v>2657</v>
      </c>
      <c r="D526" s="288" t="s">
        <v>2658</v>
      </c>
    </row>
    <row r="527" spans="2:9" hidden="1" outlineLevel="2">
      <c r="B527" s="276" t="s">
        <v>70</v>
      </c>
      <c r="C527" s="317" t="s">
        <v>2659</v>
      </c>
      <c r="D527" s="318" t="s">
        <v>2660</v>
      </c>
    </row>
    <row r="528" spans="2:9" ht="28" hidden="1" outlineLevel="2">
      <c r="B528" s="276" t="s">
        <v>2661</v>
      </c>
      <c r="C528" s="1266">
        <v>5</v>
      </c>
      <c r="D528" s="17">
        <v>4.5</v>
      </c>
    </row>
    <row r="529" spans="2:5" hidden="1" outlineLevel="2">
      <c r="B529" s="276" t="s">
        <v>2107</v>
      </c>
      <c r="C529" s="1354">
        <v>10000</v>
      </c>
      <c r="D529" s="12">
        <v>6879.66</v>
      </c>
    </row>
    <row r="530" spans="2:5" ht="42.5" hidden="1" outlineLevel="2" thickBot="1">
      <c r="B530" s="281" t="s">
        <v>2662</v>
      </c>
      <c r="C530" s="1325">
        <f>C529/(1000*C528)</f>
        <v>2</v>
      </c>
      <c r="D530" s="1269">
        <f>D529/(1000*D528)</f>
        <v>1.5288133333333334</v>
      </c>
    </row>
    <row r="531" spans="2:5" hidden="1" outlineLevel="2">
      <c r="B531" s="1251"/>
    </row>
    <row r="532" spans="2:5" ht="14.5" hidden="1" outlineLevel="2" thickBot="1">
      <c r="B532" s="1251" t="s">
        <v>2109</v>
      </c>
    </row>
    <row r="533" spans="2:5" ht="14.5" hidden="1" outlineLevel="2">
      <c r="B533" s="4"/>
      <c r="C533" s="5"/>
      <c r="D533" s="5" t="s">
        <v>301</v>
      </c>
      <c r="E533" s="6" t="s">
        <v>70</v>
      </c>
    </row>
    <row r="534" spans="2:5" ht="15" hidden="1" outlineLevel="2" thickBot="1">
      <c r="B534" s="13" t="s">
        <v>1063</v>
      </c>
      <c r="C534" s="249">
        <v>825</v>
      </c>
      <c r="D534" s="1267" t="s">
        <v>1064</v>
      </c>
      <c r="E534" s="1285" t="s">
        <v>1065</v>
      </c>
    </row>
    <row r="535" spans="2:5" hidden="1" outlineLevel="2"/>
    <row r="536" spans="2:5" hidden="1" outlineLevel="2">
      <c r="B536" s="1251" t="s">
        <v>2110</v>
      </c>
    </row>
    <row r="537" spans="2:5" hidden="1" outlineLevel="2">
      <c r="B537" s="1251"/>
    </row>
    <row r="538" spans="2:5" ht="14.5" hidden="1" outlineLevel="2" thickBot="1">
      <c r="B538" s="1251" t="s">
        <v>1067</v>
      </c>
    </row>
    <row r="539" spans="2:5" ht="14.5" hidden="1" outlineLevel="2">
      <c r="B539" s="4"/>
      <c r="C539" s="5" t="s">
        <v>69</v>
      </c>
      <c r="D539" s="6" t="s">
        <v>301</v>
      </c>
    </row>
    <row r="540" spans="2:5" ht="44" hidden="1" outlineLevel="2" thickBot="1">
      <c r="B540" s="13" t="s">
        <v>2663</v>
      </c>
      <c r="C540" s="99">
        <f>(AVERAGE(C530:D530)/1000)*C534/25</f>
        <v>5.8225419999999993E-2</v>
      </c>
      <c r="D540" s="199" t="s">
        <v>2119</v>
      </c>
    </row>
    <row r="541" spans="2:5" hidden="1" outlineLevel="2">
      <c r="B541" s="1251"/>
    </row>
    <row r="542" spans="2:5" hidden="1" outlineLevel="1" collapsed="1">
      <c r="B542" s="1251"/>
    </row>
    <row r="543" spans="2:5" ht="18" hidden="1" outlineLevel="1">
      <c r="B543" s="258" t="s">
        <v>522</v>
      </c>
    </row>
    <row r="544" spans="2:5" hidden="1" outlineLevel="1"/>
    <row r="545" spans="2:17" hidden="1" outlineLevel="2">
      <c r="B545" s="3" t="s">
        <v>523</v>
      </c>
    </row>
    <row r="546" spans="2:17" ht="14.5" hidden="1" outlineLevel="2" thickBot="1">
      <c r="B546" s="1251" t="s">
        <v>2664</v>
      </c>
    </row>
    <row r="547" spans="2:17" ht="29" hidden="1" outlineLevel="2">
      <c r="B547" s="169" t="s">
        <v>2355</v>
      </c>
      <c r="C547" s="158" t="s">
        <v>526</v>
      </c>
      <c r="D547" s="158" t="s">
        <v>165</v>
      </c>
      <c r="E547" s="158" t="s">
        <v>175</v>
      </c>
      <c r="F547" s="158" t="s">
        <v>163</v>
      </c>
      <c r="G547" s="158" t="s">
        <v>169</v>
      </c>
      <c r="H547" s="158" t="s">
        <v>161</v>
      </c>
      <c r="I547" s="158" t="s">
        <v>153</v>
      </c>
      <c r="J547" s="158" t="s">
        <v>171</v>
      </c>
      <c r="K547" s="158" t="s">
        <v>527</v>
      </c>
      <c r="L547" s="158" t="s">
        <v>167</v>
      </c>
      <c r="M547" s="158" t="s">
        <v>173</v>
      </c>
      <c r="N547" s="158" t="s">
        <v>159</v>
      </c>
      <c r="O547" s="158" t="s">
        <v>154</v>
      </c>
      <c r="P547" s="158" t="s">
        <v>157</v>
      </c>
      <c r="Q547" s="159" t="s">
        <v>83</v>
      </c>
    </row>
    <row r="548" spans="2:17" hidden="1" outlineLevel="2">
      <c r="B548" s="276" t="s">
        <v>2665</v>
      </c>
      <c r="C548" s="21">
        <v>90031100</v>
      </c>
      <c r="D548" s="115">
        <v>4.7905828638295988E-7</v>
      </c>
      <c r="E548" s="115">
        <v>1.5569394307446195E-3</v>
      </c>
      <c r="F548" s="115">
        <v>5.3293637499149671E-3</v>
      </c>
      <c r="G548" s="115">
        <v>5.5650604268153836E-5</v>
      </c>
      <c r="H548" s="115">
        <v>2.7100247417636308E-2</v>
      </c>
      <c r="I548" s="115">
        <v>0.75333680065075281</v>
      </c>
      <c r="J548" s="115">
        <v>2.3952914319147994E-7</v>
      </c>
      <c r="K548" s="115">
        <v>1.3978920796654769E-3</v>
      </c>
      <c r="L548" s="115">
        <v>2.125110542699583E-2</v>
      </c>
      <c r="M548" s="115">
        <v>5.7167622175033209E-4</v>
      </c>
      <c r="N548" s="115">
        <v>1.5515101034989458E-3</v>
      </c>
      <c r="O548" s="115">
        <v>0.18496735856522681</v>
      </c>
      <c r="P548" s="115">
        <v>2.8807371621161985E-3</v>
      </c>
      <c r="Q548" s="320">
        <f>SUM(D548:P548)</f>
        <v>1</v>
      </c>
    </row>
    <row r="549" spans="2:17" ht="28.5" hidden="1" outlineLevel="2" thickBot="1">
      <c r="B549" s="281" t="s">
        <v>2666</v>
      </c>
      <c r="C549" s="22">
        <v>90031900</v>
      </c>
      <c r="D549" s="157">
        <v>5.4326757596723937E-7</v>
      </c>
      <c r="E549" s="157">
        <v>6.5968205653164787E-6</v>
      </c>
      <c r="F549" s="157">
        <v>1.7424143354343559E-3</v>
      </c>
      <c r="G549" s="157">
        <v>3.7229350884497819E-4</v>
      </c>
      <c r="H549" s="157">
        <v>6.8812599461621831E-3</v>
      </c>
      <c r="I549" s="157">
        <v>0.81934102419131716</v>
      </c>
      <c r="J549" s="157">
        <v>2.879318152626369E-5</v>
      </c>
      <c r="K549" s="157">
        <v>1.8948396953200216E-3</v>
      </c>
      <c r="L549" s="157">
        <v>2.3293062977517646E-2</v>
      </c>
      <c r="M549" s="157">
        <v>1.8762909880834257E-3</v>
      </c>
      <c r="N549" s="157">
        <v>2.9134664002585951E-4</v>
      </c>
      <c r="O549" s="157">
        <v>0.14419671874145082</v>
      </c>
      <c r="P549" s="157">
        <v>7.4815706176059829E-5</v>
      </c>
      <c r="Q549" s="321">
        <f>SUM(D549:P549)</f>
        <v>1</v>
      </c>
    </row>
    <row r="550" spans="2:17" hidden="1" outlineLevel="2"/>
    <row r="551" spans="2:17" hidden="1" outlineLevel="2">
      <c r="B551" s="1251" t="s">
        <v>2667</v>
      </c>
    </row>
    <row r="552" spans="2:17" hidden="1" outlineLevel="2"/>
    <row r="553" spans="2:17" ht="14.5" hidden="1" outlineLevel="2" thickBot="1">
      <c r="B553" s="1251" t="s">
        <v>2668</v>
      </c>
    </row>
    <row r="554" spans="2:17" ht="29" hidden="1" outlineLevel="2">
      <c r="B554" s="169"/>
      <c r="C554" s="158" t="s">
        <v>2669</v>
      </c>
      <c r="D554" s="159" t="s">
        <v>2670</v>
      </c>
    </row>
    <row r="555" spans="2:17" ht="42" hidden="1" outlineLevel="2">
      <c r="B555" s="276" t="s">
        <v>2671</v>
      </c>
      <c r="C555" s="536">
        <v>0.34</v>
      </c>
      <c r="D555" s="320">
        <v>0.66</v>
      </c>
    </row>
    <row r="556" spans="2:17" ht="42.5" hidden="1" outlineLevel="2" thickBot="1">
      <c r="B556" s="281" t="s">
        <v>2672</v>
      </c>
      <c r="C556" s="304">
        <v>0.23</v>
      </c>
      <c r="D556" s="321">
        <v>0.77</v>
      </c>
    </row>
    <row r="557" spans="2:17" hidden="1" outlineLevel="2">
      <c r="B557" s="1251"/>
      <c r="I557" s="3" t="s">
        <v>2673</v>
      </c>
      <c r="K557" s="1251"/>
    </row>
    <row r="558" spans="2:17" hidden="1" outlineLevel="2">
      <c r="B558" s="1251" t="s">
        <v>2674</v>
      </c>
      <c r="I558" s="87" t="s">
        <v>2675</v>
      </c>
    </row>
    <row r="559" spans="2:17" ht="14.5" hidden="1" outlineLevel="2" thickBot="1">
      <c r="L559" t="s">
        <v>2676</v>
      </c>
    </row>
    <row r="560" spans="2:17" ht="14.5" hidden="1" outlineLevel="2">
      <c r="B560" s="123"/>
      <c r="C560" s="118" t="s">
        <v>2641</v>
      </c>
      <c r="D560" s="118" t="s">
        <v>2677</v>
      </c>
      <c r="E560" s="119" t="s">
        <v>301</v>
      </c>
      <c r="L560" t="s">
        <v>2678</v>
      </c>
    </row>
    <row r="561" spans="2:13" ht="29" hidden="1" outlineLevel="2">
      <c r="B561" s="10" t="s">
        <v>2679</v>
      </c>
      <c r="C561" s="180">
        <f>SUM(C465:C467)+SUM(C476:C479) + 8</f>
        <v>109.53999999999999</v>
      </c>
      <c r="D561" s="322">
        <f>SUM(H465:H471)+SUM(C476:C479) + 8</f>
        <v>60.35</v>
      </c>
      <c r="E561" s="1283" t="s">
        <v>420</v>
      </c>
      <c r="L561" t="s">
        <v>2680</v>
      </c>
    </row>
    <row r="562" spans="2:13" ht="29" hidden="1" outlineLevel="2">
      <c r="B562" s="10" t="s">
        <v>550</v>
      </c>
      <c r="C562" s="94">
        <f>('Annexe - Logistique'!D29*C561*SUMPRODUCT(D548:P548,'Annexe - Logistique'!D12:P12)*0.95 + 0.05 * 'Annexe - Logistique'!Q12)/10^6</f>
        <v>2.1186301978828495E-2</v>
      </c>
      <c r="D562" s="323">
        <f>('Annexe - Logistique'!D29*D561*SUMPRODUCT(D549:P549,'Annexe - Logistique'!D12:P12)*0.95 + 0.05 * 'Annexe - Logistique'!Q12)/10^6</f>
        <v>1.1664019945445574E-2</v>
      </c>
      <c r="E562" s="1283" t="s">
        <v>2119</v>
      </c>
      <c r="L562" t="s">
        <v>2681</v>
      </c>
    </row>
    <row r="563" spans="2:13" ht="14.5" hidden="1" outlineLevel="2">
      <c r="B563" s="10" t="s">
        <v>2682</v>
      </c>
      <c r="C563" s="1294">
        <f>C555*('Annexe - Logistique'!D28*C561*SUMPRODUCT(D548:N548,'Annexe - Logistique'!D13:N13)*0.95)/10^6</f>
        <v>2.4306540813501743E-2</v>
      </c>
      <c r="D563" s="94">
        <f>C556*('Annexe - Logistique'!D28*D561*SUMPRODUCT(D548:N548,'Annexe - Logistique'!D13:N13)*0.95)/10^6</f>
        <v>9.0589239429542529E-3</v>
      </c>
      <c r="E563" s="1283" t="s">
        <v>2119</v>
      </c>
      <c r="L563" s="1203">
        <f>151716/112000</f>
        <v>1.3546071428571429</v>
      </c>
      <c r="M563" s="3" t="s">
        <v>2683</v>
      </c>
    </row>
    <row r="564" spans="2:13" ht="14.5" hidden="1" outlineLevel="2">
      <c r="B564" s="10" t="s">
        <v>653</v>
      </c>
      <c r="C564" s="94">
        <f>D555*('Annexe - Logistique'!D26*C561*SUMPRODUCT(D548:P548,'Annexe - Logistique'!D16:P16)*0.95)/10^6</f>
        <v>0.64426457207646248</v>
      </c>
      <c r="D564" s="94">
        <f>D556*('Annexe - Logistique'!D26*D561*SUMPRODUCT(D548:P548,'Annexe - Logistique'!D16:P16)*0.95)/10^6</f>
        <v>0.41410986621888746</v>
      </c>
      <c r="E564" s="1283" t="s">
        <v>2119</v>
      </c>
      <c r="G564" s="1251"/>
      <c r="L564" s="1203">
        <f>82595/710000</f>
        <v>0.11633098591549296</v>
      </c>
      <c r="M564" s="3" t="s">
        <v>2602</v>
      </c>
    </row>
    <row r="565" spans="2:13" ht="14.5" hidden="1" outlineLevel="2">
      <c r="B565" s="10" t="s">
        <v>552</v>
      </c>
      <c r="C565" s="94">
        <f>500*C561*'Annexe - Logistique'!D30/10^6</f>
        <v>8.4893499999999979E-3</v>
      </c>
      <c r="D565" s="94">
        <f>500*D561*'Annexe - Logistique'!D30/10^6</f>
        <v>4.6771249999999999E-3</v>
      </c>
      <c r="E565" s="1283" t="s">
        <v>2119</v>
      </c>
      <c r="L565" s="1251" t="s">
        <v>2684</v>
      </c>
    </row>
    <row r="566" spans="2:13" ht="15" hidden="1" outlineLevel="2" thickBot="1">
      <c r="B566" s="13" t="s">
        <v>2580</v>
      </c>
      <c r="C566" s="324">
        <f>SUM(C562:C565)</f>
        <v>0.69824676486879267</v>
      </c>
      <c r="D566" s="324">
        <f>SUM(D562:D565)</f>
        <v>0.43950993510728731</v>
      </c>
      <c r="E566" s="1285" t="s">
        <v>2119</v>
      </c>
    </row>
    <row r="567" spans="2:13" hidden="1" outlineLevel="2"/>
    <row r="568" spans="2:13" hidden="1" outlineLevel="1" collapsed="1"/>
    <row r="569" spans="2:13" ht="18" hidden="1" outlineLevel="1">
      <c r="B569" s="258" t="s">
        <v>2685</v>
      </c>
    </row>
    <row r="570" spans="2:13" hidden="1" outlineLevel="1"/>
    <row r="571" spans="2:13" hidden="1" outlineLevel="2">
      <c r="B571" t="s">
        <v>2582</v>
      </c>
    </row>
    <row r="572" spans="2:13" ht="14.5" hidden="1" outlineLevel="2" thickBot="1">
      <c r="B572" s="1251" t="s">
        <v>2583</v>
      </c>
    </row>
    <row r="573" spans="2:13" ht="14.5" hidden="1" outlineLevel="2">
      <c r="B573" s="169"/>
      <c r="C573" s="158" t="s">
        <v>2570</v>
      </c>
      <c r="D573" s="159" t="s">
        <v>301</v>
      </c>
    </row>
    <row r="574" spans="2:13" ht="15" hidden="1" outlineLevel="2" thickBot="1">
      <c r="B574" s="13" t="s">
        <v>2686</v>
      </c>
      <c r="C574" s="1351">
        <f>AVERAGE(C561,D561)</f>
        <v>84.944999999999993</v>
      </c>
      <c r="D574" s="1285" t="s">
        <v>2572</v>
      </c>
    </row>
    <row r="575" spans="2:13" hidden="1" outlineLevel="2"/>
    <row r="576" spans="2:13" ht="14.5" hidden="1" outlineLevel="2" thickBot="1">
      <c r="B576" t="s">
        <v>361</v>
      </c>
    </row>
    <row r="577" spans="2:5" ht="14.5" hidden="1" outlineLevel="2">
      <c r="B577" s="169"/>
      <c r="C577" s="158" t="s">
        <v>2584</v>
      </c>
      <c r="D577" s="159" t="s">
        <v>301</v>
      </c>
    </row>
    <row r="578" spans="2:5" ht="29.5" hidden="1" outlineLevel="2" thickBot="1">
      <c r="B578" s="13" t="s">
        <v>2585</v>
      </c>
      <c r="C578" s="1007">
        <f>C574*'Annexe - Logistique'!C42</f>
        <v>21.660974999999997</v>
      </c>
      <c r="D578" s="1285" t="s">
        <v>418</v>
      </c>
    </row>
    <row r="579" spans="2:5" hidden="1" outlineLevel="2"/>
    <row r="580" spans="2:5" hidden="1" outlineLevel="1" collapsed="1"/>
    <row r="581" spans="2:5" ht="18" hidden="1" outlineLevel="1">
      <c r="B581" s="258" t="s">
        <v>2687</v>
      </c>
    </row>
    <row r="582" spans="2:5" hidden="1" outlineLevel="1"/>
    <row r="583" spans="2:5" hidden="1" outlineLevel="1">
      <c r="B583" s="1251" t="s">
        <v>2587</v>
      </c>
    </row>
    <row r="584" spans="2:5" hidden="1" outlineLevel="1"/>
    <row r="585" spans="2:5" ht="14.5" hidden="1" outlineLevel="1" thickBot="1">
      <c r="B585" s="1251" t="s">
        <v>2688</v>
      </c>
    </row>
    <row r="586" spans="2:5" ht="14.5" hidden="1" outlineLevel="1">
      <c r="B586" s="123"/>
      <c r="C586" s="105"/>
      <c r="D586" s="124" t="s">
        <v>301</v>
      </c>
    </row>
    <row r="587" spans="2:5" ht="14.5" hidden="1" outlineLevel="1">
      <c r="B587" s="10" t="s">
        <v>2689</v>
      </c>
      <c r="C587" s="21">
        <f>AVERAGE(SUM(D465:D467),SUM(I465:I471))</f>
        <v>43.629999999999995</v>
      </c>
      <c r="D587" s="1283" t="s">
        <v>2690</v>
      </c>
    </row>
    <row r="588" spans="2:5" ht="15" hidden="1" outlineLevel="1" thickBot="1">
      <c r="B588" s="13" t="s">
        <v>2691</v>
      </c>
      <c r="C588" s="879">
        <f>AVERAGE(SUM(C465:C467),SUM(H465:H471))+SUM(C476:C479)</f>
        <v>76.944999999999993</v>
      </c>
      <c r="D588" s="1285" t="s">
        <v>2690</v>
      </c>
    </row>
    <row r="589" spans="2:5" hidden="1" outlineLevel="1"/>
    <row r="590" spans="2:5" ht="14.5" hidden="1" outlineLevel="1" thickBot="1">
      <c r="B590" s="1251" t="s">
        <v>1110</v>
      </c>
    </row>
    <row r="591" spans="2:5" ht="15" hidden="1" outlineLevel="1" thickBot="1">
      <c r="B591" s="20" t="s">
        <v>2692</v>
      </c>
      <c r="C591" s="731">
        <f>2140-384</f>
        <v>1756</v>
      </c>
      <c r="D591" s="1363" t="s">
        <v>2595</v>
      </c>
      <c r="E591" s="1305" t="s">
        <v>2599</v>
      </c>
    </row>
    <row r="592" spans="2:5" hidden="1" outlineLevel="1"/>
    <row r="593" spans="2:4" ht="14.5" hidden="1" outlineLevel="1" thickBot="1">
      <c r="B593" s="1251" t="s">
        <v>2600</v>
      </c>
    </row>
    <row r="594" spans="2:4" ht="29.5" hidden="1" outlineLevel="1" thickBot="1">
      <c r="B594" s="20" t="s">
        <v>2601</v>
      </c>
      <c r="C594" s="878">
        <f>(C587+C588)*C591/10^6</f>
        <v>0.21172969999999999</v>
      </c>
      <c r="D594" s="874" t="s">
        <v>2683</v>
      </c>
    </row>
    <row r="595" spans="2:4" collapsed="1"/>
    <row r="596" spans="2:4" ht="23.5">
      <c r="B596" s="2" t="s">
        <v>2693</v>
      </c>
    </row>
    <row r="598" spans="2:4" ht="18" hidden="1" outlineLevel="1">
      <c r="B598" s="258" t="s">
        <v>2604</v>
      </c>
    </row>
    <row r="599" spans="2:4" hidden="1" outlineLevel="1"/>
    <row r="600" spans="2:4" hidden="1" outlineLevel="2">
      <c r="B600" s="3" t="s">
        <v>2694</v>
      </c>
    </row>
    <row r="601" spans="2:4" ht="14.5" hidden="1" outlineLevel="2" thickBot="1">
      <c r="B601" s="87" t="s">
        <v>2695</v>
      </c>
    </row>
    <row r="602" spans="2:4" ht="14.5" hidden="1" outlineLevel="2">
      <c r="B602" s="461" t="s">
        <v>2696</v>
      </c>
      <c r="C602" s="462" t="s">
        <v>2697</v>
      </c>
      <c r="D602" s="463" t="s">
        <v>2698</v>
      </c>
    </row>
    <row r="603" spans="2:4" ht="14.5" hidden="1" outlineLevel="2">
      <c r="B603" s="464" t="s">
        <v>2699</v>
      </c>
      <c r="C603" s="168">
        <f>8.62/30</f>
        <v>0.28733333333333333</v>
      </c>
      <c r="D603" s="132">
        <f>4.61/3</f>
        <v>1.5366666666666668</v>
      </c>
    </row>
    <row r="604" spans="2:4" ht="14.5" hidden="1" outlineLevel="2">
      <c r="B604" s="464" t="s">
        <v>2700</v>
      </c>
      <c r="C604" s="168">
        <f>28.46/30</f>
        <v>0.94866666666666666</v>
      </c>
      <c r="D604" s="132">
        <f>2.88/3</f>
        <v>0.96</v>
      </c>
    </row>
    <row r="605" spans="2:4" ht="14.5" hidden="1" outlineLevel="2">
      <c r="B605" s="464" t="s">
        <v>132</v>
      </c>
      <c r="C605" s="168">
        <f>6.77/30</f>
        <v>0.22566666666666665</v>
      </c>
      <c r="D605" s="132">
        <f>0.68/3</f>
        <v>0.22666666666666668</v>
      </c>
    </row>
    <row r="606" spans="2:4" ht="15" hidden="1" outlineLevel="2" thickBot="1">
      <c r="B606" s="465" t="s">
        <v>83</v>
      </c>
      <c r="C606" s="170">
        <f>SUM(C603:C605)</f>
        <v>1.4616666666666667</v>
      </c>
      <c r="D606" s="209">
        <f>SUM(D603:D605)</f>
        <v>2.7233333333333336</v>
      </c>
    </row>
    <row r="607" spans="2:4" hidden="1" outlineLevel="2"/>
    <row r="608" spans="2:4" hidden="1" outlineLevel="2">
      <c r="B608" s="3" t="s">
        <v>2701</v>
      </c>
    </row>
    <row r="609" spans="2:5" ht="14.5" hidden="1" outlineLevel="2" thickBot="1">
      <c r="B609" s="87" t="s">
        <v>2702</v>
      </c>
    </row>
    <row r="610" spans="2:5" ht="14.5" hidden="1" outlineLevel="2">
      <c r="B610" s="117" t="s">
        <v>2703</v>
      </c>
      <c r="C610" s="118" t="s">
        <v>2704</v>
      </c>
      <c r="D610" s="119" t="s">
        <v>2705</v>
      </c>
    </row>
    <row r="611" spans="2:5" ht="15" hidden="1" outlineLevel="2" thickBot="1">
      <c r="B611" s="121" t="s">
        <v>83</v>
      </c>
      <c r="C611" s="14">
        <v>1000</v>
      </c>
      <c r="D611" s="15">
        <v>870</v>
      </c>
    </row>
    <row r="612" spans="2:5" hidden="1" outlineLevel="2"/>
    <row r="613" spans="2:5" hidden="1" outlineLevel="2">
      <c r="B613" s="3" t="s">
        <v>2706</v>
      </c>
    </row>
    <row r="614" spans="2:5" ht="14.5" hidden="1" outlineLevel="2" thickBot="1">
      <c r="B614" s="1251" t="s">
        <v>2707</v>
      </c>
    </row>
    <row r="615" spans="2:5" ht="14.5" hidden="1" outlineLevel="2">
      <c r="B615" s="117" t="s">
        <v>2696</v>
      </c>
      <c r="C615" s="118" t="s">
        <v>2697</v>
      </c>
      <c r="D615" s="119" t="s">
        <v>2698</v>
      </c>
    </row>
    <row r="616" spans="2:5" ht="14.5" hidden="1" outlineLevel="2">
      <c r="B616" s="120" t="s">
        <v>2708</v>
      </c>
      <c r="C616" s="168">
        <f>0.96</f>
        <v>0.96</v>
      </c>
      <c r="D616" s="132">
        <f>0.96</f>
        <v>0.96</v>
      </c>
      <c r="E616" s="1251"/>
    </row>
    <row r="617" spans="2:5" ht="14.5" hidden="1" outlineLevel="2">
      <c r="B617" s="120" t="s">
        <v>2700</v>
      </c>
      <c r="C617" s="168">
        <f>2.3</f>
        <v>2.2999999999999998</v>
      </c>
      <c r="D617" s="132">
        <f>2.3</f>
        <v>2.2999999999999998</v>
      </c>
      <c r="E617" s="1251"/>
    </row>
    <row r="618" spans="2:5" ht="14.5" hidden="1" outlineLevel="2">
      <c r="B618" s="120" t="s">
        <v>132</v>
      </c>
      <c r="C618" s="1298">
        <f>0.21</f>
        <v>0.21</v>
      </c>
      <c r="D618" s="1301">
        <f>0.21</f>
        <v>0.21</v>
      </c>
      <c r="E618" s="1251"/>
    </row>
    <row r="619" spans="2:5" ht="15" hidden="1" outlineLevel="2" thickBot="1">
      <c r="B619" s="121" t="s">
        <v>83</v>
      </c>
      <c r="C619" s="170">
        <f>SUM(C616:C618)</f>
        <v>3.4699999999999998</v>
      </c>
      <c r="D619" s="209">
        <f>SUM(D616:D618)</f>
        <v>3.4699999999999998</v>
      </c>
    </row>
    <row r="620" spans="2:5" hidden="1" outlineLevel="2"/>
    <row r="621" spans="2:5" hidden="1" outlineLevel="2"/>
    <row r="622" spans="2:5" hidden="1" outlineLevel="2">
      <c r="B622" s="3" t="s">
        <v>2709</v>
      </c>
    </row>
    <row r="623" spans="2:5" ht="14.5" hidden="1" outlineLevel="2" thickBot="1">
      <c r="B623" s="1364" t="s">
        <v>2710</v>
      </c>
    </row>
    <row r="624" spans="2:5" ht="14.5" hidden="1" outlineLevel="2">
      <c r="B624" s="117" t="s">
        <v>2696</v>
      </c>
      <c r="C624" s="118" t="s">
        <v>2697</v>
      </c>
      <c r="D624" s="119" t="s">
        <v>2698</v>
      </c>
    </row>
    <row r="625" spans="2:7" ht="14.5" hidden="1" outlineLevel="2">
      <c r="B625" s="120" t="s">
        <v>2711</v>
      </c>
      <c r="C625" s="168">
        <f>C616</f>
        <v>0.96</v>
      </c>
      <c r="D625" s="132">
        <f>D616</f>
        <v>0.96</v>
      </c>
    </row>
    <row r="626" spans="2:7" ht="14.5" hidden="1" outlineLevel="2">
      <c r="B626" s="120" t="s">
        <v>2712</v>
      </c>
      <c r="C626" s="168">
        <v>2</v>
      </c>
      <c r="D626" s="132">
        <v>2</v>
      </c>
    </row>
    <row r="627" spans="2:7" ht="14.5" hidden="1" outlineLevel="2">
      <c r="B627" s="120" t="s">
        <v>2699</v>
      </c>
      <c r="C627" s="1298">
        <f>C603</f>
        <v>0.28733333333333333</v>
      </c>
      <c r="D627" s="1301">
        <f>D603</f>
        <v>1.5366666666666668</v>
      </c>
    </row>
    <row r="628" spans="2:7" ht="14.5" hidden="1" outlineLevel="2">
      <c r="B628" s="120" t="s">
        <v>2700</v>
      </c>
      <c r="C628" s="168">
        <f>C617</f>
        <v>2.2999999999999998</v>
      </c>
      <c r="D628" s="132">
        <f>D617</f>
        <v>2.2999999999999998</v>
      </c>
    </row>
    <row r="629" spans="2:7" ht="15" hidden="1" outlineLevel="2" thickBot="1">
      <c r="B629" s="121" t="s">
        <v>132</v>
      </c>
      <c r="C629" s="170">
        <f>C618</f>
        <v>0.21</v>
      </c>
      <c r="D629" s="209">
        <f>D618</f>
        <v>0.21</v>
      </c>
    </row>
    <row r="630" spans="2:7" hidden="1" outlineLevel="2">
      <c r="B630" s="1251" t="s">
        <v>2713</v>
      </c>
      <c r="F630" s="103"/>
    </row>
    <row r="631" spans="2:7" hidden="1" outlineLevel="2">
      <c r="B631" s="1251" t="s">
        <v>2714</v>
      </c>
    </row>
    <row r="632" spans="2:7" hidden="1" outlineLevel="2">
      <c r="B632" s="1251"/>
    </row>
    <row r="633" spans="2:7" ht="14.5" hidden="1" outlineLevel="2" thickBot="1">
      <c r="B633" s="1251" t="s">
        <v>2715</v>
      </c>
      <c r="G633" s="1251"/>
    </row>
    <row r="634" spans="2:7" ht="14.5" hidden="1" outlineLevel="2">
      <c r="B634" s="117" t="s">
        <v>421</v>
      </c>
      <c r="C634" s="118" t="s">
        <v>2716</v>
      </c>
      <c r="D634" s="119" t="s">
        <v>674</v>
      </c>
    </row>
    <row r="635" spans="2:7" ht="14.5" hidden="1" outlineLevel="2">
      <c r="B635" s="120" t="s">
        <v>2717</v>
      </c>
      <c r="C635" s="168">
        <v>4.2224879552223902</v>
      </c>
      <c r="D635" s="132">
        <f>C635*C$123/10^9</f>
        <v>1.1400717479100453</v>
      </c>
    </row>
    <row r="636" spans="2:7" ht="14.5" hidden="1" outlineLevel="2">
      <c r="B636" s="120" t="s">
        <v>2699</v>
      </c>
      <c r="C636" s="168">
        <v>0.7566863695532382</v>
      </c>
      <c r="D636" s="132">
        <f t="shared" ref="D636:D638" si="1">C636*C$123/10^9</f>
        <v>0.2043053197793743</v>
      </c>
      <c r="G636" s="1251"/>
    </row>
    <row r="637" spans="2:7" ht="14.5" hidden="1" outlineLevel="2">
      <c r="B637" s="120" t="s">
        <v>2700</v>
      </c>
      <c r="C637" s="168">
        <v>10.116377392720308</v>
      </c>
      <c r="D637" s="132">
        <f t="shared" si="1"/>
        <v>2.7314218960344832</v>
      </c>
    </row>
    <row r="638" spans="2:7" ht="15" hidden="1" outlineLevel="2" thickBot="1">
      <c r="B638" s="121" t="s">
        <v>132</v>
      </c>
      <c r="C638" s="170">
        <v>1.6730630554318788</v>
      </c>
      <c r="D638" s="209">
        <f t="shared" si="1"/>
        <v>0.45172702496660727</v>
      </c>
    </row>
    <row r="639" spans="2:7" ht="14.5" hidden="1" outlineLevel="2">
      <c r="C639" s="1204" t="s">
        <v>2718</v>
      </c>
      <c r="D639" s="1205">
        <f>SUM(D636:D638)</f>
        <v>3.3874542407804649</v>
      </c>
    </row>
    <row r="640" spans="2:7" ht="15" hidden="1" outlineLevel="2" thickBot="1">
      <c r="C640" s="121" t="s">
        <v>2719</v>
      </c>
      <c r="D640" s="683">
        <f>D635</f>
        <v>1.1400717479100453</v>
      </c>
    </row>
    <row r="641" spans="2:5" hidden="1" outlineLevel="2"/>
    <row r="642" spans="2:5" ht="14.5" hidden="1" outlineLevel="2" thickBot="1">
      <c r="B642" s="3" t="s">
        <v>2720</v>
      </c>
    </row>
    <row r="643" spans="2:5" ht="14.5" hidden="1" outlineLevel="2">
      <c r="B643" s="1206" t="s">
        <v>2718</v>
      </c>
      <c r="C643" s="1207">
        <v>2.5092253635410851</v>
      </c>
    </row>
    <row r="644" spans="2:5" ht="15" hidden="1" outlineLevel="2" thickBot="1">
      <c r="B644" s="121" t="s">
        <v>2719</v>
      </c>
      <c r="C644" s="683">
        <v>0.84449759104447808</v>
      </c>
      <c r="E644" s="103"/>
    </row>
    <row r="645" spans="2:5" hidden="1" outlineLevel="1" collapsed="1"/>
    <row r="646" spans="2:5" ht="18" hidden="1" outlineLevel="1">
      <c r="B646" s="258" t="s">
        <v>2721</v>
      </c>
    </row>
    <row r="647" spans="2:5" hidden="1" outlineLevel="1"/>
    <row r="648" spans="2:5" hidden="1" outlineLevel="2"/>
    <row r="649" spans="2:5" hidden="1" outlineLevel="2">
      <c r="B649" s="87" t="s">
        <v>2722</v>
      </c>
      <c r="C649" s="200"/>
      <c r="D649" s="200"/>
    </row>
    <row r="650" spans="2:5" hidden="1" outlineLevel="2">
      <c r="B650" t="s">
        <v>2723</v>
      </c>
      <c r="C650" s="200"/>
      <c r="D650" s="200"/>
    </row>
    <row r="651" spans="2:5" hidden="1" outlineLevel="2">
      <c r="B651" t="s">
        <v>2724</v>
      </c>
      <c r="C651" s="200"/>
      <c r="D651" s="200"/>
    </row>
    <row r="652" spans="2:5" hidden="1" outlineLevel="2">
      <c r="B652" t="s">
        <v>2725</v>
      </c>
      <c r="C652" s="200"/>
      <c r="D652" s="200"/>
    </row>
    <row r="653" spans="2:5" hidden="1" outlineLevel="2">
      <c r="C653" s="200"/>
      <c r="D653" s="200"/>
    </row>
    <row r="654" spans="2:5" hidden="1" outlineLevel="2">
      <c r="B654" s="87" t="s">
        <v>2726</v>
      </c>
      <c r="C654" s="200"/>
      <c r="D654" s="200"/>
    </row>
    <row r="655" spans="2:5" hidden="1" outlineLevel="2">
      <c r="B655" s="1251" t="s">
        <v>2727</v>
      </c>
      <c r="C655" s="200"/>
      <c r="D655" s="200"/>
    </row>
    <row r="656" spans="2:5" hidden="1" outlineLevel="2">
      <c r="B656" s="1251"/>
      <c r="C656" s="200"/>
      <c r="D656" s="200"/>
    </row>
    <row r="657" spans="2:6" ht="14.5" hidden="1" outlineLevel="2" thickBot="1">
      <c r="B657" t="s">
        <v>927</v>
      </c>
      <c r="C657" s="200"/>
      <c r="D657" s="200"/>
    </row>
    <row r="658" spans="2:6" ht="29" hidden="1" outlineLevel="2">
      <c r="B658" s="169"/>
      <c r="C658" s="158" t="s">
        <v>2728</v>
      </c>
      <c r="D658" s="159" t="s">
        <v>301</v>
      </c>
    </row>
    <row r="659" spans="2:6" ht="28" hidden="1" outlineLevel="2">
      <c r="B659" s="276" t="s">
        <v>2729</v>
      </c>
      <c r="C659" s="168">
        <f>27/1000/0.72</f>
        <v>3.7499999999999999E-2</v>
      </c>
      <c r="D659" s="320" t="s">
        <v>2730</v>
      </c>
    </row>
    <row r="660" spans="2:6" ht="28.5" hidden="1" outlineLevel="2" thickBot="1">
      <c r="B660" s="281" t="s">
        <v>2731</v>
      </c>
      <c r="C660" s="170">
        <f>12.8/1000/0.91</f>
        <v>1.4065934065934066E-2</v>
      </c>
      <c r="D660" s="321" t="s">
        <v>2730</v>
      </c>
    </row>
    <row r="661" spans="2:6" hidden="1" outlineLevel="2">
      <c r="C661" s="200"/>
      <c r="D661" s="200"/>
    </row>
    <row r="662" spans="2:6" hidden="1" outlineLevel="2">
      <c r="C662" s="200"/>
      <c r="D662" s="200"/>
    </row>
    <row r="663" spans="2:6" ht="14.5" hidden="1" outlineLevel="2" thickBot="1">
      <c r="B663" s="1251" t="s">
        <v>2732</v>
      </c>
      <c r="C663" s="200"/>
      <c r="D663" s="200"/>
    </row>
    <row r="664" spans="2:6" ht="43.5" hidden="1" outlineLevel="2">
      <c r="B664" s="169" t="s">
        <v>2381</v>
      </c>
      <c r="C664" s="159" t="s">
        <v>2382</v>
      </c>
      <c r="D664" s="1251"/>
      <c r="E664" s="1251"/>
      <c r="F664" s="1251"/>
    </row>
    <row r="665" spans="2:6" hidden="1" outlineLevel="2">
      <c r="B665" s="276" t="s">
        <v>2384</v>
      </c>
      <c r="C665" s="311">
        <f t="shared" ref="C665:C671" si="2">C138</f>
        <v>0.35</v>
      </c>
    </row>
    <row r="666" spans="2:6" hidden="1" outlineLevel="2">
      <c r="B666" s="276" t="s">
        <v>2386</v>
      </c>
      <c r="C666" s="311">
        <f t="shared" si="2"/>
        <v>0.25</v>
      </c>
    </row>
    <row r="667" spans="2:6" hidden="1" outlineLevel="2">
      <c r="B667" s="276" t="s">
        <v>155</v>
      </c>
      <c r="C667" s="311">
        <f t="shared" si="2"/>
        <v>0.15</v>
      </c>
    </row>
    <row r="668" spans="2:6" hidden="1" outlineLevel="2">
      <c r="B668" s="276" t="s">
        <v>2389</v>
      </c>
      <c r="C668" s="311">
        <f t="shared" si="2"/>
        <v>0.1</v>
      </c>
    </row>
    <row r="669" spans="2:6" hidden="1" outlineLevel="2">
      <c r="B669" s="276" t="s">
        <v>176</v>
      </c>
      <c r="C669" s="311">
        <f t="shared" si="2"/>
        <v>0.05</v>
      </c>
    </row>
    <row r="670" spans="2:6" hidden="1" outlineLevel="2">
      <c r="B670" s="276" t="s">
        <v>2392</v>
      </c>
      <c r="C670" s="311">
        <f t="shared" si="2"/>
        <v>0.05</v>
      </c>
    </row>
    <row r="671" spans="2:6" ht="14.5" hidden="1" outlineLevel="2" thickBot="1">
      <c r="B671" s="281" t="s">
        <v>186</v>
      </c>
      <c r="C671" s="313">
        <f t="shared" si="2"/>
        <v>0.05</v>
      </c>
    </row>
    <row r="672" spans="2:6" hidden="1" outlineLevel="2">
      <c r="C672" s="200"/>
      <c r="D672" s="200"/>
    </row>
    <row r="673" spans="2:4" ht="14.5" hidden="1" outlineLevel="2" thickBot="1">
      <c r="B673" s="1251" t="s">
        <v>927</v>
      </c>
      <c r="C673" s="200"/>
      <c r="D673" s="200"/>
    </row>
    <row r="674" spans="2:4" ht="14.5" hidden="1" outlineLevel="2" thickBot="1">
      <c r="B674" s="282" t="s">
        <v>2733</v>
      </c>
      <c r="C674" s="785">
        <v>2.0488222543179956E-2</v>
      </c>
      <c r="D674" s="737" t="s">
        <v>2119</v>
      </c>
    </row>
    <row r="675" spans="2:4" hidden="1" outlineLevel="2">
      <c r="C675" s="200"/>
      <c r="D675" s="200"/>
    </row>
    <row r="676" spans="2:4" ht="14.5" hidden="1" outlineLevel="2" thickBot="1">
      <c r="B676" t="s">
        <v>2734</v>
      </c>
      <c r="C676" s="200"/>
      <c r="D676" s="200"/>
    </row>
    <row r="677" spans="2:4" ht="14.5" hidden="1" outlineLevel="2" thickBot="1">
      <c r="B677" s="282" t="s">
        <v>2735</v>
      </c>
      <c r="C677" s="873">
        <f>C674*270</f>
        <v>5.5318200866585885</v>
      </c>
      <c r="D677" s="874" t="s">
        <v>661</v>
      </c>
    </row>
    <row r="678" spans="2:4" hidden="1" outlineLevel="2">
      <c r="C678" s="200"/>
      <c r="D678" s="200"/>
    </row>
    <row r="679" spans="2:4" hidden="1" outlineLevel="1" collapsed="1"/>
    <row r="680" spans="2:4" ht="18" hidden="1" outlineLevel="1">
      <c r="B680" s="258" t="s">
        <v>2736</v>
      </c>
    </row>
    <row r="681" spans="2:4" hidden="1" outlineLevel="1"/>
    <row r="682" spans="2:4" hidden="1" outlineLevel="2"/>
    <row r="683" spans="2:4" ht="14.5" hidden="1" outlineLevel="2" thickBot="1">
      <c r="B683" s="1251" t="s">
        <v>2104</v>
      </c>
    </row>
    <row r="684" spans="2:4" ht="14.5" hidden="1" outlineLevel="2">
      <c r="B684" s="4"/>
      <c r="C684" s="5" t="s">
        <v>2105</v>
      </c>
      <c r="D684" s="6" t="s">
        <v>70</v>
      </c>
    </row>
    <row r="685" spans="2:4" ht="28" hidden="1" outlineLevel="2">
      <c r="B685" s="276" t="s">
        <v>2737</v>
      </c>
      <c r="C685" s="11">
        <v>1250</v>
      </c>
      <c r="D685" s="603" t="s">
        <v>2722</v>
      </c>
    </row>
    <row r="686" spans="2:4" ht="14.5" hidden="1" outlineLevel="2" thickBot="1">
      <c r="B686" s="281" t="s">
        <v>2107</v>
      </c>
      <c r="C686" s="14">
        <v>47000</v>
      </c>
      <c r="D686" s="225" t="s">
        <v>2738</v>
      </c>
    </row>
    <row r="687" spans="2:4" hidden="1" outlineLevel="2"/>
    <row r="688" spans="2:4" ht="14.5" hidden="1" outlineLevel="2" thickBot="1">
      <c r="B688" s="1251" t="s">
        <v>2109</v>
      </c>
    </row>
    <row r="689" spans="2:6" ht="14.5" hidden="1" outlineLevel="2">
      <c r="B689" s="4"/>
      <c r="C689" s="5"/>
      <c r="D689" s="5" t="s">
        <v>301</v>
      </c>
      <c r="E689" s="6" t="s">
        <v>70</v>
      </c>
    </row>
    <row r="690" spans="2:6" ht="15" hidden="1" outlineLevel="2" thickBot="1">
      <c r="B690" s="13" t="s">
        <v>1063</v>
      </c>
      <c r="C690" s="249">
        <v>825</v>
      </c>
      <c r="D690" s="1267" t="s">
        <v>1064</v>
      </c>
      <c r="E690" s="1285" t="s">
        <v>1065</v>
      </c>
    </row>
    <row r="691" spans="2:6" hidden="1" outlineLevel="2">
      <c r="B691" s="1251" t="s">
        <v>2110</v>
      </c>
    </row>
    <row r="692" spans="2:6" hidden="1" outlineLevel="2"/>
    <row r="693" spans="2:6" ht="14.5" hidden="1" outlineLevel="2" thickBot="1">
      <c r="B693" s="1251" t="s">
        <v>2111</v>
      </c>
    </row>
    <row r="694" spans="2:6" ht="14.5" hidden="1" outlineLevel="2">
      <c r="B694" s="4"/>
      <c r="C694" s="5"/>
      <c r="D694" s="5" t="s">
        <v>301</v>
      </c>
      <c r="E694" s="6" t="s">
        <v>70</v>
      </c>
    </row>
    <row r="695" spans="2:6" ht="43.5" hidden="1" outlineLevel="2">
      <c r="B695" s="10" t="s">
        <v>2112</v>
      </c>
      <c r="C695" s="180">
        <v>21.2</v>
      </c>
      <c r="D695" s="1307" t="s">
        <v>2113</v>
      </c>
      <c r="E695" s="1295" t="s">
        <v>2114</v>
      </c>
    </row>
    <row r="696" spans="2:6" ht="14.5" hidden="1" outlineLevel="2">
      <c r="B696" s="10" t="s">
        <v>2115</v>
      </c>
      <c r="C696" s="229">
        <v>0.75413181011075003</v>
      </c>
      <c r="D696" s="1307"/>
      <c r="E696" s="1295"/>
    </row>
    <row r="697" spans="2:6" ht="15" hidden="1" outlineLevel="2" thickBot="1">
      <c r="B697" s="13" t="s">
        <v>1063</v>
      </c>
      <c r="C697" s="203">
        <v>0.17048685674338901</v>
      </c>
      <c r="D697" s="22" t="s">
        <v>2116</v>
      </c>
      <c r="E697" s="38"/>
    </row>
    <row r="698" spans="2:6" hidden="1" outlineLevel="2"/>
    <row r="699" spans="2:6" ht="14.5" hidden="1" outlineLevel="2" thickBot="1">
      <c r="B699" s="1251" t="s">
        <v>2117</v>
      </c>
    </row>
    <row r="700" spans="2:6" ht="14.5" hidden="1" outlineLevel="2">
      <c r="B700" s="4"/>
      <c r="C700" s="5" t="s">
        <v>69</v>
      </c>
      <c r="D700" s="6" t="s">
        <v>301</v>
      </c>
      <c r="F700" s="1251" t="s">
        <v>2739</v>
      </c>
    </row>
    <row r="701" spans="2:6" ht="43.5" hidden="1" outlineLevel="2">
      <c r="B701" s="10" t="s">
        <v>2740</v>
      </c>
      <c r="C701" s="94">
        <f>2*C695*225*C697*C685/(1000*10^6)</f>
        <v>2.033055766664914E-3</v>
      </c>
      <c r="D701" s="1277" t="s">
        <v>2119</v>
      </c>
    </row>
    <row r="702" spans="2:6" ht="32" hidden="1" customHeight="1" outlineLevel="2" thickBot="1">
      <c r="B702" s="13" t="s">
        <v>2741</v>
      </c>
      <c r="C702" s="92">
        <f>C690*C686/25/(1000*10^6)</f>
        <v>1.5510000000000001E-3</v>
      </c>
      <c r="D702" s="1334" t="s">
        <v>2119</v>
      </c>
    </row>
    <row r="703" spans="2:6" hidden="1" outlineLevel="2">
      <c r="B703" s="1251"/>
    </row>
    <row r="704" spans="2:6" ht="14.5" hidden="1" outlineLevel="2" thickBot="1">
      <c r="B704" s="1251" t="s">
        <v>2600</v>
      </c>
    </row>
    <row r="705" spans="2:6" ht="29" hidden="1" outlineLevel="2">
      <c r="B705" s="182" t="s">
        <v>2742</v>
      </c>
      <c r="C705" s="876">
        <f>C701*270</f>
        <v>0.54892505699952676</v>
      </c>
      <c r="D705" s="1365" t="s">
        <v>661</v>
      </c>
    </row>
    <row r="706" spans="2:6" ht="29.5" hidden="1" outlineLevel="2" thickBot="1">
      <c r="B706" s="13" t="s">
        <v>2743</v>
      </c>
      <c r="C706" s="99">
        <f>C702*270</f>
        <v>0.41877000000000003</v>
      </c>
      <c r="D706" s="1334" t="s">
        <v>661</v>
      </c>
    </row>
    <row r="707" spans="2:6" hidden="1" outlineLevel="2">
      <c r="B707" s="1251"/>
    </row>
    <row r="708" spans="2:6" hidden="1" outlineLevel="1" collapsed="1"/>
    <row r="709" spans="2:6" ht="18" hidden="1" outlineLevel="1">
      <c r="B709" s="258" t="s">
        <v>522</v>
      </c>
    </row>
    <row r="710" spans="2:6" hidden="1" outlineLevel="1"/>
    <row r="711" spans="2:6" ht="14.5" hidden="1" outlineLevel="2" thickBot="1">
      <c r="B711" s="1251" t="s">
        <v>2744</v>
      </c>
    </row>
    <row r="712" spans="2:6" ht="29.5" hidden="1" customHeight="1" outlineLevel="2">
      <c r="B712" s="169"/>
      <c r="C712" s="1554" t="s">
        <v>426</v>
      </c>
      <c r="D712" s="1554"/>
      <c r="E712" s="1554" t="s">
        <v>2745</v>
      </c>
      <c r="F712" s="1555"/>
    </row>
    <row r="713" spans="2:6" ht="14.5" hidden="1" outlineLevel="2">
      <c r="B713" s="442" t="s">
        <v>2554</v>
      </c>
      <c r="C713" s="167" t="s">
        <v>2746</v>
      </c>
      <c r="D713" s="167" t="s">
        <v>2747</v>
      </c>
      <c r="E713" s="167" t="s">
        <v>2746</v>
      </c>
      <c r="F713" s="303" t="s">
        <v>2747</v>
      </c>
    </row>
    <row r="714" spans="2:6" ht="14.5" hidden="1" outlineLevel="2" thickBot="1">
      <c r="B714" s="281" t="s">
        <v>2748</v>
      </c>
      <c r="C714" s="376">
        <v>0.71544856166882753</v>
      </c>
      <c r="D714" s="376">
        <v>0.28455143833117241</v>
      </c>
      <c r="E714" s="376">
        <v>0.44975346846913544</v>
      </c>
      <c r="F714" s="313">
        <v>0.55024653153086456</v>
      </c>
    </row>
    <row r="715" spans="2:6" hidden="1" outlineLevel="2"/>
    <row r="716" spans="2:6" ht="14.5" hidden="1" outlineLevel="2" thickBot="1">
      <c r="B716" s="1251" t="s">
        <v>2749</v>
      </c>
    </row>
    <row r="717" spans="2:6" ht="14.5" hidden="1" outlineLevel="2" thickBot="1">
      <c r="B717" s="282" t="s">
        <v>2750</v>
      </c>
      <c r="C717" s="1366">
        <f>AVERAGE(D714,F714)</f>
        <v>0.41739898493101846</v>
      </c>
    </row>
    <row r="718" spans="2:6" hidden="1" outlineLevel="2"/>
    <row r="719" spans="2:6" ht="14.5" hidden="1" outlineLevel="2" thickBot="1">
      <c r="B719" s="1251" t="s">
        <v>2751</v>
      </c>
    </row>
    <row r="720" spans="2:6" ht="43.5" hidden="1" outlineLevel="2">
      <c r="B720" s="169" t="s">
        <v>2381</v>
      </c>
      <c r="C720" s="158" t="s">
        <v>2382</v>
      </c>
      <c r="D720" s="159" t="s">
        <v>2383</v>
      </c>
    </row>
    <row r="721" spans="2:4" hidden="1" outlineLevel="2">
      <c r="B721" s="276" t="s">
        <v>2384</v>
      </c>
      <c r="C721" s="229">
        <f t="shared" ref="C721:C727" si="3">C138</f>
        <v>0.35</v>
      </c>
      <c r="D721" s="320" t="s">
        <v>2385</v>
      </c>
    </row>
    <row r="722" spans="2:4" hidden="1" outlineLevel="2">
      <c r="B722" s="276" t="s">
        <v>2386</v>
      </c>
      <c r="C722" s="229">
        <f t="shared" si="3"/>
        <v>0.25</v>
      </c>
      <c r="D722" s="320" t="s">
        <v>2387</v>
      </c>
    </row>
    <row r="723" spans="2:4" hidden="1" outlineLevel="2">
      <c r="B723" s="276" t="s">
        <v>155</v>
      </c>
      <c r="C723" s="1312">
        <f t="shared" si="3"/>
        <v>0.15</v>
      </c>
      <c r="D723" s="1348" t="s">
        <v>2388</v>
      </c>
    </row>
    <row r="724" spans="2:4" hidden="1" outlineLevel="2">
      <c r="B724" s="276" t="s">
        <v>2389</v>
      </c>
      <c r="C724" s="1312">
        <f t="shared" si="3"/>
        <v>0.1</v>
      </c>
      <c r="D724" s="1348" t="s">
        <v>2390</v>
      </c>
    </row>
    <row r="725" spans="2:4" hidden="1" outlineLevel="2">
      <c r="B725" s="276" t="s">
        <v>176</v>
      </c>
      <c r="C725" s="1312">
        <f t="shared" si="3"/>
        <v>0.05</v>
      </c>
      <c r="D725" s="1348" t="s">
        <v>2391</v>
      </c>
    </row>
    <row r="726" spans="2:4" hidden="1" outlineLevel="2">
      <c r="B726" s="276" t="s">
        <v>2392</v>
      </c>
      <c r="C726" s="1312">
        <f t="shared" si="3"/>
        <v>0.05</v>
      </c>
      <c r="D726" s="1348" t="s">
        <v>2393</v>
      </c>
    </row>
    <row r="727" spans="2:4" ht="14.5" hidden="1" outlineLevel="2" thickBot="1">
      <c r="B727" s="281" t="s">
        <v>186</v>
      </c>
      <c r="C727" s="1314">
        <f t="shared" si="3"/>
        <v>0.05</v>
      </c>
      <c r="D727" s="1349" t="s">
        <v>2394</v>
      </c>
    </row>
    <row r="728" spans="2:4" hidden="1" outlineLevel="2"/>
    <row r="729" spans="2:4" ht="14.5" hidden="1" outlineLevel="2" thickBot="1">
      <c r="B729" s="1251" t="s">
        <v>2752</v>
      </c>
    </row>
    <row r="730" spans="2:4" ht="29" hidden="1" outlineLevel="2">
      <c r="B730" s="169" t="s">
        <v>2381</v>
      </c>
      <c r="C730" s="159" t="s">
        <v>938</v>
      </c>
    </row>
    <row r="731" spans="2:4" hidden="1" outlineLevel="2">
      <c r="B731" s="276" t="s">
        <v>2753</v>
      </c>
      <c r="C731" s="132">
        <f>C717*(C721+C726)*(C626+C627+C628+C629)*270*'Annexe - Logistique'!D26*'Annexe - Logistique'!N16/10^6</f>
        <v>2.0138077458639594</v>
      </c>
    </row>
    <row r="732" spans="2:4" hidden="1" outlineLevel="2">
      <c r="B732" s="276" t="s">
        <v>2754</v>
      </c>
      <c r="C732" s="132">
        <f>(1-C717)*(C721+C726)*(C626+C627+C628+C629)*270*'Annexe - Logistique'!D28*'Annexe - Logistique'!N13/10^6</f>
        <v>0.12525312317054918</v>
      </c>
    </row>
    <row r="733" spans="2:4" ht="28" hidden="1" outlineLevel="2">
      <c r="B733" s="276" t="s">
        <v>2755</v>
      </c>
      <c r="C733" s="1301">
        <f>C717*(C721+C726)*(C626+C627+C628+C629)*270*'Annexe - Logistique'!D30*'Annexe - Logistique'!N15/10^6
+ (1-C717)*(C721+C726)*(C626+C627+C628+C629)*270*'Annexe - Logistique'!D30*'Annexe - Logistique'!N12/10^6</f>
        <v>8.0307359999999994E-2</v>
      </c>
    </row>
    <row r="734" spans="2:4" ht="14.5" hidden="1" outlineLevel="2" thickBot="1">
      <c r="B734" s="281" t="s">
        <v>2756</v>
      </c>
      <c r="C734" s="1265">
        <f>(C626+C627+C628+C629)*270*'Annexe - Logistique'!C42/10^3</f>
        <v>0.33029639999999999</v>
      </c>
    </row>
    <row r="735" spans="2:4" ht="14.5" hidden="1" outlineLevel="2" thickBot="1">
      <c r="B735" s="330" t="s">
        <v>2757</v>
      </c>
      <c r="C735" s="875">
        <f>SUM(C731:C734)</f>
        <v>2.5496646290345084</v>
      </c>
    </row>
    <row r="736" spans="2:4" hidden="1" outlineLevel="1" collapsed="1"/>
    <row r="737" spans="2:5" ht="18" hidden="1" outlineLevel="1">
      <c r="B737" s="258" t="s">
        <v>553</v>
      </c>
    </row>
    <row r="738" spans="2:5" hidden="1" outlineLevel="1"/>
    <row r="739" spans="2:5" ht="14.5" hidden="1" outlineLevel="2" thickBot="1">
      <c r="B739" s="1251" t="s">
        <v>559</v>
      </c>
    </row>
    <row r="740" spans="2:5" ht="14.5" hidden="1" outlineLevel="2">
      <c r="B740" s="4"/>
      <c r="C740" s="5" t="s">
        <v>73</v>
      </c>
      <c r="D740" s="5" t="s">
        <v>301</v>
      </c>
      <c r="E740" s="6" t="s">
        <v>70</v>
      </c>
    </row>
    <row r="741" spans="2:5" ht="28.5" hidden="1" outlineLevel="2" thickBot="1">
      <c r="B741" s="565" t="s">
        <v>563</v>
      </c>
      <c r="C741" s="22">
        <v>386</v>
      </c>
      <c r="D741" s="22" t="s">
        <v>561</v>
      </c>
      <c r="E741" s="1326" t="s">
        <v>564</v>
      </c>
    </row>
    <row r="742" spans="2:5" hidden="1" outlineLevel="2"/>
    <row r="743" spans="2:5" ht="14.5" hidden="1" outlineLevel="2" thickBot="1">
      <c r="B743" s="1251" t="s">
        <v>565</v>
      </c>
    </row>
    <row r="744" spans="2:5" ht="14.5" hidden="1" outlineLevel="2">
      <c r="B744" s="4"/>
      <c r="C744" s="6" t="s">
        <v>2146</v>
      </c>
    </row>
    <row r="745" spans="2:5" ht="28.5" hidden="1" outlineLevel="2" thickBot="1">
      <c r="B745" s="565" t="s">
        <v>2758</v>
      </c>
      <c r="C745" s="720">
        <f>(C627+C628+C629+C625)*200*C741/10^6</f>
        <v>0.29006613333333331</v>
      </c>
    </row>
    <row r="746" spans="2:5" hidden="1" outlineLevel="1" collapsed="1"/>
    <row r="747" spans="2:5" collapsed="1"/>
  </sheetData>
  <mergeCells count="13">
    <mergeCell ref="C712:D712"/>
    <mergeCell ref="E712:F712"/>
    <mergeCell ref="A1:XFD2"/>
    <mergeCell ref="E397:G397"/>
    <mergeCell ref="H397:J397"/>
    <mergeCell ref="B397:C398"/>
    <mergeCell ref="D397:D398"/>
    <mergeCell ref="B399:B400"/>
    <mergeCell ref="B401:C401"/>
    <mergeCell ref="B245:B246"/>
    <mergeCell ref="B244:C244"/>
    <mergeCell ref="B367:B375"/>
    <mergeCell ref="B364:B366"/>
  </mergeCells>
  <phoneticPr fontId="33" type="noConversion"/>
  <conditionalFormatting sqref="A1:XFD2">
    <cfRule type="containsBlanks" dxfId="14" priority="1">
      <formula>LEN(TRIM(A1))=0</formula>
    </cfRule>
  </conditionalFormatting>
  <conditionalFormatting sqref="D341:D343 F341:R343">
    <cfRule type="colorScale" priority="4">
      <colorScale>
        <cfvo type="min"/>
        <cfvo type="percentile" val="50"/>
        <cfvo type="max"/>
        <color rgb="FFFCFCFF"/>
        <color rgb="FFDDF0C8"/>
        <color rgb="FF63BE7B"/>
      </colorScale>
    </cfRule>
  </conditionalFormatting>
  <conditionalFormatting sqref="D548:P549">
    <cfRule type="colorScale" priority="2">
      <colorScale>
        <cfvo type="min"/>
        <cfvo type="percentile" val="50"/>
        <cfvo type="max"/>
        <color rgb="FFFCFCFF"/>
        <color rgb="FFDDF0C8"/>
        <color rgb="FF63BE7B"/>
      </colorScale>
    </cfRule>
  </conditionalFormatting>
  <conditionalFormatting sqref="F344:R344 D344">
    <cfRule type="colorScale" priority="3">
      <colorScale>
        <cfvo type="min"/>
        <cfvo type="percentile" val="50"/>
        <cfvo type="max"/>
        <color rgb="FFFCFCFF"/>
        <color rgb="FFDDF0C8"/>
        <color rgb="FF63BE7B"/>
      </colorScale>
    </cfRule>
  </conditionalFormatting>
  <hyperlinks>
    <hyperlink ref="D257" r:id="rId1" display="http://fr.hc-optical.net/wholesale-price-eyeglass-lens-prices-semi-finished-1-56-single-vision-hmc-manufacturing-ophthalmic-lenses-product/" xr:uid="{1ECDF6F0-7370-4A98-9C3B-88E0601FB27E}"/>
    <hyperlink ref="D258" r:id="rId2" display="http://fr.hc-optical.net/wholesale-price-eyeglass-lens-prices-semi-finished-1-56-single-vision-hmc-manufacturing-ophthalmic-lenses-product/" xr:uid="{5AB9718C-5CCB-409A-ACA9-12F01A469DF5}"/>
    <hyperlink ref="D265" r:id="rId3" display="https://matot-braine.fr/au-sommaire/entreprises/novacel-une-vision-d-avenir-pour-le-leader-europeen-des-verres-optiques" xr:uid="{C65DAD60-3DBF-4F3D-A588-38BD9FAFDAD6}"/>
    <hyperlink ref="C287" r:id="rId4" display="http://fr.hc-optical.net/wholesale-price-eyeglass-lens-prices-semi-finished-1-56-single-vision-hmc-manufacturing-ophthalmic-lenses-product/" xr:uid="{4B505300-84A9-4735-97C9-D2BF2EA053E1}"/>
    <hyperlink ref="D289" r:id="rId5" display="http://fr.hc-optical.net/wholesale-price-eyeglass-lens-prices-semi-finished-1-56-single-vision-hmc-manufacturing-ophthalmic-lenses-product/" xr:uid="{8F6001A0-EBEF-4311-9541-04A8DD04287F}"/>
    <hyperlink ref="D287" r:id="rId6" display="https://www.frequenceoptic.fr/actualites/un-jour-chez-bbgr-le-verrier-qui-veut-voir-la-vie-en-vert.html" xr:uid="{92D2D6A9-4FA6-4CD4-BDD2-50AED0485226}"/>
    <hyperlink ref="F295" r:id="rId7" display="https://www.frequenceoptic.fr/actualites/un-jour-chez-bbgr-le-verrier-qui-veut-voir-la-vie-en-vert.html" xr:uid="{3ABA2C3A-D18E-4721-B889-A7544567640C}"/>
    <hyperlink ref="B130" r:id="rId8" display="https://www.snitem.fr/publications/livrets-innovation/le-livret-contactologie/" xr:uid="{D0396837-FC93-4D9F-85E0-5A4348F325EA}"/>
    <hyperlink ref="C527" r:id="rId9" display="https://youto08.en.made-in-china.com/product/mZeQgpBAIGcJ/China-Eye-Plastic-Party-Frames-See-Tortoise-Sunglasses-Square-Eyewear-China-Famous-Brands-Horn-Glasses-Fashion-Metal-Acetate-Kids-Optical-Distribution-Frame.html?pv_id=1ib9m6lmrb30&amp;faw_id=1ib9m6v0rf94" xr:uid="{F43B7F9D-6F57-488D-856E-F58DFD6E4D9E}"/>
    <hyperlink ref="D527" r:id="rId10" display="https://baiboeyeglass.en.made-in-china.com/product/CtyUbzFunEcW/China-New-Arrival-High-Quality-Full-Rim-Acetate-Rectangle-Optical-Frame-in-Optional-Colors.html?pv_id=1ib9m6lmrb30&amp;faw_id=1ib9miocj1af" xr:uid="{3495D78F-0A89-4161-9ED3-FF0BF18CD065}"/>
    <hyperlink ref="F265" r:id="rId11" display="https://gifo.org/entreprises/entreprises-membres/novacel/" xr:uid="{815A1D7F-43DD-4F4B-A3C7-8552E09A7848}"/>
    <hyperlink ref="F264" r:id="rId12" display="https://www.usinenouvelle.com/article/bbgr-augmente-de-30-ses-capacites-en-seine-et-marne-face-a-la-croissance-des-verres-optiques-nikon-en-france.N2210579" xr:uid="{90068950-FE0F-4DB2-B32F-39725C802403}"/>
    <hyperlink ref="I558" r:id="rId13" display="https://www.bnains.org/archives/communiques/Essilor/20240308_Document_d_enregistrement_universel_2023_EssilorLuxottica.pdf" xr:uid="{A4C2C0B8-72FD-4919-B20F-FA6B9F601522}"/>
    <hyperlink ref="B166" r:id="rId14" display="https://www.acuite.fr/actualite/profession/243669/en-4-ans-novacel-reduit-de-50-sa-consommation-denergie-et-sa-production" xr:uid="{56E4C6FF-2AE5-41C0-B5F7-79872BBB8B91}"/>
    <hyperlink ref="B229" r:id="rId15" display="https://www.acuite.fr/actualite/profession/243669/en-4-ans-novacel-reduit-de-50-sa-consommation-denergie-et-sa-production" xr:uid="{81C9743F-6DCD-4106-B4F8-F4B7161E738E}"/>
    <hyperlink ref="B315" r:id="rId16" display="https://www.acuite.fr/actualite/profession/243669/en-4-ans-novacel-reduit-de-50-sa-consommation-denergie-et-sa-production" xr:uid="{9E27FE0A-BE51-492D-B29B-D58BBA10B39B}"/>
    <hyperlink ref="G322" r:id="rId17" display="http://fr.hc-optical.net/wholesale-price-eyeglass-lens-prices-semi-finished-1-56-single-vision-hmc-manufacturing-ophthalmic-lenses-product/" xr:uid="{C7EBDC86-EF16-4F24-A4D2-34271638D806}"/>
    <hyperlink ref="D367" r:id="rId18" display="https://www.hoyavision.com/fr/produits-vision/fabrication-fran%C3%A7aise/" xr:uid="{F07D6448-CB98-438E-8FF8-E494B9C85AE8}"/>
    <hyperlink ref="D369" r:id="rId19" display="https://www.acuite.fr/actualite/profession/236066/focus-sur-la-fabrication-des-verres-zeiss" xr:uid="{3114F3E8-B0A3-47E0-ADDC-36291F6E33B9}"/>
    <hyperlink ref="D372" r:id="rId20" display="https://www.acuite.fr/actualite/produit/159057/dans-les-coulisses-du-centre-de-developpement-et-de-production-de-bbgr" xr:uid="{5FE5A367-4958-4B06-A078-8226A3621E41}"/>
    <hyperlink ref="D370" r:id="rId21" display="https://www.usinenouvelle.com/article/essilor-investit-4-2-millions-d-euros-a-dijon.N194714" xr:uid="{71E99FF6-FE16-4BCE-8F87-C939743F2273}"/>
    <hyperlink ref="D371" r:id="rId22" location=":~:text=Une%20production%20quasi%20artisanale%20de%20120%20verres%20par%20jour&amp;text=Une%20goutte%20d%27eau%20parmi,fabriqu%C3%A9s%20chaque%20ann%C3%A9e%20par%20Essilor." display="https://www.vosgesmatin.fr/actualite/2018/12/28/la-meuse-berceau-du-groupe-essilor - :~:text=Une%20production%20quasi%20artisanale%20de%20120%20verres%20par%20jour&amp;text=Une%20goutte%20d%27eau%20parmi,fabriqu%C3%A9s%20chaque%20ann%C3%A9e%20par%20Essilor." xr:uid="{2C34CA97-AA77-4C98-B0F7-62465FA21376}"/>
    <hyperlink ref="D373" r:id="rId23" display="https://cva-geii.parisnanterre.fr/accueil/semaine-de-lindustrie-2018-dut-geii" xr:uid="{8E17CF6E-EBDD-4C5A-9D56-645275A583BA}"/>
    <hyperlink ref="D374" r:id="rId24" display="https://www.usinenouvelle.com/article/essilor-a-investi-5-millions-d-euros.N14300" xr:uid="{D82AA3EA-58E0-4D33-A801-692BAF69B0AC}"/>
    <hyperlink ref="D364" r:id="rId25" display="https://www.acuite.fr/actualite/profession/261126/comment-sont-produits-les-semi-finis-immersion-chez-bbgr" xr:uid="{56DB49B3-FA06-4E7C-8485-590CB68BDB6E}"/>
    <hyperlink ref="D365" r:id="rId26" location=":~:text=Cinq%20millions%20de%20verres%20produits%20par%20an%20%C3%A0%20Dijon&amp;text=Il%20sort%20chaque%20ann%C3%A9e%20du,directeur%20du%20site%20Essilor%20Dijon." display="https://www.bienpublic.com/grand-dijon/2011/01/15/un-geant-au-coeur-de-la-ville - :~:text=Cinq%20millions%20de%20verres%20produits%20par%20an%20%C3%A0%20Dijon&amp;text=Il%20sort%20chaque%20ann%C3%A9e%20du,directeur%20du%20site%20Essilor%20Dijon." xr:uid="{9A767140-0E95-4855-8B73-73570AC95053}"/>
    <hyperlink ref="B462" r:id="rId27" display="https://assets.ctfassets.net/utaji99zkvj6/54Bbp0yCIH2i8Pb7GtBzXF/e769d8fcc03271fe8bbbf62326806470/A_T_-_LCA_Report.pdf" xr:uid="{21956989-CADE-49B9-A261-EEE31D76EB6D}"/>
    <hyperlink ref="C483" r:id="rId28" location="Tab6" display="https://link.springer.com/article/10.1007/s10924-023-03059-7 - Tab6" xr:uid="{2B95DE69-74E6-4DD1-874B-4F507B3F6446}"/>
    <hyperlink ref="B601" r:id="rId29" display="https://coopervision.co.uk/sites/coopervision.co.uk/files/clae_2021_smith_investigation_disposal_and_recycling_options_for_dd_and_monthyl_frp_soft_cl_modality_in_press_march2021.pdf" xr:uid="{F9FE2B90-24ED-4373-8EF1-82A99817F441}"/>
    <hyperlink ref="B609" r:id="rId30" display="https://clspectrum.com/issues/2019/august/the-environmental-impact-of-contact-lens-waste/" xr:uid="{F5908909-2E54-4FD2-B47C-4A536B1285C8}"/>
    <hyperlink ref="B649" r:id="rId31" display="https://www.gasnetworks.ie/docs/connect/Case-Study-Bausch-and-Lombe.pdf?utm_source=chatgpt.com" xr:uid="{6AF52A9E-953C-48A3-A697-E5BD986D26FF}"/>
    <hyperlink ref="D685" r:id="rId32" display="https://www.gasnetworks.ie/docs/connect/Case-Study-Bausch-and-Lombe.pdf?utm_source=chatgpt.com" xr:uid="{0107EAA4-EEBF-49F0-8701-5F56EF8ADF81}"/>
    <hyperlink ref="D686" r:id="rId33" display="https://cjfa.ie/projects/bausch-lomb-ida-technology-park-waterford-ireland/" xr:uid="{F0901BA1-F9D0-4636-AFB2-E92C943382C6}"/>
    <hyperlink ref="E440" r:id="rId34" display="https://www.acuite.fr/actualite/profession/243669/en-4-ans-novacel-reduit-de-50-sa-consommation-denergie-et-sa-production" xr:uid="{2316BE6C-F0A8-4E82-9867-47F844980BCF}"/>
    <hyperlink ref="E441" r:id="rId35" display="https://bodlenses.com/storage/app/media/2023 BOD Lenses Sustainability Report.pdf" xr:uid="{35ABBFDC-DA23-4504-A7EA-2A43DCA1CB0F}"/>
  </hyperlinks>
  <pageMargins left="0.7" right="0.7" top="0.75" bottom="0.75" header="0.3" footer="0.3"/>
  <pageSetup paperSize="9" orientation="portrait" r:id="rId36"/>
  <drawing r:id="rId37"/>
  <legacyDrawing r:id="rId38"/>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336873-5645-4F29-A2F2-AFE0498A9AEA}">
  <sheetPr>
    <tabColor theme="6"/>
  </sheetPr>
  <dimension ref="A1:Q336"/>
  <sheetViews>
    <sheetView zoomScale="60" zoomScaleNormal="60" workbookViewId="0">
      <selection sqref="A1:XFD2"/>
    </sheetView>
  </sheetViews>
  <sheetFormatPr baseColWidth="10" defaultColWidth="11" defaultRowHeight="14" outlineLevelRow="2"/>
  <cols>
    <col min="2" max="2" width="63" customWidth="1"/>
    <col min="3" max="3" width="18.5" customWidth="1"/>
    <col min="4" max="4" width="16.5" customWidth="1"/>
    <col min="5" max="5" width="17.6640625" customWidth="1"/>
    <col min="6" max="6" width="16.33203125" customWidth="1"/>
    <col min="7" max="7" width="51.1640625" customWidth="1"/>
    <col min="8" max="8" width="15.83203125" customWidth="1"/>
    <col min="9" max="9" width="13.5" bestFit="1" customWidth="1"/>
    <col min="10" max="10" width="22.1640625" customWidth="1"/>
    <col min="11" max="11" width="13" bestFit="1" customWidth="1"/>
    <col min="12" max="12" width="14" bestFit="1" customWidth="1"/>
    <col min="13" max="13" width="10.6640625" bestFit="1" customWidth="1"/>
    <col min="14" max="14" width="10.83203125" bestFit="1" customWidth="1"/>
    <col min="15" max="15" width="13.33203125" bestFit="1" customWidth="1"/>
    <col min="16" max="16" width="10.83203125" bestFit="1" customWidth="1"/>
  </cols>
  <sheetData>
    <row r="1" spans="1:13" s="1505" customFormat="1">
      <c r="A1" s="1505" t="s">
        <v>37</v>
      </c>
    </row>
    <row r="2" spans="1:13" s="1505" customFormat="1"/>
    <row r="5" spans="1:13">
      <c r="B5" s="1251" t="s">
        <v>38</v>
      </c>
    </row>
    <row r="6" spans="1:13">
      <c r="B6" s="1251"/>
    </row>
    <row r="8" spans="1:13" ht="23.5">
      <c r="B8" s="2" t="s">
        <v>180</v>
      </c>
    </row>
    <row r="10" spans="1:13" ht="14.5" hidden="1" outlineLevel="1" thickBot="1">
      <c r="B10" s="1251" t="s">
        <v>2759</v>
      </c>
    </row>
    <row r="11" spans="1:13" hidden="1" outlineLevel="1">
      <c r="B11" s="259"/>
      <c r="C11" s="1611" t="s">
        <v>2760</v>
      </c>
      <c r="D11" s="1611"/>
      <c r="E11" s="1611"/>
      <c r="F11" s="1611"/>
      <c r="G11" s="1611"/>
      <c r="H11" s="1611" t="s">
        <v>2761</v>
      </c>
      <c r="I11" s="1611"/>
      <c r="J11" s="1611"/>
      <c r="K11" s="1611"/>
      <c r="L11" s="1611"/>
      <c r="M11" s="1612"/>
    </row>
    <row r="12" spans="1:13" ht="28.5" hidden="1" outlineLevel="1" thickBot="1">
      <c r="B12" s="1196"/>
      <c r="C12" s="1197" t="s">
        <v>2762</v>
      </c>
      <c r="D12" s="1197" t="s">
        <v>2763</v>
      </c>
      <c r="E12" s="1197" t="s">
        <v>2764</v>
      </c>
      <c r="F12" s="1197" t="s">
        <v>2765</v>
      </c>
      <c r="G12" s="1197" t="s">
        <v>2766</v>
      </c>
      <c r="H12" s="1197" t="s">
        <v>593</v>
      </c>
      <c r="I12" s="1197" t="s">
        <v>2767</v>
      </c>
      <c r="J12" s="1197" t="s">
        <v>2768</v>
      </c>
      <c r="K12" s="1197" t="s">
        <v>2769</v>
      </c>
      <c r="L12" s="1197" t="s">
        <v>2770</v>
      </c>
      <c r="M12" s="1198" t="s">
        <v>83</v>
      </c>
    </row>
    <row r="13" spans="1:13" hidden="1" outlineLevel="1">
      <c r="B13" s="1194" t="s">
        <v>2771</v>
      </c>
      <c r="C13" s="1367">
        <f t="shared" ref="C13:C18" si="0">C184</f>
        <v>2.1137632135306554</v>
      </c>
      <c r="D13" s="1368">
        <f>C$218</f>
        <v>0.2439114810458301</v>
      </c>
      <c r="E13" s="1369"/>
      <c r="F13" s="1368">
        <f>SUM(C294:F294) + C$311/2</f>
        <v>1.0233397152796577</v>
      </c>
      <c r="G13" s="1195">
        <f>C320/2</f>
        <v>0.04</v>
      </c>
      <c r="H13" s="1370">
        <f>C13*$D282/10^6</f>
        <v>1.6484182420718816</v>
      </c>
      <c r="I13" s="1368">
        <f>D13*$D282/10^6</f>
        <v>0.19021436849359061</v>
      </c>
      <c r="J13" s="1371">
        <v>0</v>
      </c>
      <c r="K13" s="1368">
        <f>F13*$D282/10^6</f>
        <v>0.79805147696084111</v>
      </c>
      <c r="L13" s="1372">
        <f>G13*$D282/10^6</f>
        <v>3.1194E-2</v>
      </c>
      <c r="M13" s="1373">
        <f>SUM(H13:L13)</f>
        <v>2.6678780875263133</v>
      </c>
    </row>
    <row r="14" spans="1:13" hidden="1" outlineLevel="1">
      <c r="B14" s="1030" t="s">
        <v>2772</v>
      </c>
      <c r="C14" s="1374">
        <f t="shared" si="0"/>
        <v>3.5171181818181809</v>
      </c>
      <c r="D14" s="1375">
        <f>C$218</f>
        <v>0.2439114810458301</v>
      </c>
      <c r="E14" s="1376">
        <f>C241</f>
        <v>0.30319641850065671</v>
      </c>
      <c r="F14" s="1375">
        <f>SUM(C295:F295) + C$311/2</f>
        <v>2.2352117573934964</v>
      </c>
      <c r="G14" s="429">
        <f>C320/2</f>
        <v>0.04</v>
      </c>
      <c r="H14" s="1377">
        <f>C14*$D283/10^6</f>
        <v>2.7428246140909085</v>
      </c>
      <c r="I14" s="1375">
        <f>D14*$D283/10^6</f>
        <v>0.19021436849359061</v>
      </c>
      <c r="J14" s="1376">
        <f>E14*$D283/10^6</f>
        <v>0.23644772696773714</v>
      </c>
      <c r="K14" s="1375">
        <f>F14*$D283/10^6</f>
        <v>1.7431298890033182</v>
      </c>
      <c r="L14" s="1378">
        <f>G14*$D283/10^6</f>
        <v>3.1194E-2</v>
      </c>
      <c r="M14" s="1379">
        <f t="shared" ref="M14:M18" si="1">SUM(H14:L14)</f>
        <v>4.9438105985555545</v>
      </c>
    </row>
    <row r="15" spans="1:13" hidden="1" outlineLevel="1">
      <c r="B15" s="1030" t="s">
        <v>2773</v>
      </c>
      <c r="C15" s="1374">
        <f t="shared" si="0"/>
        <v>2.1150221552897561E-2</v>
      </c>
      <c r="D15" s="1375"/>
      <c r="E15" s="1266"/>
      <c r="F15" s="1380">
        <f>SUM(C296:F296)*C285/C289</f>
        <v>4.0186500844677469E-4</v>
      </c>
      <c r="G15" s="429">
        <f>E330</f>
        <v>6.2E-4</v>
      </c>
      <c r="H15" s="1377">
        <f t="shared" ref="H15:L18" si="2">C15*$D285/10^6</f>
        <v>3.1231432355643077E-2</v>
      </c>
      <c r="I15" s="1375">
        <f t="shared" si="2"/>
        <v>0</v>
      </c>
      <c r="J15" s="1375">
        <f t="shared" si="2"/>
        <v>0</v>
      </c>
      <c r="K15" s="1375">
        <f t="shared" si="2"/>
        <v>5.9341316099291289E-4</v>
      </c>
      <c r="L15" s="1378">
        <f t="shared" si="2"/>
        <v>9.1552175999999998E-4</v>
      </c>
      <c r="M15" s="1379">
        <f t="shared" si="1"/>
        <v>3.2740367276635991E-2</v>
      </c>
    </row>
    <row r="16" spans="1:13" hidden="1" outlineLevel="1">
      <c r="B16" s="1030" t="s">
        <v>2774</v>
      </c>
      <c r="C16" s="1374">
        <f t="shared" si="0"/>
        <v>5.8674808179006138E-2</v>
      </c>
      <c r="D16" s="1375"/>
      <c r="E16" s="1266"/>
      <c r="F16" s="1380">
        <f>SUM(C296:F296)*C286/C289</f>
        <v>6.6977501407795782E-4</v>
      </c>
      <c r="G16" s="429">
        <f t="shared" ref="G16:G17" si="3">E331</f>
        <v>1.72E-3</v>
      </c>
      <c r="H16" s="1377">
        <f t="shared" si="2"/>
        <v>0.12814155647676054</v>
      </c>
      <c r="I16" s="1375">
        <f t="shared" si="2"/>
        <v>0</v>
      </c>
      <c r="J16" s="1375">
        <f t="shared" si="2"/>
        <v>0</v>
      </c>
      <c r="K16" s="1375">
        <f t="shared" si="2"/>
        <v>1.4627404069452463E-3</v>
      </c>
      <c r="L16" s="1378">
        <f t="shared" si="2"/>
        <v>3.75635616E-3</v>
      </c>
      <c r="M16" s="1379">
        <f t="shared" si="1"/>
        <v>0.13336065304370578</v>
      </c>
    </row>
    <row r="17" spans="2:16" hidden="1" outlineLevel="1">
      <c r="B17" s="1030" t="s">
        <v>2775</v>
      </c>
      <c r="C17" s="1381">
        <f t="shared" si="0"/>
        <v>3.6160056203340993E-2</v>
      </c>
      <c r="D17" s="1323"/>
      <c r="E17" s="1266"/>
      <c r="F17" s="1382">
        <f>SUM(C296:F296)*C287/C289</f>
        <v>5.3582001126236626E-4</v>
      </c>
      <c r="G17" s="429">
        <f t="shared" si="3"/>
        <v>1.06E-3</v>
      </c>
      <c r="H17" s="1383">
        <f t="shared" si="2"/>
        <v>0.16843932740415488</v>
      </c>
      <c r="I17" s="1323">
        <f t="shared" si="2"/>
        <v>0</v>
      </c>
      <c r="J17" s="1323">
        <f t="shared" si="2"/>
        <v>0</v>
      </c>
      <c r="K17" s="1323">
        <f t="shared" si="2"/>
        <v>2.495935343661904E-3</v>
      </c>
      <c r="L17" s="1384">
        <f t="shared" si="2"/>
        <v>4.9376495999999999E-3</v>
      </c>
      <c r="M17" s="1379">
        <f t="shared" si="1"/>
        <v>0.1758729123478168</v>
      </c>
    </row>
    <row r="18" spans="2:16" ht="14.5" hidden="1" outlineLevel="1" thickBot="1">
      <c r="B18" s="1031" t="s">
        <v>2776</v>
      </c>
      <c r="C18" s="1385">
        <f t="shared" si="0"/>
        <v>0.12076094241493124</v>
      </c>
      <c r="D18" s="1324"/>
      <c r="E18" s="1267"/>
      <c r="F18" s="1386">
        <f>SUM(C296:F296)*C288/C289</f>
        <v>1.143082690693048E-3</v>
      </c>
      <c r="G18" s="429">
        <f>E333</f>
        <v>3.5400000000000002E-3</v>
      </c>
      <c r="H18" s="1387">
        <f t="shared" si="2"/>
        <v>2.9393824434162883</v>
      </c>
      <c r="I18" s="1388">
        <f t="shared" si="2"/>
        <v>0</v>
      </c>
      <c r="J18" s="1388">
        <f t="shared" si="2"/>
        <v>0</v>
      </c>
      <c r="K18" s="1388">
        <f t="shared" si="2"/>
        <v>2.7823211091310279E-2</v>
      </c>
      <c r="L18" s="1389">
        <f t="shared" si="2"/>
        <v>8.616539124E-2</v>
      </c>
      <c r="M18" s="1379">
        <f t="shared" si="1"/>
        <v>3.0533710457475989</v>
      </c>
    </row>
    <row r="19" spans="2:16" ht="14.5" hidden="1" outlineLevel="1" thickBot="1">
      <c r="C19" s="1390"/>
      <c r="D19" s="1251"/>
      <c r="F19" s="143"/>
      <c r="G19" s="1199" t="s">
        <v>2777</v>
      </c>
      <c r="H19" s="1391">
        <f>SUM(H15:H18)</f>
        <v>3.2671947596528468</v>
      </c>
      <c r="I19" s="1392">
        <f>SUM(I15:I18)</f>
        <v>0</v>
      </c>
      <c r="J19" s="1392">
        <f>SUM(J15:J18)</f>
        <v>0</v>
      </c>
      <c r="K19" s="1392">
        <f>SUM(K15:K18)</f>
        <v>3.2375300002910341E-2</v>
      </c>
      <c r="L19" s="1393">
        <f>SUM(L15:L18)</f>
        <v>9.5774918759999994E-2</v>
      </c>
      <c r="M19" s="1394"/>
    </row>
    <row r="20" spans="2:16" ht="14.5" hidden="1" outlineLevel="1" thickBot="1">
      <c r="B20" s="1251"/>
      <c r="C20" s="1251"/>
      <c r="D20" s="1251"/>
      <c r="E20" s="143"/>
      <c r="F20" s="143"/>
      <c r="G20" s="143"/>
      <c r="L20" s="1200" t="s">
        <v>83</v>
      </c>
      <c r="M20" s="1029">
        <f>SUM(M13:M18)</f>
        <v>11.007033664497627</v>
      </c>
    </row>
    <row r="21" spans="2:16" hidden="1" outlineLevel="1">
      <c r="G21" s="143"/>
      <c r="I21" s="143"/>
      <c r="J21" s="143"/>
      <c r="K21" s="143"/>
    </row>
    <row r="22" spans="2:16" ht="14.5" hidden="1" outlineLevel="1" thickBot="1">
      <c r="B22" s="1251" t="s">
        <v>2778</v>
      </c>
      <c r="C22" s="1251"/>
      <c r="D22" s="1251"/>
      <c r="E22" s="1251"/>
      <c r="F22" s="1251"/>
      <c r="G22" s="401"/>
      <c r="J22" s="3" t="s">
        <v>2779</v>
      </c>
      <c r="K22" s="401"/>
      <c r="L22" s="401"/>
    </row>
    <row r="23" spans="2:16" ht="56" hidden="1" outlineLevel="1">
      <c r="B23" s="456"/>
      <c r="C23" s="404" t="s">
        <v>187</v>
      </c>
      <c r="D23" s="404" t="s">
        <v>86</v>
      </c>
      <c r="E23" s="404" t="s">
        <v>2432</v>
      </c>
      <c r="F23" s="404" t="s">
        <v>2780</v>
      </c>
      <c r="G23" s="404" t="s">
        <v>88</v>
      </c>
      <c r="H23" s="405" t="s">
        <v>89</v>
      </c>
      <c r="J23" s="456"/>
      <c r="K23" s="404" t="s">
        <v>187</v>
      </c>
      <c r="L23" s="404" t="s">
        <v>86</v>
      </c>
      <c r="M23" s="404" t="s">
        <v>2432</v>
      </c>
      <c r="N23" s="404" t="s">
        <v>2780</v>
      </c>
      <c r="O23" s="404" t="s">
        <v>88</v>
      </c>
      <c r="P23" s="405" t="s">
        <v>89</v>
      </c>
    </row>
    <row r="24" spans="2:16" hidden="1" outlineLevel="1">
      <c r="B24" s="276" t="s">
        <v>2771</v>
      </c>
      <c r="C24" s="1395">
        <f t="shared" ref="C24:E25" si="4">H13</f>
        <v>1.6484182420718816</v>
      </c>
      <c r="D24" s="1395">
        <f t="shared" si="4"/>
        <v>0.19021436849359061</v>
      </c>
      <c r="E24" s="1395">
        <f t="shared" si="4"/>
        <v>0</v>
      </c>
      <c r="F24" s="328">
        <f>SUM(H15:L18)</f>
        <v>3.395344978415757</v>
      </c>
      <c r="G24" s="1395">
        <f>K13</f>
        <v>0.79805147696084111</v>
      </c>
      <c r="H24" s="1396">
        <f>L13</f>
        <v>3.1194E-2</v>
      </c>
      <c r="J24" s="276" t="s">
        <v>2771</v>
      </c>
      <c r="K24" s="1397">
        <f t="shared" ref="K24:M25" si="5">C13</f>
        <v>2.1137632135306554</v>
      </c>
      <c r="L24" s="1397">
        <f t="shared" si="5"/>
        <v>0.2439114810458301</v>
      </c>
      <c r="M24" s="1397">
        <f t="shared" si="5"/>
        <v>0</v>
      </c>
      <c r="N24" s="714">
        <f>10^6*SUM(H19:L19)/$D282</f>
        <v>4.3538436602112682</v>
      </c>
      <c r="O24" s="1397">
        <f>F13</f>
        <v>1.0233397152796577</v>
      </c>
      <c r="P24" s="1398">
        <f>G13</f>
        <v>0.04</v>
      </c>
    </row>
    <row r="25" spans="2:16" ht="28.5" hidden="1" outlineLevel="1" thickBot="1">
      <c r="B25" s="281" t="s">
        <v>2781</v>
      </c>
      <c r="C25" s="1399">
        <f t="shared" si="4"/>
        <v>2.7428246140909085</v>
      </c>
      <c r="D25" s="1399">
        <f t="shared" si="4"/>
        <v>0.19021436849359061</v>
      </c>
      <c r="E25" s="1399">
        <f t="shared" si="4"/>
        <v>0.23644772696773714</v>
      </c>
      <c r="F25" s="22"/>
      <c r="G25" s="1399">
        <f>K14</f>
        <v>1.7431298890033182</v>
      </c>
      <c r="H25" s="1400">
        <f>L14</f>
        <v>3.1194E-2</v>
      </c>
      <c r="J25" s="281" t="s">
        <v>2781</v>
      </c>
      <c r="K25" s="1401">
        <f t="shared" si="5"/>
        <v>3.5171181818181809</v>
      </c>
      <c r="L25" s="1401">
        <f t="shared" si="5"/>
        <v>0.2439114810458301</v>
      </c>
      <c r="M25" s="1401">
        <f t="shared" si="5"/>
        <v>0.30319641850065671</v>
      </c>
      <c r="N25" s="715"/>
      <c r="O25" s="1401">
        <f>F14</f>
        <v>2.2352117573934964</v>
      </c>
      <c r="P25" s="1402">
        <f>G14</f>
        <v>0.04</v>
      </c>
    </row>
    <row r="26" spans="2:16" hidden="1" outlineLevel="1">
      <c r="B26" s="1251"/>
      <c r="C26" s="1251"/>
      <c r="D26" s="1251"/>
    </row>
    <row r="27" spans="2:16" hidden="1" outlineLevel="1">
      <c r="B27" s="1251"/>
      <c r="C27" s="1251"/>
      <c r="D27" s="1251"/>
    </row>
    <row r="28" spans="2:16" hidden="1" outlineLevel="1">
      <c r="B28" s="1251"/>
      <c r="C28" s="1251"/>
      <c r="D28" s="1251"/>
    </row>
    <row r="29" spans="2:16" hidden="1" outlineLevel="1">
      <c r="B29" s="1251"/>
      <c r="C29" s="1251"/>
      <c r="D29" s="1251"/>
    </row>
    <row r="30" spans="2:16" hidden="1" outlineLevel="1">
      <c r="B30" s="1251"/>
      <c r="C30" s="1251"/>
      <c r="D30" s="1251"/>
    </row>
    <row r="31" spans="2:16" hidden="1" outlineLevel="1"/>
    <row r="32" spans="2:16" hidden="1" outlineLevel="1"/>
    <row r="33" spans="2:2" hidden="1" outlineLevel="1"/>
    <row r="34" spans="2:2" hidden="1" outlineLevel="1"/>
    <row r="35" spans="2:2" hidden="1" outlineLevel="1"/>
    <row r="36" spans="2:2" hidden="1" outlineLevel="1"/>
    <row r="37" spans="2:2" hidden="1" outlineLevel="1"/>
    <row r="38" spans="2:2" hidden="1" outlineLevel="1"/>
    <row r="39" spans="2:2" hidden="1" outlineLevel="1"/>
    <row r="40" spans="2:2" hidden="1" outlineLevel="1"/>
    <row r="41" spans="2:2" hidden="1" outlineLevel="1"/>
    <row r="42" spans="2:2" hidden="1" outlineLevel="1"/>
    <row r="43" spans="2:2" hidden="1" outlineLevel="1"/>
    <row r="44" spans="2:2" hidden="1" outlineLevel="1"/>
    <row r="45" spans="2:2" hidden="1" outlineLevel="1"/>
    <row r="46" spans="2:2" collapsed="1"/>
    <row r="47" spans="2:2" ht="23.5">
      <c r="B47" s="2" t="s">
        <v>1130</v>
      </c>
    </row>
    <row r="49" spans="2:12" ht="18">
      <c r="B49" s="258" t="s">
        <v>2782</v>
      </c>
      <c r="F49" s="75"/>
      <c r="G49" s="76"/>
      <c r="H49" s="76"/>
    </row>
    <row r="51" spans="2:12" ht="14.5" hidden="1" outlineLevel="1" thickBot="1">
      <c r="B51" s="1251" t="s">
        <v>2783</v>
      </c>
      <c r="D51" s="87"/>
      <c r="F51" s="75"/>
      <c r="G51" s="76"/>
      <c r="H51" s="76"/>
    </row>
    <row r="52" spans="2:12" ht="28" hidden="1" outlineLevel="1">
      <c r="B52" s="402"/>
      <c r="C52" s="404" t="s">
        <v>2784</v>
      </c>
      <c r="D52" s="405" t="s">
        <v>2339</v>
      </c>
      <c r="F52" s="75"/>
      <c r="G52" s="76"/>
      <c r="H52" s="76"/>
    </row>
    <row r="53" spans="2:12" ht="14.5" hidden="1" outlineLevel="1" thickBot="1">
      <c r="B53" s="403" t="s">
        <v>37</v>
      </c>
      <c r="C53" s="1355">
        <f>370242120.93+25805882.08</f>
        <v>396048003.00999999</v>
      </c>
      <c r="D53" s="15">
        <f>1430413+24896</f>
        <v>1455309</v>
      </c>
      <c r="F53" s="417"/>
      <c r="G53" s="76"/>
      <c r="H53" s="76"/>
    </row>
    <row r="54" spans="2:12" hidden="1" outlineLevel="1">
      <c r="B54" s="1251"/>
      <c r="F54" s="75"/>
      <c r="G54" s="76"/>
      <c r="H54" s="76"/>
    </row>
    <row r="55" spans="2:12" hidden="1" outlineLevel="1">
      <c r="B55" s="1251" t="s">
        <v>2785</v>
      </c>
      <c r="F55" s="75"/>
      <c r="G55" s="76"/>
      <c r="H55" s="76"/>
    </row>
    <row r="56" spans="2:12" ht="14.5" hidden="1" outlineLevel="1" thickBot="1">
      <c r="B56" s="1251"/>
      <c r="F56" s="75"/>
      <c r="G56" s="76"/>
      <c r="H56" s="76"/>
    </row>
    <row r="57" spans="2:12" ht="28" hidden="1" customHeight="1" outlineLevel="1">
      <c r="B57" s="402"/>
      <c r="C57" s="405" t="s">
        <v>2786</v>
      </c>
      <c r="D57" s="87" t="s">
        <v>2787</v>
      </c>
      <c r="F57" s="75"/>
      <c r="G57" s="76"/>
      <c r="H57" s="1335"/>
      <c r="I57" s="1"/>
      <c r="J57" s="1"/>
      <c r="K57" s="1"/>
      <c r="L57" s="1"/>
    </row>
    <row r="58" spans="2:12" hidden="1" outlineLevel="1">
      <c r="B58" s="408" t="s">
        <v>2788</v>
      </c>
      <c r="C58" s="319">
        <f>1559700</f>
        <v>1559700</v>
      </c>
      <c r="F58" s="75"/>
      <c r="G58" s="76"/>
      <c r="H58" s="1"/>
      <c r="I58" s="1"/>
      <c r="J58" s="1"/>
      <c r="K58" s="1"/>
      <c r="L58" s="1"/>
    </row>
    <row r="59" spans="2:12" ht="14.5" hidden="1" outlineLevel="1">
      <c r="B59" s="409" t="s">
        <v>2789</v>
      </c>
      <c r="C59" s="410">
        <v>0.81</v>
      </c>
      <c r="F59" s="75"/>
      <c r="G59" s="76"/>
      <c r="H59" s="1"/>
      <c r="I59" s="1"/>
      <c r="J59" s="1"/>
      <c r="K59" s="1"/>
      <c r="L59" s="1"/>
    </row>
    <row r="60" spans="2:12" ht="14.5" hidden="1" outlineLevel="1">
      <c r="B60" s="409" t="s">
        <v>2790</v>
      </c>
      <c r="C60" s="410">
        <v>0.11</v>
      </c>
      <c r="F60" s="75"/>
      <c r="G60" s="76"/>
      <c r="H60" s="1"/>
      <c r="I60" s="1"/>
      <c r="J60" s="1"/>
      <c r="K60" s="1"/>
      <c r="L60" s="1"/>
    </row>
    <row r="61" spans="2:12" ht="15" hidden="1" outlineLevel="1" thickBot="1">
      <c r="B61" s="406" t="s">
        <v>2791</v>
      </c>
      <c r="C61" s="407">
        <v>0.08</v>
      </c>
      <c r="E61" s="435"/>
      <c r="F61" s="75"/>
      <c r="G61" s="76"/>
      <c r="H61" s="1"/>
      <c r="I61" s="1"/>
      <c r="J61" s="1"/>
      <c r="K61" s="1"/>
      <c r="L61" s="1"/>
    </row>
    <row r="62" spans="2:12" hidden="1" outlineLevel="1">
      <c r="B62" s="1251"/>
      <c r="F62" s="75"/>
      <c r="G62" s="76"/>
      <c r="H62" s="1"/>
      <c r="I62" s="1"/>
      <c r="J62" s="1"/>
      <c r="K62" s="1"/>
      <c r="L62" s="1"/>
    </row>
    <row r="63" spans="2:12" hidden="1" outlineLevel="1">
      <c r="B63" s="1251" t="s">
        <v>2792</v>
      </c>
      <c r="C63" s="87" t="s">
        <v>2793</v>
      </c>
      <c r="F63" s="75"/>
      <c r="G63" s="76"/>
      <c r="H63" s="76"/>
    </row>
    <row r="64" spans="2:12" hidden="1" outlineLevel="1">
      <c r="B64" s="1251" t="s">
        <v>2794</v>
      </c>
      <c r="F64" s="75"/>
      <c r="G64" s="76"/>
      <c r="H64" s="76"/>
    </row>
    <row r="65" spans="2:8" hidden="1" outlineLevel="1">
      <c r="B65" s="1251"/>
      <c r="F65" s="75"/>
      <c r="G65" s="76"/>
      <c r="H65" s="76"/>
    </row>
    <row r="66" spans="2:8" hidden="1" outlineLevel="1">
      <c r="B66" s="1251" t="s">
        <v>2795</v>
      </c>
      <c r="F66" s="75"/>
      <c r="G66" s="76"/>
      <c r="H66" s="76"/>
    </row>
    <row r="67" spans="2:8" hidden="1" outlineLevel="1">
      <c r="B67" s="1343" t="s">
        <v>2796</v>
      </c>
      <c r="C67" s="87" t="s">
        <v>2797</v>
      </c>
      <c r="F67" s="75"/>
      <c r="G67" s="76"/>
      <c r="H67" s="76"/>
    </row>
    <row r="68" spans="2:8" ht="14.5" hidden="1" outlineLevel="1" thickBot="1">
      <c r="B68" s="1251" t="s">
        <v>2798</v>
      </c>
      <c r="F68" s="75"/>
      <c r="G68" s="76"/>
      <c r="H68" s="76"/>
    </row>
    <row r="69" spans="2:8" ht="14.5" hidden="1" outlineLevel="1" thickBot="1">
      <c r="B69" s="434" t="s">
        <v>2799</v>
      </c>
      <c r="C69" s="142">
        <f>3000000+3*130000</f>
        <v>3390000</v>
      </c>
      <c r="F69" s="75"/>
      <c r="G69" s="76"/>
      <c r="H69" s="76"/>
    </row>
    <row r="70" spans="2:8" hidden="1" outlineLevel="1">
      <c r="B70" s="1251"/>
      <c r="E70" s="23"/>
      <c r="F70" s="75"/>
      <c r="G70" s="76"/>
      <c r="H70" s="76"/>
    </row>
    <row r="71" spans="2:8" collapsed="1">
      <c r="B71" s="1251"/>
      <c r="F71" s="75"/>
      <c r="G71" s="75"/>
      <c r="H71" s="76"/>
    </row>
    <row r="72" spans="2:8" ht="18">
      <c r="B72" s="258" t="s">
        <v>2800</v>
      </c>
    </row>
    <row r="74" spans="2:8" hidden="1" outlineLevel="1">
      <c r="B74" s="1343" t="s">
        <v>2801</v>
      </c>
      <c r="C74" s="76"/>
      <c r="D74" s="87"/>
    </row>
    <row r="75" spans="2:8" ht="14.5" hidden="1" outlineLevel="1" thickBot="1">
      <c r="B75" s="1343"/>
      <c r="C75" s="76"/>
      <c r="D75" s="76"/>
    </row>
    <row r="76" spans="2:8" ht="28" hidden="1" outlineLevel="1">
      <c r="B76" s="273" t="s">
        <v>2802</v>
      </c>
      <c r="C76" s="404" t="s">
        <v>2784</v>
      </c>
      <c r="D76" s="404" t="s">
        <v>2339</v>
      </c>
      <c r="E76" s="288" t="s">
        <v>588</v>
      </c>
    </row>
    <row r="77" spans="2:8" hidden="1" outlineLevel="1">
      <c r="B77" s="276" t="s">
        <v>2803</v>
      </c>
      <c r="C77" s="81">
        <v>64634722.320000008</v>
      </c>
      <c r="D77" s="81">
        <v>1476648</v>
      </c>
      <c r="E77" s="411">
        <f>D77/SUM(D$77:D$80)</f>
        <v>4.5213786651876364E-2</v>
      </c>
    </row>
    <row r="78" spans="2:8" hidden="1" outlineLevel="1">
      <c r="B78" s="276" t="s">
        <v>2804</v>
      </c>
      <c r="C78" s="81">
        <v>94374357</v>
      </c>
      <c r="D78" s="81">
        <v>2183928</v>
      </c>
      <c r="E78" s="411">
        <f>D78/SUM(D$77:D$80)</f>
        <v>6.6870137402454108E-2</v>
      </c>
    </row>
    <row r="79" spans="2:8" hidden="1" outlineLevel="1">
      <c r="B79" s="276" t="s">
        <v>2805</v>
      </c>
      <c r="C79" s="81">
        <v>199722135.84999999</v>
      </c>
      <c r="D79" s="81">
        <v>4658160</v>
      </c>
      <c r="E79" s="411">
        <f>D79/SUM(D$77:D$80)</f>
        <v>0.14262915226262754</v>
      </c>
    </row>
    <row r="80" spans="2:8" hidden="1" outlineLevel="1">
      <c r="B80" s="276" t="s">
        <v>2806</v>
      </c>
      <c r="C80" s="11">
        <v>34713979.43999999</v>
      </c>
      <c r="D80" s="11">
        <v>24340506</v>
      </c>
      <c r="E80" s="412">
        <f>D80/SUM(D$77:D$80)</f>
        <v>0.74528692368304195</v>
      </c>
      <c r="F80" s="76"/>
    </row>
    <row r="81" spans="2:6" ht="14.5" hidden="1" outlineLevel="1" thickBot="1">
      <c r="B81" s="281" t="s">
        <v>83</v>
      </c>
      <c r="C81" s="14">
        <f>SUM(C77:C80)</f>
        <v>393445194.60999995</v>
      </c>
      <c r="D81" s="198">
        <f>SUM(D77:D80)</f>
        <v>32659242</v>
      </c>
      <c r="E81" s="313">
        <f>SUM(E77:E80)</f>
        <v>1</v>
      </c>
      <c r="F81" s="76"/>
    </row>
    <row r="82" spans="2:6" hidden="1" outlineLevel="1"/>
    <row r="83" spans="2:6" hidden="1" outlineLevel="1">
      <c r="B83" s="1343" t="s">
        <v>2807</v>
      </c>
    </row>
    <row r="84" spans="2:6" hidden="1" outlineLevel="1">
      <c r="B84" s="1343" t="s">
        <v>2808</v>
      </c>
    </row>
    <row r="85" spans="2:6" ht="14.5" hidden="1" outlineLevel="1" thickBot="1"/>
    <row r="86" spans="2:6" ht="28" hidden="1" outlineLevel="1">
      <c r="B86" s="273" t="s">
        <v>2802</v>
      </c>
      <c r="C86" s="404" t="s">
        <v>2339</v>
      </c>
      <c r="D86" s="405" t="s">
        <v>2809</v>
      </c>
    </row>
    <row r="87" spans="2:6" hidden="1" outlineLevel="1">
      <c r="B87" s="276" t="s">
        <v>2803</v>
      </c>
      <c r="C87" s="81">
        <f>D77</f>
        <v>1476648</v>
      </c>
      <c r="D87" s="270">
        <v>6</v>
      </c>
    </row>
    <row r="88" spans="2:6" hidden="1" outlineLevel="1">
      <c r="B88" s="276" t="s">
        <v>2804</v>
      </c>
      <c r="C88" s="81">
        <f>D78</f>
        <v>2183928</v>
      </c>
      <c r="D88" s="270">
        <v>15</v>
      </c>
    </row>
    <row r="89" spans="2:6" hidden="1" outlineLevel="1">
      <c r="B89" s="276" t="s">
        <v>2805</v>
      </c>
      <c r="C89" s="81">
        <f>D79</f>
        <v>4658160</v>
      </c>
      <c r="D89" s="17">
        <v>10</v>
      </c>
    </row>
    <row r="90" spans="2:6" ht="14.5" hidden="1" outlineLevel="1" thickBot="1">
      <c r="B90" s="281" t="s">
        <v>2806</v>
      </c>
      <c r="C90" s="82">
        <f>D80</f>
        <v>24340506</v>
      </c>
      <c r="D90" s="38">
        <v>20</v>
      </c>
    </row>
    <row r="91" spans="2:6" hidden="1" outlineLevel="1"/>
    <row r="92" spans="2:6" hidden="1" outlineLevel="1">
      <c r="B92" s="1343" t="s">
        <v>2810</v>
      </c>
      <c r="C92" s="76">
        <f>SUMPRODUCT(C87:C90,D87:D90)/365</f>
        <v>1575371.3095890412</v>
      </c>
      <c r="D92" s="1251" t="s">
        <v>2811</v>
      </c>
    </row>
    <row r="93" spans="2:6" hidden="1" outlineLevel="1">
      <c r="B93" s="1343" t="s">
        <v>2812</v>
      </c>
      <c r="C93" s="39">
        <f>C92/C69</f>
        <v>0.46471130076372896</v>
      </c>
      <c r="D93" s="1251" t="s">
        <v>2813</v>
      </c>
    </row>
    <row r="94" spans="2:6" hidden="1" outlineLevel="1"/>
    <row r="95" spans="2:6" collapsed="1"/>
    <row r="96" spans="2:6" ht="23.5">
      <c r="B96" s="2" t="s">
        <v>864</v>
      </c>
    </row>
    <row r="98" spans="2:9" ht="18">
      <c r="B98" s="258" t="s">
        <v>408</v>
      </c>
    </row>
    <row r="100" spans="2:9" hidden="1" outlineLevel="1">
      <c r="B100" s="1251" t="s">
        <v>2814</v>
      </c>
    </row>
    <row r="101" spans="2:9" hidden="1" outlineLevel="1"/>
    <row r="102" spans="2:9" hidden="1" outlineLevel="1">
      <c r="B102" s="3" t="s">
        <v>37</v>
      </c>
    </row>
    <row r="103" spans="2:9" ht="14.5" hidden="1" outlineLevel="1" thickBot="1">
      <c r="B103" s="1251" t="s">
        <v>2815</v>
      </c>
    </row>
    <row r="104" spans="2:9" ht="28" hidden="1" outlineLevel="1">
      <c r="B104" s="259"/>
      <c r="C104" s="404" t="s">
        <v>898</v>
      </c>
      <c r="D104" s="405" t="s">
        <v>2816</v>
      </c>
      <c r="E104" s="1251"/>
    </row>
    <row r="105" spans="2:9" hidden="1" outlineLevel="1">
      <c r="B105" s="276" t="s">
        <v>2817</v>
      </c>
      <c r="C105" s="1403" t="s">
        <v>2167</v>
      </c>
      <c r="D105" s="79">
        <v>10</v>
      </c>
      <c r="E105" s="1251"/>
    </row>
    <row r="106" spans="2:9" hidden="1" outlineLevel="1">
      <c r="B106" s="276" t="s">
        <v>2818</v>
      </c>
      <c r="C106" s="1403" t="s">
        <v>2819</v>
      </c>
      <c r="D106" s="79">
        <v>5</v>
      </c>
      <c r="G106" s="413"/>
    </row>
    <row r="107" spans="2:9" hidden="1" outlineLevel="1">
      <c r="B107" s="276" t="s">
        <v>2820</v>
      </c>
      <c r="C107" s="1403" t="s">
        <v>2167</v>
      </c>
      <c r="D107" s="66">
        <v>10</v>
      </c>
      <c r="G107" s="1335"/>
      <c r="H107" s="1335"/>
      <c r="I107" s="1335"/>
    </row>
    <row r="108" spans="2:9" ht="28.5" hidden="1" outlineLevel="1" thickBot="1">
      <c r="B108" s="281" t="s">
        <v>2821</v>
      </c>
      <c r="C108" s="1404" t="s">
        <v>133</v>
      </c>
      <c r="D108" s="67">
        <v>10</v>
      </c>
    </row>
    <row r="109" spans="2:9" hidden="1" outlineLevel="1">
      <c r="G109" s="1251"/>
      <c r="H109" s="1251"/>
    </row>
    <row r="110" spans="2:9" ht="14.5" hidden="1" outlineLevel="1" thickBot="1">
      <c r="B110" s="3" t="s">
        <v>2822</v>
      </c>
    </row>
    <row r="111" spans="2:9" ht="28" hidden="1" outlineLevel="1">
      <c r="B111" s="259"/>
      <c r="C111" s="404" t="s">
        <v>898</v>
      </c>
      <c r="D111" s="405" t="s">
        <v>2816</v>
      </c>
    </row>
    <row r="112" spans="2:9" hidden="1" outlineLevel="1">
      <c r="B112" s="276" t="s">
        <v>2823</v>
      </c>
      <c r="C112" s="1403" t="s">
        <v>2167</v>
      </c>
      <c r="D112" s="79">
        <v>50</v>
      </c>
    </row>
    <row r="113" spans="2:7" ht="28.5" hidden="1" outlineLevel="1" thickBot="1">
      <c r="B113" s="281" t="s">
        <v>2824</v>
      </c>
      <c r="C113" s="1405" t="s">
        <v>133</v>
      </c>
      <c r="D113" s="67">
        <v>50</v>
      </c>
    </row>
    <row r="114" spans="2:7" hidden="1" outlineLevel="1"/>
    <row r="115" spans="2:7" hidden="1" outlineLevel="1">
      <c r="B115" s="1251" t="s">
        <v>2825</v>
      </c>
    </row>
    <row r="116" spans="2:7" hidden="1" outlineLevel="1">
      <c r="B116" s="87" t="s">
        <v>2826</v>
      </c>
    </row>
    <row r="117" spans="2:7" hidden="1" outlineLevel="1">
      <c r="B117" s="1251" t="s">
        <v>2827</v>
      </c>
    </row>
    <row r="118" spans="2:7" hidden="1" outlineLevel="1">
      <c r="B118" s="3"/>
    </row>
    <row r="119" spans="2:7" hidden="1" outlineLevel="1">
      <c r="B119" s="3" t="s">
        <v>2828</v>
      </c>
      <c r="G119" s="1406"/>
    </row>
    <row r="120" spans="2:7" ht="14.5" hidden="1" outlineLevel="1" thickBot="1">
      <c r="C120" s="1251" t="s">
        <v>2829</v>
      </c>
      <c r="D120" s="87" t="s">
        <v>2830</v>
      </c>
      <c r="G120" s="1406"/>
    </row>
    <row r="121" spans="2:7" hidden="1" outlineLevel="1">
      <c r="B121" s="273" t="s">
        <v>2802</v>
      </c>
      <c r="C121" s="404" t="s">
        <v>2809</v>
      </c>
      <c r="D121" s="405" t="s">
        <v>2137</v>
      </c>
      <c r="G121" s="1406"/>
    </row>
    <row r="122" spans="2:7" hidden="1" outlineLevel="1">
      <c r="B122" s="276">
        <v>10</v>
      </c>
      <c r="C122" s="81">
        <v>6</v>
      </c>
      <c r="D122" s="414">
        <v>0.31</v>
      </c>
      <c r="F122" s="415"/>
      <c r="G122" s="1406"/>
    </row>
    <row r="123" spans="2:7" hidden="1" outlineLevel="1">
      <c r="B123" s="276">
        <v>13</v>
      </c>
      <c r="C123" s="81">
        <v>15</v>
      </c>
      <c r="D123" s="414">
        <v>0.86</v>
      </c>
      <c r="F123" s="415"/>
      <c r="G123" s="1406"/>
    </row>
    <row r="124" spans="2:7" hidden="1" outlineLevel="1">
      <c r="B124" s="276">
        <v>312</v>
      </c>
      <c r="C124" s="21">
        <v>10</v>
      </c>
      <c r="D124" s="17">
        <v>0.53</v>
      </c>
      <c r="F124" s="415"/>
      <c r="G124" s="1406"/>
    </row>
    <row r="125" spans="2:7" ht="14.5" hidden="1" outlineLevel="1" thickBot="1">
      <c r="B125" s="281">
        <v>675</v>
      </c>
      <c r="C125" s="22">
        <v>20</v>
      </c>
      <c r="D125" s="38">
        <v>1.77</v>
      </c>
      <c r="F125" s="415"/>
      <c r="G125" s="1406"/>
    </row>
    <row r="126" spans="2:7" hidden="1" outlineLevel="1">
      <c r="G126" s="1406"/>
    </row>
    <row r="127" spans="2:7" ht="14.5" hidden="1" outlineLevel="1" thickBot="1">
      <c r="B127" s="1407" t="s">
        <v>2831</v>
      </c>
      <c r="C127" s="87" t="s">
        <v>2832</v>
      </c>
      <c r="G127" s="1406"/>
    </row>
    <row r="128" spans="2:7" hidden="1" outlineLevel="1">
      <c r="B128" s="273" t="s">
        <v>898</v>
      </c>
      <c r="C128" s="405" t="s">
        <v>588</v>
      </c>
      <c r="G128" s="1406"/>
    </row>
    <row r="129" spans="2:7" hidden="1" outlineLevel="1">
      <c r="B129" s="276" t="s">
        <v>2833</v>
      </c>
      <c r="C129" s="311">
        <v>0.4</v>
      </c>
      <c r="G129" s="1406"/>
    </row>
    <row r="130" spans="2:7" hidden="1" outlineLevel="1">
      <c r="B130" s="276" t="s">
        <v>131</v>
      </c>
      <c r="C130" s="311">
        <v>0.4</v>
      </c>
      <c r="G130" s="1406"/>
    </row>
    <row r="131" spans="2:7" hidden="1" outlineLevel="1">
      <c r="B131" s="276" t="s">
        <v>2834</v>
      </c>
      <c r="C131" s="311">
        <v>7.0000000000000007E-2</v>
      </c>
      <c r="G131" s="1406"/>
    </row>
    <row r="132" spans="2:7" hidden="1" outlineLevel="1">
      <c r="B132" s="276" t="s">
        <v>2835</v>
      </c>
      <c r="C132" s="311">
        <v>0.05</v>
      </c>
      <c r="G132" s="1406"/>
    </row>
    <row r="133" spans="2:7" hidden="1" outlineLevel="1">
      <c r="B133" s="276" t="s">
        <v>2836</v>
      </c>
      <c r="C133" s="311">
        <v>0.04</v>
      </c>
      <c r="G133" s="1406"/>
    </row>
    <row r="134" spans="2:7" hidden="1" outlineLevel="1">
      <c r="B134" s="276" t="s">
        <v>2837</v>
      </c>
      <c r="C134" s="311">
        <v>0.02</v>
      </c>
      <c r="G134" s="1406"/>
    </row>
    <row r="135" spans="2:7" ht="14.5" hidden="1" outlineLevel="1" thickBot="1">
      <c r="B135" s="281" t="s">
        <v>2838</v>
      </c>
      <c r="C135" s="313">
        <v>0.02</v>
      </c>
      <c r="G135" s="1406"/>
    </row>
    <row r="136" spans="2:7" hidden="1" outlineLevel="1">
      <c r="C136" s="427"/>
      <c r="D136" s="427"/>
      <c r="E136" s="427"/>
      <c r="F136" s="427"/>
      <c r="G136" s="1406"/>
    </row>
    <row r="137" spans="2:7" hidden="1" outlineLevel="1">
      <c r="B137" s="3" t="s">
        <v>2839</v>
      </c>
      <c r="C137" s="103"/>
      <c r="D137" s="103"/>
      <c r="G137" s="1406"/>
    </row>
    <row r="138" spans="2:7" hidden="1" outlineLevel="1">
      <c r="C138" s="103"/>
      <c r="D138" s="103"/>
      <c r="E138" s="103"/>
      <c r="F138" s="103"/>
      <c r="G138" s="1406"/>
    </row>
    <row r="139" spans="2:7" ht="14.5" hidden="1" outlineLevel="1" thickBot="1">
      <c r="B139" s="1407" t="s">
        <v>2840</v>
      </c>
      <c r="C139" s="87" t="s">
        <v>2841</v>
      </c>
      <c r="G139" s="1406"/>
    </row>
    <row r="140" spans="2:7" ht="28" hidden="1" outlineLevel="1">
      <c r="B140" s="259" t="s">
        <v>2802</v>
      </c>
      <c r="C140" s="287" t="s">
        <v>2842</v>
      </c>
      <c r="D140" s="287" t="s">
        <v>2843</v>
      </c>
      <c r="E140" s="288" t="s">
        <v>2844</v>
      </c>
      <c r="G140" s="1406"/>
    </row>
    <row r="141" spans="2:7" hidden="1" outlineLevel="1">
      <c r="B141" s="276">
        <v>10</v>
      </c>
      <c r="C141" s="428">
        <v>4.5</v>
      </c>
      <c r="D141" s="428">
        <f>6*D122</f>
        <v>1.8599999999999999</v>
      </c>
      <c r="E141" s="429">
        <f>C141-D141</f>
        <v>2.64</v>
      </c>
      <c r="G141" s="1406"/>
    </row>
    <row r="142" spans="2:7" hidden="1" outlineLevel="1">
      <c r="B142" s="276">
        <v>13</v>
      </c>
      <c r="C142" s="428">
        <v>7.5</v>
      </c>
      <c r="D142" s="428">
        <f>6*D123</f>
        <v>5.16</v>
      </c>
      <c r="E142" s="429">
        <f>C142-D142</f>
        <v>2.34</v>
      </c>
      <c r="F142" s="416"/>
      <c r="G142" s="1406"/>
    </row>
    <row r="143" spans="2:7" hidden="1" outlineLevel="1">
      <c r="B143" s="276">
        <v>312</v>
      </c>
      <c r="C143" s="428">
        <v>6</v>
      </c>
      <c r="D143" s="428">
        <f>6*D124</f>
        <v>3.18</v>
      </c>
      <c r="E143" s="429">
        <f>C143-D143</f>
        <v>2.82</v>
      </c>
      <c r="F143" s="426"/>
      <c r="G143" s="1406"/>
    </row>
    <row r="144" spans="2:7" ht="14.5" hidden="1" outlineLevel="1" thickBot="1">
      <c r="B144" s="281">
        <v>675</v>
      </c>
      <c r="C144" s="430">
        <v>12.8</v>
      </c>
      <c r="D144" s="430">
        <f>6*D125</f>
        <v>10.620000000000001</v>
      </c>
      <c r="E144" s="431">
        <f>C144-D144</f>
        <v>2.1799999999999997</v>
      </c>
      <c r="G144" s="1406"/>
    </row>
    <row r="145" spans="2:7" hidden="1" outlineLevel="1">
      <c r="B145" s="1251"/>
      <c r="G145" s="1406"/>
    </row>
    <row r="146" spans="2:7" hidden="1" outlineLevel="1">
      <c r="B146" s="1251" t="s">
        <v>2845</v>
      </c>
      <c r="G146" s="1406"/>
    </row>
    <row r="147" spans="2:7" hidden="1" outlineLevel="1">
      <c r="B147" s="1251"/>
      <c r="G147" s="1406"/>
    </row>
    <row r="148" spans="2:7" ht="14.5" hidden="1" outlineLevel="1" thickBot="1">
      <c r="B148" s="3" t="s">
        <v>2846</v>
      </c>
      <c r="G148" s="1406"/>
    </row>
    <row r="149" spans="2:7" ht="28" hidden="1" outlineLevel="1">
      <c r="B149" s="259"/>
      <c r="C149" s="287" t="s">
        <v>2847</v>
      </c>
      <c r="D149" s="288" t="s">
        <v>2848</v>
      </c>
      <c r="G149" s="1406"/>
    </row>
    <row r="150" spans="2:7" hidden="1" outlineLevel="1">
      <c r="B150" s="276" t="s">
        <v>2849</v>
      </c>
      <c r="C150" s="180">
        <f>D105+D106+D108</f>
        <v>25</v>
      </c>
      <c r="D150" s="192">
        <f>C58*40%</f>
        <v>623880</v>
      </c>
      <c r="G150" s="1406"/>
    </row>
    <row r="151" spans="2:7" hidden="1" outlineLevel="1">
      <c r="B151" s="276" t="s">
        <v>2850</v>
      </c>
      <c r="C151" s="180">
        <f>D105+D106+D108+0.5*(D112+D113)*1.15</f>
        <v>82.5</v>
      </c>
      <c r="D151" s="192">
        <f>C58*60%</f>
        <v>935820</v>
      </c>
      <c r="G151" s="1406"/>
    </row>
    <row r="152" spans="2:7" hidden="1" outlineLevel="1">
      <c r="B152" s="276" t="s">
        <v>2803</v>
      </c>
      <c r="C152" s="180">
        <f>D122</f>
        <v>0.31</v>
      </c>
      <c r="D152" s="270">
        <f>D77</f>
        <v>1476648</v>
      </c>
      <c r="G152" s="1406"/>
    </row>
    <row r="153" spans="2:7" hidden="1" outlineLevel="1">
      <c r="B153" s="276" t="s">
        <v>2804</v>
      </c>
      <c r="C153" s="180">
        <f>D123</f>
        <v>0.86</v>
      </c>
      <c r="D153" s="270">
        <f>D78</f>
        <v>2183928</v>
      </c>
      <c r="G153" s="1406"/>
    </row>
    <row r="154" spans="2:7" hidden="1" outlineLevel="1">
      <c r="B154" s="276" t="s">
        <v>2805</v>
      </c>
      <c r="C154" s="180">
        <f>D124</f>
        <v>0.53</v>
      </c>
      <c r="D154" s="270">
        <f>D79</f>
        <v>4658160</v>
      </c>
      <c r="G154" s="1406"/>
    </row>
    <row r="155" spans="2:7" hidden="1" outlineLevel="1">
      <c r="B155" s="276" t="s">
        <v>2806</v>
      </c>
      <c r="C155" s="180">
        <f>D125</f>
        <v>1.77</v>
      </c>
      <c r="D155" s="270">
        <f>D80</f>
        <v>24340506</v>
      </c>
      <c r="G155" s="1406"/>
    </row>
    <row r="156" spans="2:7" hidden="1" outlineLevel="1">
      <c r="B156" s="276" t="s">
        <v>2851</v>
      </c>
      <c r="C156" s="180">
        <f>C209</f>
        <v>153</v>
      </c>
      <c r="D156" s="192">
        <f>(D150+D151)/2</f>
        <v>779850</v>
      </c>
      <c r="G156" s="1406"/>
    </row>
    <row r="157" spans="2:7" ht="14.5" hidden="1" outlineLevel="1" thickBot="1">
      <c r="B157" s="281" t="s">
        <v>2852</v>
      </c>
      <c r="C157" s="18">
        <f>AVERAGE(E141:E144)/6</f>
        <v>0.41583333333333333</v>
      </c>
      <c r="D157" s="309">
        <f>C157*SUM(D152:D155)</f>
        <v>13580801.465</v>
      </c>
    </row>
    <row r="158" spans="2:7" hidden="1" outlineLevel="1">
      <c r="B158" s="1251"/>
      <c r="G158" s="1406"/>
    </row>
    <row r="159" spans="2:7" hidden="1" outlineLevel="1">
      <c r="B159" s="1251"/>
    </row>
    <row r="160" spans="2:7" hidden="1" outlineLevel="1">
      <c r="B160" s="1251" t="s">
        <v>2853</v>
      </c>
    </row>
    <row r="161" spans="2:7" hidden="1" outlineLevel="1">
      <c r="B161" s="87" t="s">
        <v>2854</v>
      </c>
      <c r="G161" s="1406"/>
    </row>
    <row r="162" spans="2:7" hidden="1" outlineLevel="1">
      <c r="B162" s="1251"/>
      <c r="G162" s="1406"/>
    </row>
    <row r="163" spans="2:7" ht="14.5" hidden="1" outlineLevel="1" thickBot="1">
      <c r="B163" s="1251" t="s">
        <v>2855</v>
      </c>
      <c r="G163" s="1406"/>
    </row>
    <row r="164" spans="2:7" hidden="1" outlineLevel="1">
      <c r="B164" s="259"/>
      <c r="C164" s="287" t="s">
        <v>73</v>
      </c>
      <c r="D164" s="287" t="s">
        <v>301</v>
      </c>
      <c r="E164" s="288" t="s">
        <v>70</v>
      </c>
      <c r="G164" s="1406"/>
    </row>
    <row r="165" spans="2:7" ht="14.5" hidden="1" outlineLevel="1" thickBot="1">
      <c r="B165" s="281" t="s">
        <v>426</v>
      </c>
      <c r="C165" s="18">
        <v>0.42</v>
      </c>
      <c r="D165" s="37" t="s">
        <v>445</v>
      </c>
      <c r="E165" s="38" t="s">
        <v>449</v>
      </c>
      <c r="G165" s="1406"/>
    </row>
    <row r="166" spans="2:7" hidden="1" outlineLevel="1">
      <c r="G166" s="1406"/>
    </row>
    <row r="167" spans="2:7" ht="14.5" hidden="1" outlineLevel="1" thickBot="1">
      <c r="B167" s="1251" t="s">
        <v>2856</v>
      </c>
      <c r="G167" s="1406"/>
    </row>
    <row r="168" spans="2:7" hidden="1" outlineLevel="1">
      <c r="B168" s="259" t="s">
        <v>2857</v>
      </c>
      <c r="C168" s="287" t="s">
        <v>588</v>
      </c>
      <c r="D168" s="287" t="s">
        <v>2328</v>
      </c>
      <c r="E168" s="288" t="s">
        <v>301</v>
      </c>
      <c r="G168" s="1406"/>
    </row>
    <row r="169" spans="2:7" hidden="1" outlineLevel="1">
      <c r="B169" s="276" t="s">
        <v>2858</v>
      </c>
      <c r="C169" s="229">
        <v>0.11</v>
      </c>
      <c r="D169" s="168">
        <f>2.07*C165</f>
        <v>0.86939999999999995</v>
      </c>
      <c r="E169" s="17" t="s">
        <v>2119</v>
      </c>
      <c r="G169" s="1406"/>
    </row>
    <row r="170" spans="2:7" hidden="1" outlineLevel="1">
      <c r="B170" s="276" t="s">
        <v>2859</v>
      </c>
      <c r="C170" s="229">
        <v>0.25</v>
      </c>
      <c r="D170" s="227">
        <f>D$169*C170/C$169</f>
        <v>1.9759090909090908</v>
      </c>
      <c r="E170" s="17" t="s">
        <v>2119</v>
      </c>
      <c r="G170" s="1406"/>
    </row>
    <row r="171" spans="2:7" hidden="1" outlineLevel="1">
      <c r="B171" s="276" t="s">
        <v>2860</v>
      </c>
      <c r="C171" s="229">
        <v>0.06</v>
      </c>
      <c r="D171" s="227">
        <f>D$169*C171/C$169</f>
        <v>0.47421818181818176</v>
      </c>
      <c r="E171" s="17" t="s">
        <v>2119</v>
      </c>
      <c r="G171" s="1406"/>
    </row>
    <row r="172" spans="2:7" ht="14.5" hidden="1" outlineLevel="1" thickBot="1">
      <c r="B172" s="281" t="s">
        <v>2861</v>
      </c>
      <c r="C172" s="376">
        <v>0.57999999999999996</v>
      </c>
      <c r="D172" s="98">
        <f>D$169*C172/C$169</f>
        <v>4.5841090909090898</v>
      </c>
      <c r="E172" s="38" t="s">
        <v>2119</v>
      </c>
      <c r="G172" s="1406"/>
    </row>
    <row r="173" spans="2:7" ht="14.5" hidden="1" outlineLevel="1" thickBot="1">
      <c r="B173" s="1251"/>
      <c r="D173" s="166"/>
      <c r="G173" s="1406"/>
    </row>
    <row r="174" spans="2:7" hidden="1" outlineLevel="1">
      <c r="B174" s="259" t="s">
        <v>2862</v>
      </c>
      <c r="C174" s="287" t="s">
        <v>588</v>
      </c>
      <c r="D174" s="436" t="s">
        <v>2328</v>
      </c>
      <c r="E174" s="288" t="s">
        <v>301</v>
      </c>
      <c r="G174" s="1406"/>
    </row>
    <row r="175" spans="2:7" hidden="1" outlineLevel="1">
      <c r="B175" s="276" t="s">
        <v>2860</v>
      </c>
      <c r="C175" s="229">
        <v>0.77</v>
      </c>
      <c r="D175" s="168">
        <f>C175*SUM(D169:D172)/43%</f>
        <v>14.153023255813951</v>
      </c>
      <c r="E175" s="17" t="s">
        <v>2119</v>
      </c>
      <c r="G175" s="1406"/>
    </row>
    <row r="176" spans="2:7" ht="14.5" hidden="1" outlineLevel="1" thickBot="1">
      <c r="B176" s="281" t="s">
        <v>2861</v>
      </c>
      <c r="C176" s="376">
        <v>0.23</v>
      </c>
      <c r="D176" s="170">
        <f>C176*SUM(D169:D172)/43%</f>
        <v>4.2275264270613109</v>
      </c>
      <c r="E176" s="38" t="s">
        <v>2119</v>
      </c>
      <c r="G176" s="1406"/>
    </row>
    <row r="177" spans="2:4" hidden="1" outlineLevel="1">
      <c r="B177" s="1251" t="s">
        <v>2863</v>
      </c>
    </row>
    <row r="178" spans="2:4" hidden="1" outlineLevel="1"/>
    <row r="179" spans="2:4" ht="14.5" hidden="1" outlineLevel="1" thickBot="1">
      <c r="B179" s="1251" t="s">
        <v>2864</v>
      </c>
    </row>
    <row r="180" spans="2:4" ht="14.5" hidden="1" outlineLevel="1" thickBot="1">
      <c r="B180" s="282" t="s">
        <v>2865</v>
      </c>
      <c r="C180" s="777">
        <f>D175/(2*5.5*365/6)</f>
        <v>2.1150221552897561E-2</v>
      </c>
      <c r="D180" s="1305" t="s">
        <v>2866</v>
      </c>
    </row>
    <row r="181" spans="2:4" hidden="1" outlineLevel="1">
      <c r="B181" s="1251"/>
    </row>
    <row r="182" spans="2:4" ht="14.5" hidden="1" outlineLevel="1" thickBot="1">
      <c r="B182" s="1251" t="s">
        <v>2867</v>
      </c>
    </row>
    <row r="183" spans="2:4" ht="28" hidden="1" outlineLevel="1">
      <c r="B183" s="259"/>
      <c r="C183" s="288" t="s">
        <v>2868</v>
      </c>
    </row>
    <row r="184" spans="2:4" hidden="1" outlineLevel="1">
      <c r="B184" s="276" t="s">
        <v>2849</v>
      </c>
      <c r="C184" s="131">
        <f>D176/2</f>
        <v>2.1137632135306554</v>
      </c>
    </row>
    <row r="185" spans="2:4" hidden="1" outlineLevel="1">
      <c r="B185" s="276" t="s">
        <v>2850</v>
      </c>
      <c r="C185" s="131">
        <f>(D172+D171+D170)/2</f>
        <v>3.5171181818181809</v>
      </c>
    </row>
    <row r="186" spans="2:4" hidden="1" outlineLevel="1">
      <c r="B186" s="276" t="s">
        <v>2803</v>
      </c>
      <c r="C186" s="228">
        <f>C180</f>
        <v>2.1150221552897561E-2</v>
      </c>
    </row>
    <row r="187" spans="2:4" hidden="1" outlineLevel="1">
      <c r="B187" s="276" t="s">
        <v>2804</v>
      </c>
      <c r="C187" s="228">
        <f>C$186*D123/D$122</f>
        <v>5.8674808179006138E-2</v>
      </c>
    </row>
    <row r="188" spans="2:4" hidden="1" outlineLevel="1">
      <c r="B188" s="276" t="s">
        <v>2805</v>
      </c>
      <c r="C188" s="228">
        <f>C$186*D124/D$122</f>
        <v>3.6160056203340993E-2</v>
      </c>
    </row>
    <row r="189" spans="2:4" ht="14.5" hidden="1" outlineLevel="1" thickBot="1">
      <c r="B189" s="281" t="s">
        <v>2806</v>
      </c>
      <c r="C189" s="230">
        <f>C$186*D125/D$122</f>
        <v>0.12076094241493124</v>
      </c>
    </row>
    <row r="190" spans="2:4" hidden="1" outlineLevel="1"/>
    <row r="191" spans="2:4" collapsed="1"/>
    <row r="192" spans="2:4" ht="18">
      <c r="B192" s="258" t="s">
        <v>482</v>
      </c>
    </row>
    <row r="194" spans="2:9" ht="14.5" hidden="1" outlineLevel="1" thickBot="1">
      <c r="B194" s="1251" t="s">
        <v>2869</v>
      </c>
    </row>
    <row r="195" spans="2:9" ht="28" hidden="1" outlineLevel="1">
      <c r="B195" s="456" t="s">
        <v>883</v>
      </c>
      <c r="C195" s="404" t="s">
        <v>2847</v>
      </c>
      <c r="D195" s="405" t="s">
        <v>2870</v>
      </c>
    </row>
    <row r="196" spans="2:9" hidden="1" outlineLevel="1">
      <c r="B196" s="562" t="s">
        <v>2871</v>
      </c>
      <c r="C196" s="201">
        <f>C151</f>
        <v>82.5</v>
      </c>
      <c r="D196" s="577">
        <v>1045</v>
      </c>
    </row>
    <row r="197" spans="2:9" hidden="1" outlineLevel="1">
      <c r="B197" s="562" t="s">
        <v>2872</v>
      </c>
      <c r="C197" s="201">
        <v>100</v>
      </c>
      <c r="D197" s="577">
        <v>40</v>
      </c>
    </row>
    <row r="198" spans="2:9" hidden="1" outlineLevel="1">
      <c r="B198" s="562" t="s">
        <v>2873</v>
      </c>
      <c r="C198" s="201">
        <v>50</v>
      </c>
      <c r="D198" s="577">
        <v>20</v>
      </c>
    </row>
    <row r="199" spans="2:9" ht="14.5" hidden="1" outlineLevel="1" thickBot="1">
      <c r="B199" s="644" t="s">
        <v>2874</v>
      </c>
      <c r="C199" s="204">
        <f>D112+D113</f>
        <v>100</v>
      </c>
      <c r="D199" s="733">
        <v>67.213114754098356</v>
      </c>
    </row>
    <row r="200" spans="2:9" ht="14.5" hidden="1" outlineLevel="1" thickBot="1">
      <c r="B200" s="734" t="s">
        <v>2875</v>
      </c>
      <c r="C200" s="664">
        <f>SUM(C196:C199)</f>
        <v>332.5</v>
      </c>
      <c r="D200" s="735">
        <v>153.46153846153845</v>
      </c>
    </row>
    <row r="201" spans="2:9" hidden="1" outlineLevel="1">
      <c r="B201" s="1251"/>
      <c r="G201" s="1406"/>
      <c r="I201" s="1251"/>
    </row>
    <row r="202" spans="2:9" hidden="1" outlineLevel="1">
      <c r="B202" s="1251" t="s">
        <v>2876</v>
      </c>
      <c r="G202" s="87"/>
    </row>
    <row r="203" spans="2:9" hidden="1" outlineLevel="1">
      <c r="B203" s="87" t="s">
        <v>2877</v>
      </c>
      <c r="G203" s="1406"/>
    </row>
    <row r="204" spans="2:9" hidden="1" outlineLevel="1">
      <c r="B204" s="1251" t="s">
        <v>2878</v>
      </c>
      <c r="G204" s="1406"/>
    </row>
    <row r="205" spans="2:9" hidden="1" outlineLevel="1">
      <c r="G205" s="1406"/>
    </row>
    <row r="206" spans="2:9" hidden="1" outlineLevel="1">
      <c r="B206" s="1251" t="s">
        <v>2879</v>
      </c>
      <c r="G206" s="1406"/>
    </row>
    <row r="207" spans="2:9" ht="14.5" hidden="1" outlineLevel="1" thickBot="1">
      <c r="B207" s="1251"/>
      <c r="G207" s="1406"/>
    </row>
    <row r="208" spans="2:9" hidden="1" outlineLevel="1">
      <c r="B208" s="259" t="s">
        <v>2802</v>
      </c>
      <c r="C208" s="288" t="s">
        <v>2137</v>
      </c>
      <c r="G208" s="1406"/>
    </row>
    <row r="209" spans="2:7" hidden="1" outlineLevel="1">
      <c r="B209" s="276" t="s">
        <v>2880</v>
      </c>
      <c r="C209" s="429">
        <v>153</v>
      </c>
      <c r="G209" s="1406"/>
    </row>
    <row r="210" spans="2:7" hidden="1" outlineLevel="1">
      <c r="B210" s="276" t="s">
        <v>2881</v>
      </c>
      <c r="C210" s="429">
        <f>C209*60%</f>
        <v>91.8</v>
      </c>
      <c r="G210" s="1406"/>
    </row>
    <row r="211" spans="2:7" hidden="1" outlineLevel="1">
      <c r="B211" s="276" t="s">
        <v>2882</v>
      </c>
      <c r="C211" s="429">
        <f>C209*10%</f>
        <v>15.3</v>
      </c>
      <c r="G211" s="1406"/>
    </row>
    <row r="212" spans="2:7" ht="14.5" hidden="1" outlineLevel="1" thickBot="1">
      <c r="B212" s="281" t="s">
        <v>2883</v>
      </c>
      <c r="C212" s="431">
        <f>C209*30%</f>
        <v>45.9</v>
      </c>
      <c r="G212" s="1406"/>
    </row>
    <row r="213" spans="2:7" hidden="1" outlineLevel="1">
      <c r="B213" s="1251"/>
      <c r="G213" s="1406"/>
    </row>
    <row r="214" spans="2:7" ht="14.5" hidden="1" outlineLevel="1" thickBot="1">
      <c r="B214" s="1251" t="s">
        <v>2884</v>
      </c>
    </row>
    <row r="215" spans="2:7" ht="14.5" hidden="1" outlineLevel="1">
      <c r="B215" s="123"/>
      <c r="C215" s="105" t="s">
        <v>2328</v>
      </c>
      <c r="D215" s="124" t="s">
        <v>301</v>
      </c>
    </row>
    <row r="216" spans="2:7" ht="14.5" hidden="1" outlineLevel="1">
      <c r="B216" s="10" t="s">
        <v>2885</v>
      </c>
      <c r="C216" s="168">
        <v>0.28381499999999998</v>
      </c>
      <c r="D216" s="1283" t="s">
        <v>2886</v>
      </c>
    </row>
    <row r="217" spans="2:7" ht="14.5" hidden="1" outlineLevel="1">
      <c r="B217" s="10" t="s">
        <v>129</v>
      </c>
      <c r="C217" s="168">
        <v>0.20400796209166019</v>
      </c>
      <c r="D217" s="1283" t="s">
        <v>2886</v>
      </c>
    </row>
    <row r="218" spans="2:7" ht="15" hidden="1" outlineLevel="1" thickBot="1">
      <c r="B218" s="13" t="s">
        <v>2887</v>
      </c>
      <c r="C218" s="98">
        <f>(C216+C217)/2</f>
        <v>0.2439114810458301</v>
      </c>
      <c r="D218" s="1285" t="s">
        <v>2886</v>
      </c>
    </row>
    <row r="219" spans="2:7" hidden="1" outlineLevel="1"/>
    <row r="220" spans="2:7" collapsed="1"/>
    <row r="221" spans="2:7" ht="18">
      <c r="B221" s="258" t="s">
        <v>2888</v>
      </c>
    </row>
    <row r="223" spans="2:7" hidden="1" outlineLevel="1">
      <c r="B223" s="1251" t="s">
        <v>2889</v>
      </c>
    </row>
    <row r="224" spans="2:7" hidden="1" outlineLevel="1">
      <c r="B224" s="1251" t="s">
        <v>2890</v>
      </c>
    </row>
    <row r="225" spans="2:6" hidden="1" outlineLevel="1"/>
    <row r="226" spans="2:6" hidden="1" outlineLevel="1"/>
    <row r="227" spans="2:6" hidden="1" outlineLevel="1">
      <c r="B227" s="3" t="s">
        <v>2891</v>
      </c>
    </row>
    <row r="228" spans="2:6" ht="14.5" hidden="1" outlineLevel="1" thickBot="1"/>
    <row r="229" spans="2:6" ht="28" hidden="1" outlineLevel="1">
      <c r="B229" s="273"/>
      <c r="C229" s="285" t="s">
        <v>70</v>
      </c>
      <c r="D229" s="285" t="s">
        <v>2892</v>
      </c>
      <c r="E229" s="285" t="s">
        <v>301</v>
      </c>
      <c r="F229" s="288" t="s">
        <v>2893</v>
      </c>
    </row>
    <row r="230" spans="2:6" ht="14.5" hidden="1" outlineLevel="1" thickBot="1">
      <c r="B230" s="370" t="s">
        <v>2894</v>
      </c>
      <c r="C230" s="732" t="s">
        <v>2826</v>
      </c>
      <c r="D230" s="1405">
        <v>1.03</v>
      </c>
      <c r="E230" s="1405" t="s">
        <v>2895</v>
      </c>
      <c r="F230" s="209">
        <f>D230*365.25/1000</f>
        <v>0.37620749999999997</v>
      </c>
    </row>
    <row r="231" spans="2:6" hidden="1" outlineLevel="1"/>
    <row r="232" spans="2:6" hidden="1" outlineLevel="1">
      <c r="B232" s="3" t="s">
        <v>2896</v>
      </c>
    </row>
    <row r="233" spans="2:6" ht="14.5" hidden="1" outlineLevel="1" thickBot="1"/>
    <row r="234" spans="2:6" ht="28" hidden="1" outlineLevel="1">
      <c r="B234" s="273"/>
      <c r="C234" s="285" t="s">
        <v>37</v>
      </c>
      <c r="D234" s="287" t="s">
        <v>2897</v>
      </c>
      <c r="E234" s="286" t="s">
        <v>301</v>
      </c>
    </row>
    <row r="235" spans="2:6" ht="14.5" hidden="1" outlineLevel="1" thickBot="1">
      <c r="B235" s="370" t="s">
        <v>2894</v>
      </c>
      <c r="C235" s="1327">
        <v>1.1319588632012825</v>
      </c>
      <c r="D235" s="1327">
        <v>2.3268043299137666</v>
      </c>
      <c r="E235" s="1285" t="s">
        <v>2898</v>
      </c>
    </row>
    <row r="236" spans="2:6" hidden="1" outlineLevel="1"/>
    <row r="237" spans="2:6" hidden="1" outlineLevel="1">
      <c r="B237" s="1251" t="s">
        <v>2899</v>
      </c>
    </row>
    <row r="238" spans="2:6" hidden="1" outlineLevel="1"/>
    <row r="239" spans="2:6" ht="14.5" hidden="1" outlineLevel="1" thickBot="1">
      <c r="B239" s="1251" t="s">
        <v>2900</v>
      </c>
    </row>
    <row r="240" spans="2:6" hidden="1" outlineLevel="1">
      <c r="B240" s="259"/>
      <c r="C240" s="287" t="s">
        <v>2901</v>
      </c>
      <c r="D240" s="288" t="s">
        <v>301</v>
      </c>
    </row>
    <row r="241" spans="2:17" ht="14.5" hidden="1" outlineLevel="1" thickBot="1">
      <c r="B241" s="370" t="s">
        <v>2894</v>
      </c>
      <c r="C241" s="432">
        <v>0.30319641850065671</v>
      </c>
      <c r="D241" s="19" t="s">
        <v>2902</v>
      </c>
    </row>
    <row r="242" spans="2:17" ht="14.5" hidden="1" outlineLevel="1" thickBot="1"/>
    <row r="243" spans="2:17" ht="14.5" hidden="1" outlineLevel="1" thickBot="1">
      <c r="B243" s="433" t="s">
        <v>2903</v>
      </c>
      <c r="C243" s="371">
        <f>C241*C69*(1-C93)/10^6</f>
        <v>0.55018891984113971</v>
      </c>
      <c r="D243" s="142" t="s">
        <v>661</v>
      </c>
    </row>
    <row r="244" spans="2:17" hidden="1" outlineLevel="1"/>
    <row r="245" spans="2:17" collapsed="1"/>
    <row r="246" spans="2:17" ht="18">
      <c r="B246" s="258" t="s">
        <v>522</v>
      </c>
    </row>
    <row r="248" spans="2:17" hidden="1" outlineLevel="1">
      <c r="B248" s="3" t="s">
        <v>523</v>
      </c>
    </row>
    <row r="249" spans="2:17" hidden="1" outlineLevel="1">
      <c r="B249" s="1251" t="s">
        <v>524</v>
      </c>
    </row>
    <row r="250" spans="2:17" ht="14.5" hidden="1" outlineLevel="1" thickBot="1"/>
    <row r="251" spans="2:17" ht="14.5" hidden="1" outlineLevel="1">
      <c r="B251" s="123" t="s">
        <v>525</v>
      </c>
      <c r="C251" s="155" t="s">
        <v>526</v>
      </c>
      <c r="D251" s="155" t="s">
        <v>87</v>
      </c>
      <c r="E251" s="374" t="s">
        <v>165</v>
      </c>
      <c r="F251" s="375" t="s">
        <v>175</v>
      </c>
      <c r="G251" s="375" t="s">
        <v>163</v>
      </c>
      <c r="H251" s="375" t="s">
        <v>169</v>
      </c>
      <c r="I251" s="375" t="s">
        <v>161</v>
      </c>
      <c r="J251" s="375" t="s">
        <v>153</v>
      </c>
      <c r="K251" s="375" t="s">
        <v>171</v>
      </c>
      <c r="L251" s="375" t="s">
        <v>527</v>
      </c>
      <c r="M251" s="375" t="s">
        <v>167</v>
      </c>
      <c r="N251" s="375" t="s">
        <v>173</v>
      </c>
      <c r="O251" s="375" t="s">
        <v>159</v>
      </c>
      <c r="P251" s="375" t="s">
        <v>154</v>
      </c>
      <c r="Q251" s="378" t="s">
        <v>157</v>
      </c>
    </row>
    <row r="252" spans="2:17" ht="30.5" hidden="1" customHeight="1" outlineLevel="1">
      <c r="B252" s="10" t="s">
        <v>2904</v>
      </c>
      <c r="C252" s="11">
        <v>90214000</v>
      </c>
      <c r="D252" s="11" t="s">
        <v>37</v>
      </c>
      <c r="E252" s="229">
        <v>2.680533962365303E-6</v>
      </c>
      <c r="F252" s="297">
        <v>3.484694151074894E-5</v>
      </c>
      <c r="G252" s="297">
        <v>2.9333083150163513E-2</v>
      </c>
      <c r="H252" s="297">
        <v>1.3402669811826515E-6</v>
      </c>
      <c r="I252" s="297">
        <v>0.58377204739184041</v>
      </c>
      <c r="J252" s="297">
        <v>0.20170347933308316</v>
      </c>
      <c r="K252" s="297">
        <v>0</v>
      </c>
      <c r="L252" s="297">
        <v>6.1786307832520241E-4</v>
      </c>
      <c r="M252" s="297">
        <v>1.608320377419182E-4</v>
      </c>
      <c r="N252" s="297">
        <v>2.2784538680105077E-5</v>
      </c>
      <c r="O252" s="297">
        <v>6.0821315606068727E-3</v>
      </c>
      <c r="P252" s="297">
        <v>7.2449471934809412E-2</v>
      </c>
      <c r="Q252" s="380">
        <v>0.10581943923229507</v>
      </c>
    </row>
    <row r="253" spans="2:17" ht="30.5" hidden="1" customHeight="1" outlineLevel="1">
      <c r="B253" s="10" t="s">
        <v>2905</v>
      </c>
      <c r="C253" s="11">
        <v>90214000</v>
      </c>
      <c r="D253" s="1308" t="s">
        <v>37</v>
      </c>
      <c r="E253" s="229">
        <v>3.6011613024968292E-6</v>
      </c>
      <c r="F253" s="297">
        <v>4.2493703369462583E-5</v>
      </c>
      <c r="G253" s="297">
        <v>0.36043087174752114</v>
      </c>
      <c r="H253" s="297">
        <v>9.3630193864917558E-6</v>
      </c>
      <c r="I253" s="297">
        <v>0.25933943177996038</v>
      </c>
      <c r="J253" s="297">
        <v>0.16341457793309186</v>
      </c>
      <c r="K253" s="297">
        <v>3.9612774327465121E-6</v>
      </c>
      <c r="L253" s="297">
        <v>1.9388652452642929E-3</v>
      </c>
      <c r="M253" s="297">
        <v>7.9225548654930242E-6</v>
      </c>
      <c r="N253" s="297">
        <v>1.1631751007064759E-4</v>
      </c>
      <c r="O253" s="297">
        <v>3.1755040365417041E-3</v>
      </c>
      <c r="P253" s="297">
        <v>4.1638787676249837E-2</v>
      </c>
      <c r="Q253" s="380">
        <v>0.16987830235494342</v>
      </c>
    </row>
    <row r="254" spans="2:17" ht="15" hidden="1" outlineLevel="1" thickBot="1">
      <c r="B254" s="13" t="s">
        <v>2906</v>
      </c>
      <c r="C254" s="14">
        <v>90219010</v>
      </c>
      <c r="D254" s="1309" t="s">
        <v>2828</v>
      </c>
      <c r="E254" s="376">
        <v>5.0520811241524322E-3</v>
      </c>
      <c r="F254" s="298">
        <v>3.0297338075876654E-6</v>
      </c>
      <c r="G254" s="298">
        <v>2.6964630887530219E-4</v>
      </c>
      <c r="H254" s="298">
        <v>3.0297338075876653E-4</v>
      </c>
      <c r="I254" s="298">
        <v>0.388784531391072</v>
      </c>
      <c r="J254" s="298">
        <v>0.10069774769588744</v>
      </c>
      <c r="K254" s="298">
        <v>0</v>
      </c>
      <c r="L254" s="298">
        <v>1.6981657991528864E-3</v>
      </c>
      <c r="M254" s="298">
        <v>3.6508292381431367E-3</v>
      </c>
      <c r="N254" s="298">
        <v>2.2753300894983366E-3</v>
      </c>
      <c r="O254" s="298">
        <v>1.0255648938684247E-3</v>
      </c>
      <c r="P254" s="298">
        <v>0.42354315249862146</v>
      </c>
      <c r="Q254" s="381">
        <v>7.2696947846162235E-2</v>
      </c>
    </row>
    <row r="255" spans="2:17" hidden="1" outlineLevel="1"/>
    <row r="256" spans="2:17" hidden="1" outlineLevel="1">
      <c r="B256" s="1251" t="s">
        <v>530</v>
      </c>
    </row>
    <row r="257" spans="2:8" hidden="1" outlineLevel="1">
      <c r="B257" s="1251"/>
    </row>
    <row r="258" spans="2:8" hidden="1" outlineLevel="1">
      <c r="B258" s="1251" t="s">
        <v>2907</v>
      </c>
      <c r="C258" s="87" t="s">
        <v>2908</v>
      </c>
    </row>
    <row r="259" spans="2:8" hidden="1" outlineLevel="1">
      <c r="B259" s="1251" t="s">
        <v>2909</v>
      </c>
      <c r="C259" s="1310">
        <f>93000/C58</f>
        <v>5.9626851317561069E-2</v>
      </c>
      <c r="D259" s="1251" t="s">
        <v>2910</v>
      </c>
    </row>
    <row r="260" spans="2:8" hidden="1" outlineLevel="1">
      <c r="B260" s="1251" t="s">
        <v>2911</v>
      </c>
      <c r="C260" s="1251"/>
      <c r="D260" s="1251"/>
    </row>
    <row r="261" spans="2:8" hidden="1" outlineLevel="1">
      <c r="B261" s="1251"/>
      <c r="C261" s="1251"/>
      <c r="D261" s="1251"/>
    </row>
    <row r="262" spans="2:8" hidden="1" outlineLevel="1">
      <c r="B262" s="1251" t="s">
        <v>531</v>
      </c>
      <c r="C262" s="1251"/>
      <c r="D262" s="1251"/>
    </row>
    <row r="263" spans="2:8" hidden="1" outlineLevel="1">
      <c r="B263" s="1251" t="s">
        <v>2912</v>
      </c>
      <c r="C263" s="1251"/>
      <c r="D263" s="1251"/>
    </row>
    <row r="264" spans="2:8" hidden="1" outlineLevel="1">
      <c r="B264" s="1251"/>
      <c r="C264" s="1251"/>
      <c r="D264" s="1251"/>
    </row>
    <row r="265" spans="2:8" ht="14.5" hidden="1" outlineLevel="1" thickBot="1">
      <c r="B265" s="1251" t="s">
        <v>533</v>
      </c>
      <c r="C265" s="1251"/>
      <c r="D265" s="1251"/>
    </row>
    <row r="266" spans="2:8" ht="29" hidden="1" outlineLevel="1">
      <c r="B266" s="123"/>
      <c r="C266" s="379" t="s">
        <v>534</v>
      </c>
      <c r="D266" s="1251"/>
    </row>
    <row r="267" spans="2:8" ht="14.5" hidden="1" outlineLevel="1">
      <c r="B267" s="10" t="s">
        <v>2904</v>
      </c>
      <c r="C267" s="311">
        <v>0.06</v>
      </c>
      <c r="D267" s="1251"/>
    </row>
    <row r="268" spans="2:8" ht="15" hidden="1" outlineLevel="1" thickBot="1">
      <c r="B268" s="13" t="s">
        <v>2906</v>
      </c>
      <c r="C268" s="313">
        <f>P254/(1+P254)</f>
        <v>0.29752744183076785</v>
      </c>
      <c r="D268" s="1251"/>
    </row>
    <row r="269" spans="2:8" hidden="1" outlineLevel="1">
      <c r="B269" s="1251"/>
      <c r="C269" s="1251"/>
      <c r="D269" s="1251"/>
      <c r="G269" s="1251"/>
      <c r="H269" s="1251"/>
    </row>
    <row r="270" spans="2:8" ht="14.5" hidden="1" outlineLevel="1" thickBot="1">
      <c r="B270" s="1251" t="s">
        <v>2913</v>
      </c>
      <c r="C270" s="1251"/>
      <c r="D270" s="1251"/>
    </row>
    <row r="271" spans="2:8" ht="43.5" hidden="1" outlineLevel="1">
      <c r="B271" s="123" t="s">
        <v>2914</v>
      </c>
      <c r="C271" s="379" t="s">
        <v>537</v>
      </c>
      <c r="D271" s="1251"/>
    </row>
    <row r="272" spans="2:8" ht="14.5" hidden="1" outlineLevel="1">
      <c r="B272" s="10" t="s">
        <v>2915</v>
      </c>
      <c r="C272" s="311">
        <v>0.08</v>
      </c>
      <c r="D272" s="1251"/>
    </row>
    <row r="273" spans="2:8" ht="15" hidden="1" outlineLevel="1" thickBot="1">
      <c r="B273" s="13" t="s">
        <v>2916</v>
      </c>
      <c r="C273" s="313">
        <f>92%</f>
        <v>0.92</v>
      </c>
      <c r="D273" s="1251"/>
    </row>
    <row r="274" spans="2:8" hidden="1" outlineLevel="1">
      <c r="B274" s="1251"/>
      <c r="C274" s="1251"/>
      <c r="D274" s="1251"/>
    </row>
    <row r="275" spans="2:8" ht="14.5" hidden="1" outlineLevel="1" thickBot="1">
      <c r="B275" s="1251" t="s">
        <v>540</v>
      </c>
      <c r="G275" s="1251"/>
      <c r="H275" s="1251"/>
    </row>
    <row r="276" spans="2:8" ht="43.5" hidden="1" outlineLevel="1">
      <c r="B276" s="123" t="s">
        <v>525</v>
      </c>
      <c r="C276" s="158" t="s">
        <v>541</v>
      </c>
      <c r="D276" s="158" t="s">
        <v>542</v>
      </c>
      <c r="E276" s="158" t="s">
        <v>649</v>
      </c>
      <c r="F276" s="159" t="s">
        <v>543</v>
      </c>
      <c r="G276" s="1251"/>
      <c r="H276" s="1251"/>
    </row>
    <row r="277" spans="2:8" ht="14.5" hidden="1" outlineLevel="1">
      <c r="B277" s="10" t="s">
        <v>2917</v>
      </c>
      <c r="C277" s="11">
        <f>(1-C267)*SUMPRODUCT(E252:Q252,'Annexe - Logistique'!$D$12:$P$12) + C267*'Annexe - Logistique'!Q$12</f>
        <v>1029.6821637270141</v>
      </c>
      <c r="D277" s="11">
        <f>C272*(1-C267)*SUMPRODUCT(E252:O252,'Annexe - Logistique'!$D$13:$N$13)</f>
        <v>1068.8906717231864</v>
      </c>
      <c r="E277" s="11">
        <f>C273*(1-C267)*SUMPRODUCT(E252:O252,'Annexe - Logistique'!$D$16:$N$16)</f>
        <v>7342.7148872996295</v>
      </c>
      <c r="F277" s="17">
        <f>500</f>
        <v>500</v>
      </c>
      <c r="G277" s="1251"/>
      <c r="H277" s="1251"/>
    </row>
    <row r="278" spans="2:8" ht="15" hidden="1" outlineLevel="1" thickBot="1">
      <c r="B278" s="13" t="s">
        <v>2828</v>
      </c>
      <c r="C278" s="14">
        <f>(1-C268)*SUMPRODUCT(E254:Q254,'Annexe - Logistique'!$D$12:$P$12) + C268*'Annexe - Logistique'!Q$12</f>
        <v>881.87684563936944</v>
      </c>
      <c r="D278" s="14">
        <f>(1-C268)*SUMPRODUCT(E254:O254,'Annexe - Logistique'!$D$13:$N$13)</f>
        <v>6165.5410948691897</v>
      </c>
      <c r="E278" s="14">
        <v>0</v>
      </c>
      <c r="F278" s="38">
        <f>500</f>
        <v>500</v>
      </c>
      <c r="G278" s="1251"/>
      <c r="H278" s="1251"/>
    </row>
    <row r="279" spans="2:8" hidden="1" outlineLevel="1">
      <c r="B279" s="1251"/>
      <c r="C279" s="1251"/>
      <c r="D279" s="1251"/>
      <c r="G279" s="1251"/>
      <c r="H279" s="1251"/>
    </row>
    <row r="280" spans="2:8" ht="14.5" hidden="1" outlineLevel="1" thickBot="1">
      <c r="B280" s="1251" t="s">
        <v>2918</v>
      </c>
      <c r="C280" s="1251"/>
      <c r="D280" s="1251"/>
      <c r="G280" s="1251"/>
      <c r="H280" s="1251"/>
    </row>
    <row r="281" spans="2:8" ht="29" hidden="1" outlineLevel="1">
      <c r="B281" s="123" t="s">
        <v>525</v>
      </c>
      <c r="C281" s="158" t="s">
        <v>894</v>
      </c>
      <c r="D281" s="159" t="s">
        <v>2919</v>
      </c>
      <c r="G281" s="1251"/>
      <c r="H281" s="1251"/>
    </row>
    <row r="282" spans="2:8" ht="14.5" hidden="1" outlineLevel="1">
      <c r="B282" s="10" t="s">
        <v>2849</v>
      </c>
      <c r="C282" s="180">
        <f>C156/2 +C150</f>
        <v>101.5</v>
      </c>
      <c r="D282" s="12">
        <f>D284*50%</f>
        <v>779850</v>
      </c>
      <c r="E282" s="74"/>
      <c r="G282" s="1251"/>
      <c r="H282" s="1251"/>
    </row>
    <row r="283" spans="2:8" ht="14.5" hidden="1" outlineLevel="1">
      <c r="B283" s="10" t="s">
        <v>2850</v>
      </c>
      <c r="C283" s="180">
        <f>C156/2 + C151 + (C197+C198)/2</f>
        <v>234</v>
      </c>
      <c r="D283" s="12">
        <f>D284*50%</f>
        <v>779850</v>
      </c>
      <c r="G283" s="1251"/>
      <c r="H283" s="1251"/>
    </row>
    <row r="284" spans="2:8" ht="15" hidden="1" outlineLevel="1" thickBot="1">
      <c r="B284" s="25" t="s">
        <v>2920</v>
      </c>
      <c r="C284" s="395">
        <f>C282*40%+C283*60%</f>
        <v>181</v>
      </c>
      <c r="D284" s="448">
        <f>C58</f>
        <v>1559700</v>
      </c>
      <c r="F284" s="23"/>
      <c r="G284" s="1251"/>
    </row>
    <row r="285" spans="2:8" ht="14.5" hidden="1" outlineLevel="1">
      <c r="B285" s="182" t="s">
        <v>2803</v>
      </c>
      <c r="C285" s="449">
        <f>C141/6</f>
        <v>0.75</v>
      </c>
      <c r="D285" s="450">
        <f>C87</f>
        <v>1476648</v>
      </c>
      <c r="G285" s="1251"/>
    </row>
    <row r="286" spans="2:8" ht="14.5" hidden="1" outlineLevel="1">
      <c r="B286" s="10" t="s">
        <v>2804</v>
      </c>
      <c r="C286" s="180">
        <f>C142/6</f>
        <v>1.25</v>
      </c>
      <c r="D286" s="12">
        <f>C88</f>
        <v>2183928</v>
      </c>
      <c r="G286" s="1251"/>
    </row>
    <row r="287" spans="2:8" ht="14.5" hidden="1" outlineLevel="1">
      <c r="B287" s="10" t="s">
        <v>2775</v>
      </c>
      <c r="C287" s="180">
        <f>C143/6</f>
        <v>1</v>
      </c>
      <c r="D287" s="12">
        <f>C89</f>
        <v>4658160</v>
      </c>
      <c r="G287" s="1251"/>
    </row>
    <row r="288" spans="2:8" ht="14.5" hidden="1" outlineLevel="1">
      <c r="B288" s="10" t="s">
        <v>2776</v>
      </c>
      <c r="C288" s="180">
        <f>C144/6</f>
        <v>2.1333333333333333</v>
      </c>
      <c r="D288" s="12">
        <f>C90</f>
        <v>24340506</v>
      </c>
      <c r="G288" s="1251"/>
    </row>
    <row r="289" spans="2:11" ht="15" hidden="1" outlineLevel="1" thickBot="1">
      <c r="B289" s="13" t="s">
        <v>2921</v>
      </c>
      <c r="C289" s="447">
        <f>SUMPRODUCT(C285:C288,D285:D288)/D289</f>
        <v>1.8500726011950919</v>
      </c>
      <c r="D289" s="140">
        <f>SUM(D285:D288)</f>
        <v>32659242</v>
      </c>
      <c r="G289" s="1251"/>
    </row>
    <row r="290" spans="2:11" hidden="1" outlineLevel="1">
      <c r="B290" s="1251"/>
      <c r="C290" s="1251"/>
      <c r="D290" s="1251"/>
      <c r="G290" s="1251"/>
      <c r="H290" s="1251"/>
    </row>
    <row r="291" spans="2:11" ht="14.5" hidden="1" outlineLevel="1" thickBot="1">
      <c r="B291" s="1251" t="s">
        <v>546</v>
      </c>
      <c r="D291" s="1251"/>
      <c r="G291" s="1251"/>
      <c r="H291" s="1251"/>
    </row>
    <row r="292" spans="2:11" ht="14.5" hidden="1" outlineLevel="1">
      <c r="B292" s="218"/>
      <c r="C292" s="1610" t="s">
        <v>957</v>
      </c>
      <c r="D292" s="1542"/>
      <c r="E292" s="1542"/>
      <c r="F292" s="1544"/>
      <c r="G292" s="1610" t="s">
        <v>363</v>
      </c>
      <c r="H292" s="1542"/>
      <c r="I292" s="1542"/>
      <c r="J292" s="1544"/>
      <c r="K292" s="438" t="s">
        <v>2922</v>
      </c>
    </row>
    <row r="293" spans="2:11" ht="29" hidden="1" outlineLevel="1">
      <c r="B293" s="453"/>
      <c r="C293" s="442" t="s">
        <v>550</v>
      </c>
      <c r="D293" s="167" t="s">
        <v>551</v>
      </c>
      <c r="E293" s="167" t="s">
        <v>653</v>
      </c>
      <c r="F293" s="303" t="s">
        <v>552</v>
      </c>
      <c r="G293" s="442" t="s">
        <v>550</v>
      </c>
      <c r="H293" s="167" t="s">
        <v>551</v>
      </c>
      <c r="I293" s="167" t="s">
        <v>653</v>
      </c>
      <c r="J293" s="303" t="s">
        <v>552</v>
      </c>
      <c r="K293" s="439"/>
    </row>
    <row r="294" spans="2:11" ht="14.5" hidden="1" outlineLevel="1">
      <c r="B294" s="28" t="s">
        <v>2771</v>
      </c>
      <c r="C294" s="168">
        <f>'Annexe - Logistique'!D29*C277*C282/10^6</f>
        <v>2.121608614251326E-2</v>
      </c>
      <c r="D294" s="168">
        <f>'Annexe - Logistique'!D28*D277*C282/10^6</f>
        <v>4.9147058640496245E-3</v>
      </c>
      <c r="E294" s="168">
        <f>'Annexe - Logistique'!D26*E277*C282/10^6</f>
        <v>0.8943426732730948</v>
      </c>
      <c r="F294" s="132">
        <f>'Annexe - Logistique'!D30*F277*C282/10^6</f>
        <v>7.86625E-3</v>
      </c>
      <c r="G294" s="443">
        <f t="shared" ref="G294:J295" si="6">C294*$D282/10^6</f>
        <v>1.6545364778238966E-2</v>
      </c>
      <c r="H294" s="94">
        <f t="shared" si="6"/>
        <v>3.8327333680790998E-3</v>
      </c>
      <c r="I294" s="94">
        <f t="shared" si="6"/>
        <v>0.697453133752023</v>
      </c>
      <c r="J294" s="228">
        <f t="shared" si="6"/>
        <v>6.1344950625000002E-3</v>
      </c>
      <c r="K294" s="440">
        <f>SUM(G294:J294)</f>
        <v>0.72396572696084105</v>
      </c>
    </row>
    <row r="295" spans="2:11" ht="14.5" hidden="1" outlineLevel="1">
      <c r="B295" s="28" t="s">
        <v>2923</v>
      </c>
      <c r="C295" s="168">
        <f>'Annexe - Logistique'!D29*C277*C283/10^6</f>
        <v>4.8911962141360621E-2</v>
      </c>
      <c r="D295" s="549">
        <f>'Annexe - Logistique'!D28*D277*C283/10^6</f>
        <v>1.133045489840012E-2</v>
      </c>
      <c r="E295" s="549">
        <f>'Annexe - Logistique'!D26*E277*C283/10^6</f>
        <v>2.0618343403537356</v>
      </c>
      <c r="F295" s="389">
        <f>'Annexe - Logistique'!D30*F277*C283/10^6</f>
        <v>1.8134999999999998E-2</v>
      </c>
      <c r="G295" s="443">
        <f t="shared" si="6"/>
        <v>3.8143993675940083E-2</v>
      </c>
      <c r="H295" s="94">
        <f t="shared" si="6"/>
        <v>8.8360552525173341E-3</v>
      </c>
      <c r="I295" s="94">
        <f t="shared" si="6"/>
        <v>1.6079215103248607</v>
      </c>
      <c r="J295" s="228">
        <f t="shared" si="6"/>
        <v>1.4142579749999998E-2</v>
      </c>
      <c r="K295" s="440">
        <f>SUM(G295:J295)</f>
        <v>1.6690441390033182</v>
      </c>
    </row>
    <row r="296" spans="2:11" ht="15" hidden="1" outlineLevel="1" thickBot="1">
      <c r="B296" s="30" t="s">
        <v>2828</v>
      </c>
      <c r="C296" s="454">
        <f>'Annexe - Logistique'!D29*C278*C289/10^6</f>
        <v>3.3120184651838739E-4</v>
      </c>
      <c r="D296" s="141">
        <f>'Annexe - Logistique'!D28*D278*C289/10^6</f>
        <v>5.1672344889754248E-4</v>
      </c>
      <c r="E296" s="141">
        <v>0</v>
      </c>
      <c r="F296" s="455">
        <f>'Annexe - Logistique'!D30*F278*C289/10^6</f>
        <v>1.4338062659261961E-4</v>
      </c>
      <c r="G296" s="451">
        <f>C296*$D289/10^6</f>
        <v>1.0816801256290871E-2</v>
      </c>
      <c r="H296" s="92">
        <f>D296*$D289/10^6</f>
        <v>1.6875796164619473E-2</v>
      </c>
      <c r="I296" s="92">
        <f>E296*$D289/10^6</f>
        <v>0</v>
      </c>
      <c r="J296" s="230">
        <f>F296*$D289/10^6</f>
        <v>4.6827025819999989E-3</v>
      </c>
      <c r="K296" s="452">
        <f>SUM(G296:J296)</f>
        <v>3.2375300002910341E-2</v>
      </c>
    </row>
    <row r="297" spans="2:11" ht="14.5" hidden="1" outlineLevel="1" thickBot="1">
      <c r="C297" s="373"/>
      <c r="D297" s="373"/>
      <c r="F297" s="437" t="s">
        <v>83</v>
      </c>
      <c r="G297" s="444">
        <f>SUM(G294:G296)</f>
        <v>6.5506159710469913E-2</v>
      </c>
      <c r="H297" s="445">
        <f>SUM(H294:H296)</f>
        <v>2.9544584785215905E-2</v>
      </c>
      <c r="I297" s="445">
        <f>SUM(I294:I296)</f>
        <v>2.3053746440768839</v>
      </c>
      <c r="J297" s="446">
        <f>SUM(J294:J296)</f>
        <v>2.4959777394499998E-2</v>
      </c>
      <c r="K297" s="441">
        <f>SUM(K294:K296)</f>
        <v>2.4253851659670698</v>
      </c>
    </row>
    <row r="298" spans="2:11" hidden="1" outlineLevel="1">
      <c r="B298" s="1251"/>
    </row>
    <row r="299" spans="2:11" collapsed="1">
      <c r="B299" s="1251"/>
    </row>
    <row r="300" spans="2:11" ht="18">
      <c r="B300" s="258" t="s">
        <v>2924</v>
      </c>
    </row>
    <row r="302" spans="2:11" hidden="1" outlineLevel="1">
      <c r="B302" s="3" t="s">
        <v>2925</v>
      </c>
    </row>
    <row r="303" spans="2:11" ht="14.5" hidden="1" outlineLevel="1" thickBot="1">
      <c r="B303" s="1251"/>
      <c r="E303" s="87"/>
    </row>
    <row r="304" spans="2:11" ht="15" hidden="1" outlineLevel="1" thickBot="1">
      <c r="B304" s="20" t="s">
        <v>2926</v>
      </c>
      <c r="C304" s="731">
        <f>'Annexe - Logistique'!C42</f>
        <v>0.255</v>
      </c>
      <c r="D304" s="1305" t="s">
        <v>659</v>
      </c>
    </row>
    <row r="305" spans="2:5" hidden="1" outlineLevel="1">
      <c r="B305" s="1251"/>
    </row>
    <row r="306" spans="2:5" ht="14.5" hidden="1" outlineLevel="1" thickBot="1">
      <c r="B306" s="1251" t="s">
        <v>565</v>
      </c>
    </row>
    <row r="307" spans="2:5" ht="15" hidden="1" outlineLevel="1" thickBot="1">
      <c r="B307" s="20" t="s">
        <v>2927</v>
      </c>
      <c r="C307" s="736">
        <f>C304*(C200+D200)/1000</f>
        <v>0.1239201923076923</v>
      </c>
      <c r="D307" s="1305" t="s">
        <v>2928</v>
      </c>
    </row>
    <row r="308" spans="2:5" hidden="1" outlineLevel="1"/>
    <row r="309" spans="2:5" hidden="1" outlineLevel="1">
      <c r="B309" s="3" t="s">
        <v>2929</v>
      </c>
    </row>
    <row r="310" spans="2:5" ht="14.5" hidden="1" outlineLevel="1" thickBot="1"/>
    <row r="311" spans="2:5" ht="15" hidden="1" outlineLevel="1" thickBot="1">
      <c r="B311" s="20" t="s">
        <v>2927</v>
      </c>
      <c r="C311" s="34">
        <v>0.19</v>
      </c>
      <c r="D311" s="1305" t="s">
        <v>2928</v>
      </c>
    </row>
    <row r="312" spans="2:5" hidden="1" outlineLevel="1"/>
    <row r="313" spans="2:5" hidden="1" outlineLevel="1">
      <c r="B313" s="1251" t="s">
        <v>2930</v>
      </c>
    </row>
    <row r="314" spans="2:5" hidden="1" outlineLevel="1"/>
    <row r="315" spans="2:5" collapsed="1"/>
    <row r="316" spans="2:5" ht="18">
      <c r="B316" s="258" t="s">
        <v>2931</v>
      </c>
    </row>
    <row r="318" spans="2:5" ht="14.5" hidden="1" outlineLevel="1" thickBot="1">
      <c r="B318" s="1251" t="s">
        <v>2932</v>
      </c>
    </row>
    <row r="319" spans="2:5" ht="29" hidden="1" outlineLevel="1">
      <c r="B319" s="123"/>
      <c r="C319" s="158" t="s">
        <v>2933</v>
      </c>
      <c r="D319" s="158" t="s">
        <v>2934</v>
      </c>
      <c r="E319" s="159" t="s">
        <v>301</v>
      </c>
    </row>
    <row r="320" spans="2:5" ht="15" hidden="1" outlineLevel="1" thickBot="1">
      <c r="B320" s="13" t="s">
        <v>2935</v>
      </c>
      <c r="C320" s="170">
        <f>0.08</f>
        <v>0.08</v>
      </c>
      <c r="D320" s="22">
        <f>0.02</f>
        <v>0.02</v>
      </c>
      <c r="E320" s="1285" t="s">
        <v>2928</v>
      </c>
    </row>
    <row r="321" spans="2:7" hidden="1" outlineLevel="1"/>
    <row r="322" spans="2:7" ht="14.5" hidden="1" outlineLevel="1" thickBot="1">
      <c r="B322" s="1251" t="s">
        <v>2936</v>
      </c>
    </row>
    <row r="323" spans="2:7" ht="14.5" hidden="1" outlineLevel="1">
      <c r="B323" s="123"/>
      <c r="C323" s="5" t="s">
        <v>69</v>
      </c>
      <c r="D323" s="5" t="s">
        <v>301</v>
      </c>
      <c r="E323" s="6" t="s">
        <v>301</v>
      </c>
    </row>
    <row r="324" spans="2:7" ht="15" hidden="1" outlineLevel="1" thickBot="1">
      <c r="B324" s="13" t="s">
        <v>73</v>
      </c>
      <c r="C324" s="22">
        <v>2000</v>
      </c>
      <c r="D324" s="1267" t="s">
        <v>1112</v>
      </c>
      <c r="E324" s="1285" t="s">
        <v>2937</v>
      </c>
    </row>
    <row r="325" spans="2:7" hidden="1" outlineLevel="1"/>
    <row r="326" spans="2:7" ht="14.5" hidden="1" outlineLevel="1" thickBot="1">
      <c r="B326" s="1251" t="s">
        <v>927</v>
      </c>
    </row>
    <row r="327" spans="2:7" ht="28" hidden="1" outlineLevel="1">
      <c r="B327" s="259"/>
      <c r="C327" s="287" t="s">
        <v>2847</v>
      </c>
      <c r="D327" s="287" t="s">
        <v>2848</v>
      </c>
      <c r="E327" s="287" t="s">
        <v>2868</v>
      </c>
      <c r="F327" s="288" t="s">
        <v>363</v>
      </c>
    </row>
    <row r="328" spans="2:7" hidden="1" outlineLevel="1">
      <c r="B328" s="276" t="s">
        <v>2849</v>
      </c>
      <c r="C328" s="11">
        <f t="shared" ref="C328:D333" si="7">C150</f>
        <v>25</v>
      </c>
      <c r="D328" s="11">
        <f t="shared" si="7"/>
        <v>623880</v>
      </c>
      <c r="E328" s="328">
        <f>C$324*C328/10^6</f>
        <v>0.05</v>
      </c>
      <c r="F328" s="132">
        <f>E328*D328/10^6</f>
        <v>3.1194E-2</v>
      </c>
      <c r="G328" s="1251" t="s">
        <v>2938</v>
      </c>
    </row>
    <row r="329" spans="2:7" hidden="1" outlineLevel="1">
      <c r="B329" s="276" t="s">
        <v>2850</v>
      </c>
      <c r="C329" s="11">
        <f t="shared" si="7"/>
        <v>82.5</v>
      </c>
      <c r="D329" s="11">
        <f t="shared" si="7"/>
        <v>935820</v>
      </c>
      <c r="E329" s="328">
        <f>C$324*C329/10^6</f>
        <v>0.16500000000000001</v>
      </c>
      <c r="F329" s="132">
        <f t="shared" ref="F329:F333" si="8">E329*D329/10^6</f>
        <v>0.15441030000000003</v>
      </c>
      <c r="G329" s="1251" t="s">
        <v>2938</v>
      </c>
    </row>
    <row r="330" spans="2:7" hidden="1" outlineLevel="1">
      <c r="B330" s="276" t="s">
        <v>2803</v>
      </c>
      <c r="C330" s="180">
        <f t="shared" si="7"/>
        <v>0.31</v>
      </c>
      <c r="D330" s="11">
        <f t="shared" si="7"/>
        <v>1476648</v>
      </c>
      <c r="E330" s="328">
        <f t="shared" ref="E330:E333" si="9">C$324*C330/10^6</f>
        <v>6.2E-4</v>
      </c>
      <c r="F330" s="132">
        <f t="shared" si="8"/>
        <v>9.1552175999999998E-4</v>
      </c>
    </row>
    <row r="331" spans="2:7" hidden="1" outlineLevel="1">
      <c r="B331" s="276" t="s">
        <v>2804</v>
      </c>
      <c r="C331" s="180">
        <f t="shared" si="7"/>
        <v>0.86</v>
      </c>
      <c r="D331" s="11">
        <f t="shared" si="7"/>
        <v>2183928</v>
      </c>
      <c r="E331" s="328">
        <f t="shared" si="9"/>
        <v>1.72E-3</v>
      </c>
      <c r="F331" s="132">
        <f t="shared" si="8"/>
        <v>3.75635616E-3</v>
      </c>
    </row>
    <row r="332" spans="2:7" hidden="1" outlineLevel="1">
      <c r="B332" s="276" t="s">
        <v>2805</v>
      </c>
      <c r="C332" s="180">
        <f t="shared" si="7"/>
        <v>0.53</v>
      </c>
      <c r="D332" s="11">
        <f t="shared" si="7"/>
        <v>4658160</v>
      </c>
      <c r="E332" s="328">
        <f t="shared" si="9"/>
        <v>1.06E-3</v>
      </c>
      <c r="F332" s="132">
        <f t="shared" si="8"/>
        <v>4.9376495999999999E-3</v>
      </c>
    </row>
    <row r="333" spans="2:7" ht="14.5" hidden="1" outlineLevel="1" thickBot="1">
      <c r="B333" s="281" t="s">
        <v>2806</v>
      </c>
      <c r="C333" s="18">
        <f t="shared" si="7"/>
        <v>1.77</v>
      </c>
      <c r="D333" s="14">
        <f t="shared" si="7"/>
        <v>24340506</v>
      </c>
      <c r="E333" s="681">
        <f t="shared" si="9"/>
        <v>3.5400000000000002E-3</v>
      </c>
      <c r="F333" s="209">
        <f t="shared" si="8"/>
        <v>8.616539124E-2</v>
      </c>
    </row>
    <row r="334" spans="2:7" ht="14.5" hidden="1" outlineLevel="2" thickBot="1">
      <c r="E334" s="282" t="s">
        <v>83</v>
      </c>
      <c r="F334" s="743">
        <f>SUM(F328:F333)</f>
        <v>0.28137921876000005</v>
      </c>
    </row>
    <row r="335" spans="2:7" hidden="1" outlineLevel="2"/>
    <row r="336" spans="2:7" collapsed="1"/>
  </sheetData>
  <mergeCells count="5">
    <mergeCell ref="A1:XFD2"/>
    <mergeCell ref="G292:J292"/>
    <mergeCell ref="C292:F292"/>
    <mergeCell ref="C11:G11"/>
    <mergeCell ref="H11:M11"/>
  </mergeCells>
  <phoneticPr fontId="61" type="noConversion"/>
  <conditionalFormatting sqref="A1:XFD2">
    <cfRule type="containsBlanks" dxfId="13" priority="1">
      <formula>LEN(TRIM(A1))=0</formula>
    </cfRule>
  </conditionalFormatting>
  <conditionalFormatting sqref="D253:D254 F252:Q254">
    <cfRule type="colorScale" priority="85">
      <colorScale>
        <cfvo type="min"/>
        <cfvo type="percentile" val="50"/>
        <cfvo type="max"/>
        <color rgb="FFFCFCFF"/>
        <color rgb="FFDDF0C8"/>
        <color rgb="FF63BE7B"/>
      </colorScale>
    </cfRule>
  </conditionalFormatting>
  <hyperlinks>
    <hyperlink ref="D57" r:id="rId1" display="https://audiologie-demain.com/sell-in-baisse-record-de-7-en-2023" xr:uid="{9762D481-EF5F-42BB-810E-67804554CBFE}"/>
    <hyperlink ref="C127" r:id="rId2" display="https://hal.univ-lorraine.fr/hal-02095251" xr:uid="{A8D883C9-D366-42D2-933D-C04CD042BE69}"/>
    <hyperlink ref="D120" r:id="rId3" xr:uid="{003D9CCB-34AA-47EE-B000-F62AD83310D6}"/>
    <hyperlink ref="C230" r:id="rId4" display="https://www.signia-library.com/wp-content/uploads/sites/137/2021/12/2021-12-14_Comparison-of-Battery-Solutions-for-Hearing-Aid-Devices.pdf" xr:uid="{DE1EC3DD-2DAD-43D9-A9A6-F52E054EB3F5}"/>
    <hyperlink ref="B116" r:id="rId5" display="https://www.signia-library.com/wp-content/uploads/sites/137/2021/12/2021-12-14_Comparison-of-Battery-Solutions-for-Hearing-Aid-Devices.pdf" xr:uid="{373FBA96-DB47-445E-BCE5-366C616AA6E2}"/>
    <hyperlink ref="C258" r:id="rId6" display="https://www.besens.fr/single-post/starkey-les-aides-auditives-made-in-france" xr:uid="{295B12A5-2428-487E-955E-B762D9B2D766}"/>
    <hyperlink ref="C63" r:id="rId7" display="https://www.sonova.com/sites/default/files/2024-05/Sonova_ESG_Report-23-24_0.pdf" xr:uid="{6B335B77-4267-4111-8677-671C3F011564}"/>
    <hyperlink ref="C67" r:id="rId8" display="https://www.enseignementsup-recherche.gouv.fr/sites/default/files/2022-01/rapport-igesr-2021-206-16063.pdf" xr:uid="{99A44686-F4D5-4488-9F3B-5E7CC8F57676}"/>
    <hyperlink ref="C139" r:id="rId9" display="https://www.laval-europe.com/fr/piles/maxell/piles-auditives/piles-auditives-312-maxell-blister-de-6-59712.html" xr:uid="{CF65AAD9-5CD4-4B1E-9F49-7D81C830C3EE}"/>
    <hyperlink ref="B203" r:id="rId10" display="https://www.manomano.fr/p/lot-de-2-amplificateurs-auditifs-rechargeables-pour-personnes-agees-amplificateur-de-son-personnel-appareils-daide-auditive-pour-adultes-avec-base-de-chargement-65945086" xr:uid="{71E1803F-0112-4F9F-B3F8-DE4F55FC6A1A}"/>
    <hyperlink ref="B161" r:id="rId11" display="https://www.signia-library.com/wp-content/uploads/sites/137/2021/12/2021-12-14_Comparison-of-Battery-Solutions-for-Hearing-Aid-Devices.pdf" xr:uid="{C16C1935-496C-4342-8F31-06B4451821C3}"/>
  </hyperlinks>
  <pageMargins left="0.7" right="0.7" top="0.75" bottom="0.75" header="0.3" footer="0.3"/>
  <pageSetup paperSize="9" orientation="portrait" r:id="rId12"/>
  <drawing r:id="rId1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C26855-4322-4858-AAD6-712AC96A1216}">
  <sheetPr>
    <tabColor theme="6"/>
  </sheetPr>
  <dimension ref="A1:S509"/>
  <sheetViews>
    <sheetView zoomScale="60" zoomScaleNormal="60" workbookViewId="0">
      <selection sqref="A1:XFD2"/>
    </sheetView>
  </sheetViews>
  <sheetFormatPr baseColWidth="10" defaultColWidth="11" defaultRowHeight="14" outlineLevelRow="1"/>
  <cols>
    <col min="2" max="2" width="51.5" customWidth="1"/>
    <col min="3" max="3" width="25.5" customWidth="1"/>
    <col min="4" max="4" width="21" customWidth="1"/>
    <col min="5" max="5" width="19.6640625" customWidth="1"/>
    <col min="6" max="6" width="17.83203125" customWidth="1"/>
    <col min="7" max="7" width="14.6640625" customWidth="1"/>
    <col min="8" max="8" width="29.6640625" customWidth="1"/>
    <col min="9" max="9" width="20.6640625" customWidth="1"/>
    <col min="10" max="10" width="12.6640625" customWidth="1"/>
    <col min="11" max="11" width="14.33203125" customWidth="1"/>
    <col min="12" max="12" width="12.33203125" customWidth="1"/>
    <col min="16" max="16" width="21.1640625" customWidth="1"/>
  </cols>
  <sheetData>
    <row r="1" spans="1:19" s="1505" customFormat="1">
      <c r="A1" s="1505" t="s">
        <v>2939</v>
      </c>
    </row>
    <row r="2" spans="1:19" s="1505" customFormat="1"/>
    <row r="5" spans="1:19">
      <c r="B5" s="1251" t="s">
        <v>40</v>
      </c>
    </row>
    <row r="6" spans="1:19">
      <c r="B6" s="1251"/>
    </row>
    <row r="8" spans="1:19" ht="23.5">
      <c r="B8" s="2" t="s">
        <v>180</v>
      </c>
    </row>
    <row r="10" spans="1:19" ht="14.5" hidden="1" outlineLevel="1" thickBot="1">
      <c r="B10" s="1251" t="s">
        <v>2940</v>
      </c>
    </row>
    <row r="11" spans="1:19" hidden="1" outlineLevel="1">
      <c r="B11" s="398"/>
      <c r="C11" s="399" t="s">
        <v>83</v>
      </c>
      <c r="D11" s="399" t="s">
        <v>84</v>
      </c>
      <c r="E11" s="399" t="s">
        <v>187</v>
      </c>
      <c r="F11" s="399" t="s">
        <v>2941</v>
      </c>
      <c r="G11" s="399" t="s">
        <v>86</v>
      </c>
      <c r="H11" s="399" t="s">
        <v>2942</v>
      </c>
      <c r="I11" s="399" t="s">
        <v>2943</v>
      </c>
      <c r="J11" s="400" t="s">
        <v>89</v>
      </c>
    </row>
    <row r="12" spans="1:19" ht="28.5" hidden="1" outlineLevel="1" thickBot="1">
      <c r="B12" s="560" t="s">
        <v>2944</v>
      </c>
      <c r="C12" s="98">
        <f>SUM(D12:J12)</f>
        <v>1.2028031201759899</v>
      </c>
      <c r="D12" s="92">
        <f>C223</f>
        <v>0.57575974702624355</v>
      </c>
      <c r="E12" s="92">
        <f>C224</f>
        <v>0.27758879941826536</v>
      </c>
      <c r="F12" s="92">
        <f>C225</f>
        <v>0.17959999999999998</v>
      </c>
      <c r="G12" s="92">
        <f>C400</f>
        <v>7.9583853731481052E-2</v>
      </c>
      <c r="H12" s="92">
        <f>C429+D429</f>
        <v>2.1042719999999997E-2</v>
      </c>
      <c r="I12" s="92">
        <f>E429</f>
        <v>2.7539999999999999E-2</v>
      </c>
      <c r="J12" s="230">
        <f>C496</f>
        <v>4.1688000000000003E-2</v>
      </c>
      <c r="S12" s="1251"/>
    </row>
    <row r="13" spans="1:19" hidden="1" outlineLevel="1"/>
    <row r="14" spans="1:19" ht="14.5" hidden="1" outlineLevel="1" thickBot="1">
      <c r="B14" s="1251" t="s">
        <v>657</v>
      </c>
    </row>
    <row r="15" spans="1:19" hidden="1" outlineLevel="1">
      <c r="B15" s="398"/>
      <c r="C15" s="399" t="s">
        <v>83</v>
      </c>
      <c r="D15" s="399" t="s">
        <v>84</v>
      </c>
      <c r="E15" s="399" t="s">
        <v>187</v>
      </c>
      <c r="F15" s="399" t="s">
        <v>2941</v>
      </c>
      <c r="G15" s="399" t="s">
        <v>86</v>
      </c>
      <c r="H15" s="399" t="s">
        <v>2942</v>
      </c>
      <c r="I15" s="399" t="s">
        <v>2943</v>
      </c>
      <c r="J15" s="400" t="s">
        <v>89</v>
      </c>
    </row>
    <row r="16" spans="1:19" ht="28.5" hidden="1" outlineLevel="1" thickBot="1">
      <c r="B16" s="560" t="s">
        <v>2945</v>
      </c>
      <c r="C16" s="98">
        <f>SUM(D16:J16)</f>
        <v>16.971215470184116</v>
      </c>
      <c r="D16" s="170">
        <f>D12*($C118 +C130)/10^6</f>
        <v>8.1238089276085095</v>
      </c>
      <c r="E16" s="170">
        <f>E12*($C118 +$C130)/10^6</f>
        <v>3.91670028786407</v>
      </c>
      <c r="F16" s="170">
        <f t="shared" ref="F16:J16" si="0">F12*($C118 +$C130)/10^6</f>
        <v>2.5341057462497187</v>
      </c>
      <c r="G16" s="170">
        <f t="shared" si="0"/>
        <v>1.1229059078487933</v>
      </c>
      <c r="H16" s="170">
        <f t="shared" si="0"/>
        <v>0.29690689125124659</v>
      </c>
      <c r="I16" s="170">
        <f t="shared" si="0"/>
        <v>0.38858169405187781</v>
      </c>
      <c r="J16" s="209">
        <f t="shared" si="0"/>
        <v>0.58820601530990146</v>
      </c>
    </row>
    <row r="17" spans="2:8" hidden="1" outlineLevel="1">
      <c r="B17" s="1251"/>
    </row>
    <row r="18" spans="2:8" hidden="1" outlineLevel="1">
      <c r="B18" s="1251"/>
    </row>
    <row r="19" spans="2:8" hidden="1" outlineLevel="1">
      <c r="B19" s="1251"/>
      <c r="H19" s="1251"/>
    </row>
    <row r="20" spans="2:8" hidden="1" outlineLevel="1">
      <c r="B20" s="1251"/>
      <c r="H20" s="103"/>
    </row>
    <row r="21" spans="2:8" hidden="1" outlineLevel="1">
      <c r="B21" s="1251"/>
    </row>
    <row r="22" spans="2:8" hidden="1" outlineLevel="1">
      <c r="B22" s="1251"/>
    </row>
    <row r="23" spans="2:8" hidden="1" outlineLevel="1">
      <c r="B23" s="1251"/>
    </row>
    <row r="24" spans="2:8" hidden="1" outlineLevel="1">
      <c r="B24" s="1251"/>
    </row>
    <row r="25" spans="2:8" hidden="1" outlineLevel="1">
      <c r="B25" s="1251"/>
      <c r="D25" s="103"/>
    </row>
    <row r="26" spans="2:8" hidden="1" outlineLevel="1">
      <c r="B26" s="1251"/>
    </row>
    <row r="27" spans="2:8" hidden="1" outlineLevel="1">
      <c r="B27" s="1251"/>
    </row>
    <row r="28" spans="2:8" hidden="1" outlineLevel="1">
      <c r="B28" s="1251"/>
    </row>
    <row r="29" spans="2:8" hidden="1" outlineLevel="1">
      <c r="B29" s="1251"/>
    </row>
    <row r="30" spans="2:8" hidden="1" outlineLevel="1">
      <c r="B30" s="1251"/>
    </row>
    <row r="31" spans="2:8" hidden="1" outlineLevel="1">
      <c r="B31" s="1251"/>
    </row>
    <row r="32" spans="2:8" ht="14.5" hidden="1" outlineLevel="1" thickBot="1">
      <c r="B32" t="s">
        <v>2946</v>
      </c>
    </row>
    <row r="33" spans="2:16" ht="42" hidden="1" outlineLevel="1">
      <c r="B33" s="888"/>
      <c r="C33" s="835" t="s">
        <v>674</v>
      </c>
      <c r="D33" s="890" t="s">
        <v>2947</v>
      </c>
      <c r="E33" s="399" t="s">
        <v>86</v>
      </c>
      <c r="F33" s="399" t="s">
        <v>2942</v>
      </c>
      <c r="G33" s="399" t="s">
        <v>196</v>
      </c>
      <c r="H33" s="400" t="s">
        <v>89</v>
      </c>
      <c r="J33" s="888"/>
      <c r="K33" s="835" t="s">
        <v>674</v>
      </c>
      <c r="L33" s="890" t="s">
        <v>2947</v>
      </c>
      <c r="M33" s="399" t="s">
        <v>86</v>
      </c>
      <c r="N33" s="399" t="s">
        <v>2942</v>
      </c>
      <c r="O33" s="399" t="s">
        <v>196</v>
      </c>
      <c r="P33" s="400" t="s">
        <v>89</v>
      </c>
    </row>
    <row r="34" spans="2:16" hidden="1" outlineLevel="1">
      <c r="B34" s="889" t="s">
        <v>2948</v>
      </c>
      <c r="C34" s="893">
        <f>SUM(D34:H34)</f>
        <v>6.789257674237926</v>
      </c>
      <c r="D34" s="891">
        <f>C253</f>
        <v>5.6417076390017149</v>
      </c>
      <c r="E34" s="328">
        <f>D401</f>
        <v>0.11520595420018838</v>
      </c>
      <c r="F34" s="466">
        <f t="shared" ref="F34:F43" si="1">K455</f>
        <v>0.64395483649520024</v>
      </c>
      <c r="G34" s="466">
        <f>D470</f>
        <v>0.15450742177521004</v>
      </c>
      <c r="H34" s="836">
        <f>D497</f>
        <v>0.23388182276561201</v>
      </c>
      <c r="J34" s="889" t="s">
        <v>2949</v>
      </c>
      <c r="K34" s="893">
        <f t="shared" ref="K34:K39" si="2">SUM(L34:P34)</f>
        <v>16.971215470184116</v>
      </c>
      <c r="L34" s="103">
        <f>D16+E16+F16</f>
        <v>14.574614961722297</v>
      </c>
      <c r="M34" s="579">
        <f>G16</f>
        <v>1.1229059078487933</v>
      </c>
      <c r="N34" s="579">
        <f>H16</f>
        <v>0.29690689125124659</v>
      </c>
      <c r="O34" s="579">
        <f>I16</f>
        <v>0.38858169405187781</v>
      </c>
      <c r="P34" s="579">
        <f>J16</f>
        <v>0.58820601530990146</v>
      </c>
    </row>
    <row r="35" spans="2:16" hidden="1" outlineLevel="1">
      <c r="B35" s="889" t="s">
        <v>2950</v>
      </c>
      <c r="C35" s="893">
        <f t="shared" ref="C35:C43" si="3">SUM(D35:H35)</f>
        <v>1.651685110853343</v>
      </c>
      <c r="D35" s="891">
        <f>C282</f>
        <v>1.3635618303930945</v>
      </c>
      <c r="E35" s="328">
        <f t="shared" ref="E35:E43" si="4">D402</f>
        <v>4.5074533583242232E-2</v>
      </c>
      <c r="F35" s="466">
        <f t="shared" si="1"/>
        <v>0.15160876972188939</v>
      </c>
      <c r="G35" s="466">
        <f t="shared" ref="G35:G43" si="5">D471</f>
        <v>3.6376277963423999E-2</v>
      </c>
      <c r="H35" s="836">
        <f t="shared" ref="H35:H43" si="6">D498</f>
        <v>5.5063699191692801E-2</v>
      </c>
      <c r="J35" s="889" t="s">
        <v>2948</v>
      </c>
      <c r="K35" s="893">
        <f t="shared" si="2"/>
        <v>6.789257674237926</v>
      </c>
      <c r="L35" s="891">
        <f t="shared" ref="L35:P36" si="7">D34</f>
        <v>5.6417076390017149</v>
      </c>
      <c r="M35" s="328">
        <f t="shared" si="7"/>
        <v>0.11520595420018838</v>
      </c>
      <c r="N35" s="466">
        <f t="shared" si="7"/>
        <v>0.64395483649520024</v>
      </c>
      <c r="O35" s="466">
        <f t="shared" si="7"/>
        <v>0.15450742177521004</v>
      </c>
      <c r="P35" s="836">
        <f t="shared" si="7"/>
        <v>0.23388182276561201</v>
      </c>
    </row>
    <row r="36" spans="2:16" hidden="1" outlineLevel="1">
      <c r="B36" s="889" t="s">
        <v>2951</v>
      </c>
      <c r="C36" s="893">
        <f t="shared" si="3"/>
        <v>2.7137240634577879</v>
      </c>
      <c r="D36" s="891">
        <f t="shared" ref="D36:D41" si="8">D332</f>
        <v>2.2003481497721302</v>
      </c>
      <c r="E36" s="328">
        <f t="shared" si="4"/>
        <v>8.6177228072131226E-2</v>
      </c>
      <c r="F36" s="466">
        <f t="shared" si="1"/>
        <v>0.26647768394152677</v>
      </c>
      <c r="G36" s="466">
        <f t="shared" si="5"/>
        <v>6.3937371960000003E-2</v>
      </c>
      <c r="H36" s="836">
        <f t="shared" si="6"/>
        <v>9.6783629711999983E-2</v>
      </c>
      <c r="J36" s="889" t="s">
        <v>2950</v>
      </c>
      <c r="K36" s="893">
        <f t="shared" si="2"/>
        <v>1.651685110853343</v>
      </c>
      <c r="L36" s="891">
        <f t="shared" si="7"/>
        <v>1.3635618303930945</v>
      </c>
      <c r="M36" s="328">
        <f t="shared" si="7"/>
        <v>4.5074533583242232E-2</v>
      </c>
      <c r="N36" s="466">
        <f t="shared" si="7"/>
        <v>0.15160876972188939</v>
      </c>
      <c r="O36" s="466">
        <f t="shared" si="7"/>
        <v>3.6376277963423999E-2</v>
      </c>
      <c r="P36" s="836">
        <f t="shared" si="7"/>
        <v>5.5063699191692801E-2</v>
      </c>
    </row>
    <row r="37" spans="2:16" hidden="1" outlineLevel="1">
      <c r="B37" s="889" t="s">
        <v>2952</v>
      </c>
      <c r="C37" s="893">
        <f t="shared" si="3"/>
        <v>1.2797421757687166</v>
      </c>
      <c r="D37" s="891">
        <f t="shared" si="8"/>
        <v>1.0038517870174768</v>
      </c>
      <c r="E37" s="328">
        <f t="shared" si="4"/>
        <v>6.5702115159959704E-2</v>
      </c>
      <c r="F37" s="466">
        <f t="shared" si="1"/>
        <v>0.13111108770812846</v>
      </c>
      <c r="G37" s="466">
        <f t="shared" si="5"/>
        <v>3.1458162870832557E-2</v>
      </c>
      <c r="H37" s="836">
        <f t="shared" si="6"/>
        <v>4.7619023012319087E-2</v>
      </c>
      <c r="J37" s="889" t="s">
        <v>2953</v>
      </c>
      <c r="K37" s="893">
        <f t="shared" si="2"/>
        <v>13.165084778471908</v>
      </c>
      <c r="L37" s="891">
        <f>SUM(D36:D41)</f>
        <v>10.606727124190671</v>
      </c>
      <c r="M37" s="328">
        <f>SUM(E36:E41)</f>
        <v>0.46791094530113608</v>
      </c>
      <c r="N37" s="466">
        <f>SUM(F36:F41)</f>
        <v>1.3039773205579479</v>
      </c>
      <c r="O37" s="466">
        <f>SUM(G36:G41)</f>
        <v>0.31287003751583253</v>
      </c>
      <c r="P37" s="836">
        <f>SUM(H36:H41)</f>
        <v>0.47359935090631911</v>
      </c>
    </row>
    <row r="38" spans="2:16" hidden="1" outlineLevel="1">
      <c r="B38" s="889" t="s">
        <v>2954</v>
      </c>
      <c r="C38" s="893">
        <f t="shared" si="3"/>
        <v>3.1562758302416287</v>
      </c>
      <c r="D38" s="891">
        <f t="shared" si="8"/>
        <v>2.4707440316871487</v>
      </c>
      <c r="E38" s="328">
        <f t="shared" si="4"/>
        <v>0.16533116037888068</v>
      </c>
      <c r="F38" s="466">
        <f t="shared" si="1"/>
        <v>0.32449037395059982</v>
      </c>
      <c r="G38" s="466">
        <f t="shared" si="5"/>
        <v>7.7856657375000013E-2</v>
      </c>
      <c r="H38" s="836">
        <f t="shared" si="6"/>
        <v>0.11785360684999999</v>
      </c>
      <c r="J38" s="889" t="s">
        <v>2955</v>
      </c>
      <c r="K38" s="893">
        <f t="shared" si="2"/>
        <v>8.2249587436458143</v>
      </c>
      <c r="L38" s="892">
        <f t="shared" ref="L38:P39" si="9">D42</f>
        <v>6.5073108000000008</v>
      </c>
      <c r="M38" s="328">
        <f t="shared" si="9"/>
        <v>0.51859161348284943</v>
      </c>
      <c r="N38" s="466">
        <f t="shared" si="9"/>
        <v>0.74794648143256337</v>
      </c>
      <c r="O38" s="466">
        <f t="shared" si="9"/>
        <v>0.17945867617199998</v>
      </c>
      <c r="P38" s="836">
        <f t="shared" si="9"/>
        <v>0.27165117255840004</v>
      </c>
    </row>
    <row r="39" spans="2:16" ht="14.5" hidden="1" outlineLevel="1" thickBot="1">
      <c r="B39" s="889" t="s">
        <v>2956</v>
      </c>
      <c r="C39" s="893">
        <f t="shared" si="3"/>
        <v>0.89275945293368475</v>
      </c>
      <c r="D39" s="891">
        <f t="shared" si="8"/>
        <v>0.71483313178383545</v>
      </c>
      <c r="E39" s="328">
        <f t="shared" si="4"/>
        <v>3.4898457144615154E-2</v>
      </c>
      <c r="F39" s="466">
        <f t="shared" si="1"/>
        <v>8.9217816493234153E-2</v>
      </c>
      <c r="G39" s="466">
        <f t="shared" si="5"/>
        <v>2.1406493159999998E-2</v>
      </c>
      <c r="H39" s="836">
        <f t="shared" si="6"/>
        <v>3.2403554351999993E-2</v>
      </c>
      <c r="J39" s="894" t="s">
        <v>2957</v>
      </c>
      <c r="K39" s="764">
        <f t="shared" si="2"/>
        <v>13.111000818633006</v>
      </c>
      <c r="L39" s="895">
        <f t="shared" si="9"/>
        <v>10.179826814000007</v>
      </c>
      <c r="M39" s="753">
        <f t="shared" si="9"/>
        <v>0.33750932433904485</v>
      </c>
      <c r="N39" s="666">
        <f t="shared" si="9"/>
        <v>1.6178742589834147</v>
      </c>
      <c r="O39" s="666">
        <f t="shared" si="9"/>
        <v>0.38818495699561223</v>
      </c>
      <c r="P39" s="836">
        <f t="shared" si="9"/>
        <v>0.58760546431492688</v>
      </c>
    </row>
    <row r="40" spans="2:16" ht="14.5" hidden="1" outlineLevel="1" thickBot="1">
      <c r="B40" s="889" t="s">
        <v>2958</v>
      </c>
      <c r="C40" s="893">
        <f t="shared" si="3"/>
        <v>4.8090294569961101</v>
      </c>
      <c r="D40" s="891">
        <f t="shared" si="8"/>
        <v>3.9658872729973038</v>
      </c>
      <c r="E40" s="328">
        <f t="shared" si="4"/>
        <v>0.10354499439713218</v>
      </c>
      <c r="F40" s="466">
        <f t="shared" si="1"/>
        <v>0.46134539447767403</v>
      </c>
      <c r="G40" s="466">
        <f t="shared" si="5"/>
        <v>0.11069299181999999</v>
      </c>
      <c r="H40" s="836">
        <f t="shared" si="6"/>
        <v>0.16755880330400003</v>
      </c>
      <c r="J40" s="896" t="s">
        <v>83</v>
      </c>
      <c r="K40" s="900">
        <f t="shared" ref="K40" si="10">SUM(K35:K39)</f>
        <v>42.941987125841997</v>
      </c>
      <c r="L40" s="897">
        <f>SUM(L34:L39)</f>
        <v>48.873749169307786</v>
      </c>
      <c r="M40" s="897">
        <f t="shared" ref="M40:P40" si="11">SUM(M34:M39)</f>
        <v>2.6071982787552543</v>
      </c>
      <c r="N40" s="897">
        <f t="shared" si="11"/>
        <v>4.7622685584422619</v>
      </c>
      <c r="O40" s="897">
        <f t="shared" si="11"/>
        <v>1.4599790644739565</v>
      </c>
      <c r="P40" s="897">
        <f t="shared" si="11"/>
        <v>2.2100075250468523</v>
      </c>
    </row>
    <row r="41" spans="2:16" hidden="1" outlineLevel="1">
      <c r="B41" s="889" t="s">
        <v>2959</v>
      </c>
      <c r="C41" s="893">
        <f t="shared" si="3"/>
        <v>0.31355379907397773</v>
      </c>
      <c r="D41" s="891">
        <f t="shared" si="8"/>
        <v>0.25106275093277591</v>
      </c>
      <c r="E41" s="328">
        <f t="shared" si="4"/>
        <v>1.2256990148417175E-2</v>
      </c>
      <c r="F41" s="466">
        <f t="shared" si="1"/>
        <v>3.1334963986784627E-2</v>
      </c>
      <c r="G41" s="466">
        <f t="shared" si="5"/>
        <v>7.5183603299999995E-3</v>
      </c>
      <c r="H41" s="836">
        <f t="shared" si="6"/>
        <v>1.1380733675999998E-2</v>
      </c>
    </row>
    <row r="42" spans="2:16" hidden="1" outlineLevel="1">
      <c r="B42" s="889" t="s">
        <v>2955</v>
      </c>
      <c r="C42" s="893">
        <f t="shared" si="3"/>
        <v>8.2249587436458143</v>
      </c>
      <c r="D42" s="892">
        <f>D369</f>
        <v>6.5073108000000008</v>
      </c>
      <c r="E42" s="328">
        <f t="shared" si="4"/>
        <v>0.51859161348284943</v>
      </c>
      <c r="F42" s="466">
        <f t="shared" si="1"/>
        <v>0.74794648143256337</v>
      </c>
      <c r="G42" s="466">
        <f t="shared" si="5"/>
        <v>0.17945867617199998</v>
      </c>
      <c r="H42" s="836">
        <f t="shared" si="6"/>
        <v>0.27165117255840004</v>
      </c>
    </row>
    <row r="43" spans="2:16" ht="14.5" hidden="1" outlineLevel="1" thickBot="1">
      <c r="B43" s="894" t="s">
        <v>2960</v>
      </c>
      <c r="C43" s="764">
        <f t="shared" si="3"/>
        <v>13.111000818633006</v>
      </c>
      <c r="D43" s="895">
        <f>D377</f>
        <v>10.179826814000007</v>
      </c>
      <c r="E43" s="753">
        <f t="shared" si="4"/>
        <v>0.33750932433904485</v>
      </c>
      <c r="F43" s="666">
        <f t="shared" si="1"/>
        <v>1.6178742589834147</v>
      </c>
      <c r="G43" s="666">
        <f t="shared" si="5"/>
        <v>0.38818495699561223</v>
      </c>
      <c r="H43" s="836">
        <f t="shared" si="6"/>
        <v>0.58760546431492688</v>
      </c>
    </row>
    <row r="44" spans="2:16" ht="14.5" hidden="1" outlineLevel="1" thickBot="1">
      <c r="B44" s="896" t="s">
        <v>83</v>
      </c>
      <c r="C44" s="900">
        <f t="shared" ref="C44:H44" si="12">SUM(C34:C43)</f>
        <v>42.941987125841997</v>
      </c>
      <c r="D44" s="897">
        <f t="shared" si="12"/>
        <v>34.299134207585489</v>
      </c>
      <c r="E44" s="898">
        <f t="shared" si="12"/>
        <v>1.484292370906461</v>
      </c>
      <c r="F44" s="898">
        <f t="shared" si="12"/>
        <v>4.4653616671910159</v>
      </c>
      <c r="G44" s="898">
        <f t="shared" si="12"/>
        <v>1.0713973704220787</v>
      </c>
      <c r="H44" s="899">
        <f t="shared" si="12"/>
        <v>1.6218015097369509</v>
      </c>
    </row>
    <row r="45" spans="2:16" hidden="1" outlineLevel="1">
      <c r="B45" s="1251"/>
      <c r="F45" s="50"/>
    </row>
    <row r="46" spans="2:16" hidden="1" outlineLevel="1">
      <c r="B46" s="1251"/>
    </row>
    <row r="47" spans="2:16" hidden="1" outlineLevel="1">
      <c r="B47" s="1251"/>
    </row>
    <row r="48" spans="2:16" hidden="1" outlineLevel="1">
      <c r="B48" s="1251"/>
    </row>
    <row r="49" spans="2:2" hidden="1" outlineLevel="1">
      <c r="B49" s="1251"/>
    </row>
    <row r="50" spans="2:2" hidden="1" outlineLevel="1">
      <c r="B50" s="1251"/>
    </row>
    <row r="51" spans="2:2" hidden="1" outlineLevel="1">
      <c r="B51" s="1251"/>
    </row>
    <row r="52" spans="2:2" hidden="1" outlineLevel="1">
      <c r="B52" s="1251"/>
    </row>
    <row r="53" spans="2:2" hidden="1" outlineLevel="1">
      <c r="B53" s="1251"/>
    </row>
    <row r="54" spans="2:2" hidden="1" outlineLevel="1">
      <c r="B54" s="1251"/>
    </row>
    <row r="55" spans="2:2" hidden="1" outlineLevel="1">
      <c r="B55" s="1251"/>
    </row>
    <row r="56" spans="2:2" hidden="1" outlineLevel="1">
      <c r="B56" s="1251"/>
    </row>
    <row r="57" spans="2:2" hidden="1" outlineLevel="1">
      <c r="B57" s="1251"/>
    </row>
    <row r="58" spans="2:2" hidden="1" outlineLevel="1">
      <c r="B58" s="1251"/>
    </row>
    <row r="59" spans="2:2" hidden="1" outlineLevel="1">
      <c r="B59" s="1251"/>
    </row>
    <row r="60" spans="2:2" hidden="1" outlineLevel="1">
      <c r="B60" s="1251"/>
    </row>
    <row r="61" spans="2:2" hidden="1" outlineLevel="1">
      <c r="B61" s="1251"/>
    </row>
    <row r="62" spans="2:2" hidden="1" outlineLevel="1">
      <c r="B62" s="1251"/>
    </row>
    <row r="63" spans="2:2" hidden="1" outlineLevel="1">
      <c r="B63" s="1251"/>
    </row>
    <row r="64" spans="2:2" hidden="1" outlineLevel="1">
      <c r="B64" s="1251"/>
    </row>
    <row r="65" spans="2:15" hidden="1" outlineLevel="1">
      <c r="B65" s="1251"/>
    </row>
    <row r="66" spans="2:15" hidden="1" outlineLevel="1">
      <c r="B66" s="1251"/>
    </row>
    <row r="67" spans="2:15" collapsed="1">
      <c r="B67" s="1251"/>
    </row>
    <row r="68" spans="2:15" ht="23.5">
      <c r="B68" s="2" t="s">
        <v>370</v>
      </c>
      <c r="O68" s="1"/>
    </row>
    <row r="70" spans="2:15" ht="18">
      <c r="B70" s="258" t="s">
        <v>2961</v>
      </c>
    </row>
    <row r="72" spans="2:15" hidden="1" outlineLevel="1">
      <c r="B72" t="s">
        <v>2962</v>
      </c>
    </row>
    <row r="73" spans="2:15" hidden="1" outlineLevel="1">
      <c r="B73" s="87" t="s">
        <v>2963</v>
      </c>
    </row>
    <row r="74" spans="2:15" hidden="1" outlineLevel="1">
      <c r="B74" s="87" t="s">
        <v>2964</v>
      </c>
    </row>
    <row r="75" spans="2:15" hidden="1" outlineLevel="1"/>
    <row r="76" spans="2:15" hidden="1" outlineLevel="1">
      <c r="B76" s="1343" t="s">
        <v>2965</v>
      </c>
    </row>
    <row r="77" spans="2:15" hidden="1" outlineLevel="1">
      <c r="C77" s="40"/>
      <c r="D77" s="40"/>
    </row>
    <row r="78" spans="2:15" ht="14.5" hidden="1" outlineLevel="1" thickBot="1">
      <c r="B78" s="272" t="s">
        <v>2966</v>
      </c>
      <c r="C78" s="40"/>
      <c r="D78" s="40"/>
    </row>
    <row r="79" spans="2:15" ht="28" hidden="1" outlineLevel="1">
      <c r="B79" s="259" t="s">
        <v>151</v>
      </c>
      <c r="C79" s="260" t="s">
        <v>2967</v>
      </c>
      <c r="D79" s="261" t="s">
        <v>2968</v>
      </c>
    </row>
    <row r="80" spans="2:15" hidden="1" outlineLevel="1">
      <c r="B80" s="262" t="s">
        <v>2969</v>
      </c>
      <c r="C80" s="266">
        <f>SUM(C81:C86)</f>
        <v>167856606.28000003</v>
      </c>
      <c r="D80" s="268">
        <f>SUM(D81:D86)</f>
        <v>4586227</v>
      </c>
    </row>
    <row r="81" spans="2:6" hidden="1" outlineLevel="1">
      <c r="B81" s="277" t="s">
        <v>2951</v>
      </c>
      <c r="C81" s="267">
        <v>42239652.330000028</v>
      </c>
      <c r="D81" s="269">
        <v>630358</v>
      </c>
    </row>
    <row r="82" spans="2:6" hidden="1" outlineLevel="1">
      <c r="B82" s="277" t="s">
        <v>2952</v>
      </c>
      <c r="C82" s="267">
        <v>12198476.970000001</v>
      </c>
      <c r="D82" s="269">
        <v>325343</v>
      </c>
    </row>
    <row r="83" spans="2:6" hidden="1" outlineLevel="1">
      <c r="B83" s="277" t="s">
        <v>2954</v>
      </c>
      <c r="C83" s="267">
        <v>79942039.849999994</v>
      </c>
      <c r="D83" s="269">
        <v>2286672</v>
      </c>
    </row>
    <row r="84" spans="2:6" hidden="1" outlineLevel="1">
      <c r="B84" s="277" t="s">
        <v>2956</v>
      </c>
      <c r="C84" s="1408">
        <f>11895799.52+4273411.67</f>
        <v>16169211.189999999</v>
      </c>
      <c r="D84" s="269">
        <f>284373+74375</f>
        <v>358748</v>
      </c>
    </row>
    <row r="85" spans="2:6" hidden="1" outlineLevel="1">
      <c r="B85" s="277" t="s">
        <v>2958</v>
      </c>
      <c r="C85" s="267">
        <v>15236466.310000001</v>
      </c>
      <c r="D85" s="269">
        <v>869143</v>
      </c>
    </row>
    <row r="86" spans="2:6" ht="14.5" hidden="1" outlineLevel="1" thickBot="1">
      <c r="B86" s="315" t="s">
        <v>2959</v>
      </c>
      <c r="C86" s="81">
        <v>2070759.629999999</v>
      </c>
      <c r="D86" s="270">
        <v>115963</v>
      </c>
    </row>
    <row r="87" spans="2:6" hidden="1" outlineLevel="1">
      <c r="B87" s="262" t="s">
        <v>2970</v>
      </c>
      <c r="C87" s="263">
        <v>32445460.219999995</v>
      </c>
      <c r="D87" s="264">
        <v>1547337</v>
      </c>
    </row>
    <row r="88" spans="2:6" hidden="1" outlineLevel="1">
      <c r="B88" s="277" t="s">
        <v>2971</v>
      </c>
      <c r="C88" s="29">
        <v>1625264.0899999982</v>
      </c>
      <c r="D88" s="1409">
        <f>2*27662</f>
        <v>55324</v>
      </c>
      <c r="E88" s="1251"/>
    </row>
    <row r="89" spans="2:6" hidden="1" outlineLevel="1">
      <c r="B89" s="277" t="s">
        <v>2972</v>
      </c>
      <c r="C89" s="29">
        <v>30820196.129999995</v>
      </c>
      <c r="D89" s="26">
        <v>1519675</v>
      </c>
    </row>
    <row r="90" spans="2:6" hidden="1" outlineLevel="1">
      <c r="B90" s="262" t="s">
        <v>2973</v>
      </c>
      <c r="C90" s="29">
        <v>3412042.2900000005</v>
      </c>
      <c r="D90" s="26">
        <v>510128</v>
      </c>
    </row>
    <row r="91" spans="2:6" hidden="1" outlineLevel="1">
      <c r="B91" s="262" t="s">
        <v>2974</v>
      </c>
      <c r="C91" s="29">
        <v>304432.55999999988</v>
      </c>
      <c r="D91" s="26">
        <v>8981</v>
      </c>
    </row>
    <row r="92" spans="2:6" hidden="1" outlineLevel="1">
      <c r="B92" s="262" t="s">
        <v>2975</v>
      </c>
      <c r="C92" s="29">
        <v>59225203.900000118</v>
      </c>
      <c r="D92" s="26">
        <v>6080776</v>
      </c>
    </row>
    <row r="93" spans="2:6" hidden="1" outlineLevel="1">
      <c r="B93" s="262" t="s">
        <v>2976</v>
      </c>
      <c r="C93" s="29">
        <v>6171971.3600000013</v>
      </c>
      <c r="D93" s="26">
        <v>133213</v>
      </c>
    </row>
    <row r="94" spans="2:6" hidden="1" outlineLevel="1">
      <c r="B94" s="277" t="s">
        <v>2977</v>
      </c>
      <c r="C94" s="29">
        <v>1584748.0400000017</v>
      </c>
      <c r="D94" s="26">
        <v>78418</v>
      </c>
      <c r="F94" s="435"/>
    </row>
    <row r="95" spans="2:6" ht="14.5" hidden="1" outlineLevel="1" thickBot="1">
      <c r="B95" s="315" t="s">
        <v>2978</v>
      </c>
      <c r="C95" s="32">
        <v>4587223.3199999994</v>
      </c>
      <c r="D95" s="33">
        <v>54795</v>
      </c>
      <c r="F95" s="76"/>
    </row>
    <row r="96" spans="2:6" hidden="1" outlineLevel="1">
      <c r="B96" s="85"/>
      <c r="C96" s="40"/>
      <c r="D96" s="40"/>
    </row>
    <row r="97" spans="2:4" ht="14.5" hidden="1" outlineLevel="1" thickBot="1">
      <c r="B97" s="272" t="s">
        <v>2979</v>
      </c>
      <c r="C97" s="40"/>
      <c r="D97" s="40"/>
    </row>
    <row r="98" spans="2:4" ht="28" hidden="1" outlineLevel="1">
      <c r="B98" s="259" t="s">
        <v>151</v>
      </c>
      <c r="C98" s="260" t="s">
        <v>2967</v>
      </c>
      <c r="D98" s="261" t="s">
        <v>2968</v>
      </c>
    </row>
    <row r="99" spans="2:4" hidden="1" outlineLevel="1">
      <c r="B99" s="262" t="s">
        <v>2980</v>
      </c>
      <c r="C99" s="263">
        <f>SUM(C100:C103)</f>
        <v>102748335.01000005</v>
      </c>
      <c r="D99" s="264">
        <f>SUM(D100:D103)</f>
        <v>309706</v>
      </c>
    </row>
    <row r="100" spans="2:4" hidden="1" outlineLevel="1">
      <c r="B100" s="277" t="s">
        <v>2981</v>
      </c>
      <c r="C100" s="29">
        <v>1309247.82</v>
      </c>
      <c r="D100" s="26">
        <v>3056</v>
      </c>
    </row>
    <row r="101" spans="2:4" hidden="1" outlineLevel="1">
      <c r="B101" s="277" t="s">
        <v>2982</v>
      </c>
      <c r="C101" s="29">
        <v>90963441.060000062</v>
      </c>
      <c r="D101" s="26">
        <v>122854</v>
      </c>
    </row>
    <row r="102" spans="2:4" hidden="1" outlineLevel="1">
      <c r="B102" s="277" t="s">
        <v>2983</v>
      </c>
      <c r="C102" s="29">
        <v>2988291.439999999</v>
      </c>
      <c r="D102" s="26">
        <v>64101</v>
      </c>
    </row>
    <row r="103" spans="2:4" ht="14.5" hidden="1" outlineLevel="1" thickBot="1">
      <c r="B103" s="315" t="s">
        <v>2984</v>
      </c>
      <c r="C103" s="32">
        <v>7487354.6899999995</v>
      </c>
      <c r="D103" s="33">
        <v>119695</v>
      </c>
    </row>
    <row r="104" spans="2:4" hidden="1" outlineLevel="1"/>
    <row r="105" spans="2:4" ht="14.5" hidden="1" outlineLevel="1" thickBot="1">
      <c r="B105" s="272" t="s">
        <v>2985</v>
      </c>
    </row>
    <row r="106" spans="2:4" ht="28" hidden="1" outlineLevel="1">
      <c r="B106" s="259" t="s">
        <v>151</v>
      </c>
      <c r="C106" s="260" t="s">
        <v>2967</v>
      </c>
      <c r="D106" s="261" t="s">
        <v>2968</v>
      </c>
    </row>
    <row r="107" spans="2:4" ht="14.5" hidden="1" outlineLevel="1" thickBot="1">
      <c r="B107" s="271" t="s">
        <v>2986</v>
      </c>
      <c r="C107" s="32">
        <v>381435554.29999959</v>
      </c>
      <c r="D107" s="33">
        <v>15209564</v>
      </c>
    </row>
    <row r="108" spans="2:4" hidden="1" outlineLevel="1"/>
    <row r="109" spans="2:4" hidden="1" outlineLevel="1">
      <c r="B109" s="1251" t="s">
        <v>2987</v>
      </c>
    </row>
    <row r="110" spans="2:4" hidden="1" outlineLevel="1">
      <c r="B110" s="1343" t="s">
        <v>2988</v>
      </c>
      <c r="C110" s="40"/>
      <c r="D110" s="40"/>
    </row>
    <row r="111" spans="2:4" hidden="1" outlineLevel="1">
      <c r="B111" s="1343" t="s">
        <v>2989</v>
      </c>
      <c r="C111" s="40"/>
      <c r="D111" s="40"/>
    </row>
    <row r="112" spans="2:4" hidden="1" outlineLevel="1">
      <c r="B112" s="1251" t="s">
        <v>2990</v>
      </c>
      <c r="C112" s="40"/>
      <c r="D112" s="40"/>
    </row>
    <row r="113" spans="2:4" hidden="1" outlineLevel="1">
      <c r="C113" s="40"/>
      <c r="D113" s="40"/>
    </row>
    <row r="114" spans="2:4" hidden="1" outlineLevel="1">
      <c r="B114" s="1251" t="s">
        <v>2991</v>
      </c>
    </row>
    <row r="115" spans="2:4" hidden="1" outlineLevel="1"/>
    <row r="116" spans="2:4" ht="14.5" hidden="1" outlineLevel="1" thickBot="1">
      <c r="B116" s="1343" t="s">
        <v>2992</v>
      </c>
    </row>
    <row r="117" spans="2:4" hidden="1" outlineLevel="1">
      <c r="B117" s="259" t="s">
        <v>2993</v>
      </c>
      <c r="C117" s="261" t="s">
        <v>2968</v>
      </c>
    </row>
    <row r="118" spans="2:4" hidden="1" outlineLevel="1">
      <c r="B118" s="265" t="s">
        <v>2994</v>
      </c>
      <c r="C118" s="12">
        <v>13000000</v>
      </c>
    </row>
    <row r="119" spans="2:4" hidden="1" outlineLevel="1">
      <c r="B119" s="265" t="s">
        <v>2995</v>
      </c>
      <c r="C119" s="12">
        <v>1000000</v>
      </c>
    </row>
    <row r="120" spans="2:4" hidden="1" outlineLevel="1">
      <c r="B120" s="265" t="s">
        <v>2996</v>
      </c>
      <c r="C120" s="12">
        <v>1000000</v>
      </c>
    </row>
    <row r="121" spans="2:4" ht="14.5" hidden="1" outlineLevel="1" thickBot="1">
      <c r="B121" s="271" t="s">
        <v>2997</v>
      </c>
      <c r="C121" s="15">
        <f>D107-SUM(C118:C120)</f>
        <v>209564</v>
      </c>
    </row>
    <row r="122" spans="2:4" hidden="1" outlineLevel="1"/>
    <row r="123" spans="2:4" collapsed="1"/>
    <row r="124" spans="2:4" ht="18">
      <c r="B124" s="258" t="s">
        <v>2998</v>
      </c>
    </row>
    <row r="125" spans="2:4">
      <c r="C125" s="40"/>
      <c r="D125" s="40"/>
    </row>
    <row r="126" spans="2:4" hidden="1" outlineLevel="1">
      <c r="B126" s="1343" t="s">
        <v>2999</v>
      </c>
      <c r="C126" s="40"/>
      <c r="D126" s="40"/>
    </row>
    <row r="127" spans="2:4" hidden="1" outlineLevel="1">
      <c r="B127" s="85"/>
      <c r="C127" s="40"/>
      <c r="D127" s="40"/>
    </row>
    <row r="128" spans="2:4" ht="14.5" hidden="1" outlineLevel="1" thickBot="1">
      <c r="B128" s="1343" t="s">
        <v>3000</v>
      </c>
      <c r="C128" s="40"/>
      <c r="D128" s="40"/>
    </row>
    <row r="129" spans="2:5" hidden="1" outlineLevel="1">
      <c r="B129" s="259" t="s">
        <v>151</v>
      </c>
      <c r="C129" s="261" t="s">
        <v>2968</v>
      </c>
      <c r="D129" s="40"/>
    </row>
    <row r="130" spans="2:5" hidden="1" outlineLevel="1">
      <c r="B130" s="277" t="s">
        <v>2994</v>
      </c>
      <c r="C130" s="1190">
        <v>1109720.190699995</v>
      </c>
      <c r="D130" s="40"/>
    </row>
    <row r="131" spans="2:5" hidden="1" outlineLevel="1">
      <c r="B131" s="277" t="s">
        <v>2996</v>
      </c>
      <c r="C131" s="26">
        <v>132544.78120000003</v>
      </c>
      <c r="D131" s="40"/>
    </row>
    <row r="132" spans="2:5" ht="14.5" hidden="1" outlineLevel="1" thickBot="1">
      <c r="B132" s="315" t="s">
        <v>2950</v>
      </c>
      <c r="C132" s="33">
        <v>126711.60019999999</v>
      </c>
      <c r="D132" s="40"/>
    </row>
    <row r="133" spans="2:5" hidden="1" outlineLevel="1">
      <c r="B133" s="85"/>
      <c r="C133" s="40"/>
      <c r="D133" s="40"/>
    </row>
    <row r="134" spans="2:5" ht="14.5" hidden="1" outlineLevel="1" thickBot="1">
      <c r="B134" s="85"/>
      <c r="C134" s="40"/>
      <c r="D134" s="40"/>
    </row>
    <row r="135" spans="2:5" hidden="1" outlineLevel="1">
      <c r="B135" s="259" t="s">
        <v>151</v>
      </c>
      <c r="C135" s="261" t="s">
        <v>2968</v>
      </c>
      <c r="D135" s="40"/>
    </row>
    <row r="136" spans="2:5" hidden="1" outlineLevel="1">
      <c r="B136" s="277" t="s">
        <v>2969</v>
      </c>
      <c r="C136" s="122">
        <f>SUM(C137:C142)</f>
        <v>266447</v>
      </c>
    </row>
    <row r="137" spans="2:5" hidden="1" outlineLevel="1">
      <c r="B137" s="265" t="s">
        <v>3001</v>
      </c>
      <c r="C137" s="12">
        <f>8802</f>
        <v>8802</v>
      </c>
      <c r="D137" s="40"/>
      <c r="E137" s="40"/>
    </row>
    <row r="138" spans="2:5" hidden="1" outlineLevel="1">
      <c r="B138" s="265" t="s">
        <v>3002</v>
      </c>
      <c r="C138" s="12">
        <v>89241</v>
      </c>
    </row>
    <row r="139" spans="2:5" hidden="1" outlineLevel="1">
      <c r="B139" s="265" t="s">
        <v>3003</v>
      </c>
      <c r="C139" s="12">
        <f>79472+22395+4420+1408</f>
        <v>107695</v>
      </c>
    </row>
    <row r="140" spans="2:5" hidden="1" outlineLevel="1">
      <c r="B140" s="265" t="s">
        <v>3004</v>
      </c>
      <c r="C140" s="12">
        <v>31459</v>
      </c>
      <c r="D140" s="40"/>
      <c r="E140" s="40"/>
    </row>
    <row r="141" spans="2:5" hidden="1" outlineLevel="1">
      <c r="B141" s="265" t="s">
        <v>3005</v>
      </c>
      <c r="C141" s="12">
        <v>19214</v>
      </c>
      <c r="D141" s="40"/>
      <c r="E141" s="40"/>
    </row>
    <row r="142" spans="2:5" ht="14.5" hidden="1" outlineLevel="1" thickBot="1">
      <c r="B142" s="1191" t="s">
        <v>3006</v>
      </c>
      <c r="C142" s="1052">
        <v>10036</v>
      </c>
      <c r="D142" s="40"/>
      <c r="E142" s="40"/>
    </row>
    <row r="143" spans="2:5" hidden="1" outlineLevel="1">
      <c r="B143" s="1192" t="s">
        <v>3007</v>
      </c>
      <c r="C143" s="450">
        <v>320548.8565000011</v>
      </c>
      <c r="D143" s="40"/>
    </row>
    <row r="144" spans="2:5" hidden="1" outlineLevel="1">
      <c r="B144" s="277" t="s">
        <v>3008</v>
      </c>
      <c r="C144" s="12">
        <v>220727.90299999979</v>
      </c>
      <c r="D144" s="40"/>
    </row>
    <row r="145" spans="2:5" hidden="1" outlineLevel="1">
      <c r="B145" s="277" t="s">
        <v>3009</v>
      </c>
      <c r="C145" s="12">
        <v>86678.226200000005</v>
      </c>
      <c r="D145" s="40"/>
    </row>
    <row r="146" spans="2:5" hidden="1" outlineLevel="1">
      <c r="B146" s="277" t="s">
        <v>3010</v>
      </c>
      <c r="C146" s="12">
        <v>119128.67080000005</v>
      </c>
      <c r="D146" s="40"/>
    </row>
    <row r="147" spans="2:5" ht="14.5" hidden="1" outlineLevel="1" thickBot="1">
      <c r="B147" s="315" t="s">
        <v>3011</v>
      </c>
      <c r="C147" s="15">
        <v>230483.18140000073</v>
      </c>
      <c r="D147" s="40"/>
    </row>
    <row r="148" spans="2:5" hidden="1" outlineLevel="1">
      <c r="D148" s="40"/>
    </row>
    <row r="149" spans="2:5" ht="18" collapsed="1">
      <c r="B149" s="258" t="s">
        <v>2281</v>
      </c>
    </row>
    <row r="151" spans="2:5" ht="14.5" hidden="1" outlineLevel="1" thickBot="1">
      <c r="B151" s="1251" t="s">
        <v>2640</v>
      </c>
    </row>
    <row r="152" spans="2:5" hidden="1" outlineLevel="1">
      <c r="B152" s="402"/>
      <c r="C152" s="592" t="s">
        <v>685</v>
      </c>
      <c r="D152" s="592" t="s">
        <v>3012</v>
      </c>
      <c r="E152" s="590" t="s">
        <v>83</v>
      </c>
    </row>
    <row r="153" spans="2:5" hidden="1" outlineLevel="1">
      <c r="B153" s="408" t="s">
        <v>123</v>
      </c>
      <c r="C153" s="1307">
        <f>C118</f>
        <v>13000000</v>
      </c>
      <c r="D153" s="11">
        <f>C130</f>
        <v>1109720.190699995</v>
      </c>
      <c r="E153" s="12">
        <f>C153+D153</f>
        <v>14109720.190699995</v>
      </c>
    </row>
    <row r="154" spans="2:5" hidden="1" outlineLevel="1">
      <c r="B154" s="408" t="s">
        <v>2948</v>
      </c>
      <c r="C154" s="1307">
        <f>C120</f>
        <v>1000000</v>
      </c>
      <c r="D154" s="11">
        <f t="shared" ref="D154:D155" si="13">C131</f>
        <v>132544.78120000003</v>
      </c>
      <c r="E154" s="12">
        <f t="shared" ref="E154:E163" si="14">C154+D154</f>
        <v>1132544.7812000001</v>
      </c>
    </row>
    <row r="155" spans="2:5" hidden="1" outlineLevel="1">
      <c r="B155" s="408" t="s">
        <v>2950</v>
      </c>
      <c r="C155" s="1307">
        <f>D90</f>
        <v>510128</v>
      </c>
      <c r="D155" s="11">
        <f t="shared" si="13"/>
        <v>126711.60019999999</v>
      </c>
      <c r="E155" s="12">
        <f t="shared" si="14"/>
        <v>636839.60019999999</v>
      </c>
    </row>
    <row r="156" spans="2:5" hidden="1" outlineLevel="1">
      <c r="B156" s="408" t="s">
        <v>2951</v>
      </c>
      <c r="C156" s="11">
        <f t="shared" ref="C156:C161" si="15">D81</f>
        <v>630358</v>
      </c>
      <c r="D156" s="11">
        <f>C141</f>
        <v>19214</v>
      </c>
      <c r="E156" s="12">
        <f t="shared" si="14"/>
        <v>649572</v>
      </c>
    </row>
    <row r="157" spans="2:5" hidden="1" outlineLevel="1">
      <c r="B157" s="408" t="s">
        <v>2952</v>
      </c>
      <c r="C157" s="11">
        <f t="shared" si="15"/>
        <v>325343</v>
      </c>
      <c r="D157" s="11">
        <f>C143</f>
        <v>320548.8565000011</v>
      </c>
      <c r="E157" s="12">
        <f t="shared" si="14"/>
        <v>645891.85650000116</v>
      </c>
    </row>
    <row r="158" spans="2:5" hidden="1" outlineLevel="1">
      <c r="B158" s="408" t="s">
        <v>2954</v>
      </c>
      <c r="C158" s="11">
        <f t="shared" si="15"/>
        <v>2286672</v>
      </c>
      <c r="D158" s="11">
        <f>C137+C138+C139</f>
        <v>205738</v>
      </c>
      <c r="E158" s="12">
        <f t="shared" si="14"/>
        <v>2492410</v>
      </c>
    </row>
    <row r="159" spans="2:5" hidden="1" outlineLevel="1">
      <c r="B159" s="408" t="s">
        <v>2956</v>
      </c>
      <c r="C159" s="11">
        <f t="shared" si="15"/>
        <v>358748</v>
      </c>
      <c r="D159" s="11">
        <v>0</v>
      </c>
      <c r="E159" s="12">
        <f t="shared" si="14"/>
        <v>358748</v>
      </c>
    </row>
    <row r="160" spans="2:5" hidden="1" outlineLevel="1">
      <c r="B160" s="408" t="s">
        <v>2958</v>
      </c>
      <c r="C160" s="11">
        <f t="shared" si="15"/>
        <v>869143</v>
      </c>
      <c r="D160" s="11">
        <f>C140</f>
        <v>31459</v>
      </c>
      <c r="E160" s="12">
        <f t="shared" si="14"/>
        <v>900602</v>
      </c>
    </row>
    <row r="161" spans="2:8" hidden="1" outlineLevel="1">
      <c r="B161" s="408" t="s">
        <v>2959</v>
      </c>
      <c r="C161" s="11">
        <f t="shared" si="15"/>
        <v>115963</v>
      </c>
      <c r="D161" s="11">
        <f>C142</f>
        <v>10036</v>
      </c>
      <c r="E161" s="12">
        <f t="shared" si="14"/>
        <v>125999</v>
      </c>
    </row>
    <row r="162" spans="2:8" hidden="1" outlineLevel="1">
      <c r="B162" s="408" t="s">
        <v>2955</v>
      </c>
      <c r="C162" s="1307">
        <f>D91+D92</f>
        <v>6089757</v>
      </c>
      <c r="D162" s="1307">
        <f>C144+C145+C146</f>
        <v>426534.79999999981</v>
      </c>
      <c r="E162" s="12">
        <f t="shared" si="14"/>
        <v>6516291.7999999998</v>
      </c>
    </row>
    <row r="163" spans="2:8" ht="14.5" hidden="1" outlineLevel="1" thickBot="1">
      <c r="B163" s="403" t="s">
        <v>2960</v>
      </c>
      <c r="C163" s="1330">
        <f>D87</f>
        <v>1547337</v>
      </c>
      <c r="D163" s="1330">
        <f>2*C147</f>
        <v>460966.36280000146</v>
      </c>
      <c r="E163" s="15">
        <f t="shared" si="14"/>
        <v>2008303.3628000014</v>
      </c>
    </row>
    <row r="164" spans="2:8" hidden="1" outlineLevel="1"/>
    <row r="165" spans="2:8" collapsed="1"/>
    <row r="166" spans="2:8" ht="23.5">
      <c r="B166" s="2" t="s">
        <v>864</v>
      </c>
    </row>
    <row r="168" spans="2:8" ht="18">
      <c r="B168" s="258" t="s">
        <v>408</v>
      </c>
    </row>
    <row r="170" spans="2:8">
      <c r="B170" s="3" t="s">
        <v>3013</v>
      </c>
    </row>
    <row r="172" spans="2:8" ht="14.5" hidden="1" outlineLevel="1" thickBot="1">
      <c r="B172" s="1251" t="s">
        <v>3014</v>
      </c>
    </row>
    <row r="173" spans="2:8" hidden="1" outlineLevel="1">
      <c r="B173" s="259" t="s">
        <v>684</v>
      </c>
      <c r="C173" s="259" t="s">
        <v>2074</v>
      </c>
      <c r="D173" s="259" t="s">
        <v>3015</v>
      </c>
      <c r="E173" s="259" t="s">
        <v>2072</v>
      </c>
      <c r="F173" s="259" t="s">
        <v>3016</v>
      </c>
      <c r="G173" s="259" t="s">
        <v>3017</v>
      </c>
      <c r="H173" s="275" t="s">
        <v>70</v>
      </c>
    </row>
    <row r="174" spans="2:8" hidden="1" outlineLevel="1">
      <c r="B174" s="265" t="s">
        <v>3018</v>
      </c>
      <c r="C174" s="1318">
        <v>0.61</v>
      </c>
      <c r="D174" s="1318">
        <v>0.38</v>
      </c>
      <c r="E174" s="1318">
        <v>0.01</v>
      </c>
      <c r="F174" s="1298">
        <v>0</v>
      </c>
      <c r="G174" s="1298">
        <v>0</v>
      </c>
      <c r="H174" s="100" t="s">
        <v>3019</v>
      </c>
    </row>
    <row r="175" spans="2:8" hidden="1" outlineLevel="1">
      <c r="B175" s="265" t="s">
        <v>3020</v>
      </c>
      <c r="C175" s="1318">
        <v>0.78</v>
      </c>
      <c r="D175" s="1318">
        <v>0.22</v>
      </c>
      <c r="E175" s="1298">
        <v>0</v>
      </c>
      <c r="F175" s="1298">
        <v>0</v>
      </c>
      <c r="G175" s="1298">
        <v>0</v>
      </c>
      <c r="H175" s="100" t="s">
        <v>3021</v>
      </c>
    </row>
    <row r="176" spans="2:8" hidden="1" outlineLevel="1">
      <c r="B176" s="265" t="s">
        <v>3022</v>
      </c>
      <c r="C176" s="1318">
        <v>0.27</v>
      </c>
      <c r="D176" s="1318">
        <v>0.14000000000000001</v>
      </c>
      <c r="E176" s="1298">
        <v>0</v>
      </c>
      <c r="F176" s="1318">
        <v>0.56000000000000005</v>
      </c>
      <c r="G176" s="1318">
        <v>0.03</v>
      </c>
      <c r="H176" s="100" t="s">
        <v>3023</v>
      </c>
    </row>
    <row r="177" spans="1:8" hidden="1" outlineLevel="1">
      <c r="B177" s="265" t="s">
        <v>3024</v>
      </c>
      <c r="C177" s="1318">
        <v>0.57999999999999996</v>
      </c>
      <c r="D177" s="1318">
        <v>0.42</v>
      </c>
      <c r="E177" s="1298">
        <v>0</v>
      </c>
      <c r="F177" s="1298">
        <v>0</v>
      </c>
      <c r="G177" s="1298">
        <v>0</v>
      </c>
      <c r="H177" s="100" t="s">
        <v>3025</v>
      </c>
    </row>
    <row r="178" spans="1:8" hidden="1" outlineLevel="1">
      <c r="B178" s="265" t="s">
        <v>3026</v>
      </c>
      <c r="C178" s="1318">
        <v>0.64</v>
      </c>
      <c r="D178" s="1318">
        <v>0.28000000000000003</v>
      </c>
      <c r="E178" s="1318">
        <v>0.08</v>
      </c>
      <c r="F178" s="1298">
        <v>0</v>
      </c>
      <c r="G178" s="1298">
        <v>0</v>
      </c>
      <c r="H178" s="100" t="s">
        <v>3027</v>
      </c>
    </row>
    <row r="179" spans="1:8" hidden="1" outlineLevel="1">
      <c r="B179" s="265" t="s">
        <v>3028</v>
      </c>
      <c r="C179" s="1318">
        <v>0.72</v>
      </c>
      <c r="D179" s="1318">
        <v>0.24</v>
      </c>
      <c r="E179" s="1318">
        <v>0.04</v>
      </c>
      <c r="F179" s="1298">
        <v>0</v>
      </c>
      <c r="G179" s="1298">
        <v>0</v>
      </c>
      <c r="H179" s="100" t="s">
        <v>3029</v>
      </c>
    </row>
    <row r="180" spans="1:8" hidden="1" outlineLevel="1">
      <c r="B180" s="265" t="s">
        <v>3030</v>
      </c>
      <c r="C180" s="1318">
        <v>0.65</v>
      </c>
      <c r="D180" s="1318">
        <v>0.35</v>
      </c>
      <c r="E180" s="1298">
        <v>0</v>
      </c>
      <c r="F180" s="1298">
        <v>0</v>
      </c>
      <c r="G180" s="1298">
        <v>0</v>
      </c>
      <c r="H180" s="100" t="s">
        <v>3031</v>
      </c>
    </row>
    <row r="181" spans="1:8" ht="14.5" hidden="1" outlineLevel="1" thickBot="1">
      <c r="B181" s="271" t="s">
        <v>3032</v>
      </c>
      <c r="C181" s="1410">
        <v>0.81</v>
      </c>
      <c r="D181" s="1410">
        <v>0.19</v>
      </c>
      <c r="E181" s="1327">
        <v>0</v>
      </c>
      <c r="F181" s="1327">
        <v>0</v>
      </c>
      <c r="G181" s="1327">
        <v>0</v>
      </c>
      <c r="H181" s="114" t="s">
        <v>3031</v>
      </c>
    </row>
    <row r="182" spans="1:8" hidden="1" outlineLevel="1"/>
    <row r="183" spans="1:8" ht="14.5" hidden="1" outlineLevel="1" thickBot="1">
      <c r="B183" s="1251" t="s">
        <v>2111</v>
      </c>
    </row>
    <row r="184" spans="1:8" hidden="1" outlineLevel="1">
      <c r="B184" s="402"/>
      <c r="C184" s="539" t="s">
        <v>3033</v>
      </c>
    </row>
    <row r="185" spans="1:8" hidden="1" outlineLevel="1">
      <c r="B185" s="408" t="s">
        <v>3034</v>
      </c>
      <c r="C185" s="1277">
        <v>70</v>
      </c>
    </row>
    <row r="186" spans="1:8" hidden="1" outlineLevel="1">
      <c r="B186" s="408" t="s">
        <v>3035</v>
      </c>
      <c r="C186" s="1277">
        <v>60</v>
      </c>
    </row>
    <row r="187" spans="1:8" ht="14.5" hidden="1" outlineLevel="1" thickBot="1">
      <c r="B187" s="540" t="s">
        <v>3036</v>
      </c>
      <c r="C187" s="1411">
        <v>110</v>
      </c>
    </row>
    <row r="188" spans="1:8" ht="14.5" hidden="1" outlineLevel="1" thickBot="1">
      <c r="B188" s="434" t="s">
        <v>3037</v>
      </c>
      <c r="C188" s="208">
        <f>AVERAGE(C185:C187)</f>
        <v>80</v>
      </c>
    </row>
    <row r="189" spans="1:8" hidden="1" outlineLevel="1">
      <c r="B189" s="1251"/>
    </row>
    <row r="190" spans="1:8" ht="14.5" hidden="1" outlineLevel="1" thickBot="1">
      <c r="B190" s="1251" t="s">
        <v>3038</v>
      </c>
    </row>
    <row r="191" spans="1:8" hidden="1" outlineLevel="1">
      <c r="B191" s="538" t="s">
        <v>123</v>
      </c>
      <c r="C191" s="541" t="s">
        <v>3033</v>
      </c>
    </row>
    <row r="192" spans="1:8" hidden="1" outlineLevel="1">
      <c r="A192" s="39"/>
      <c r="B192" s="393" t="s">
        <v>2074</v>
      </c>
      <c r="C192" s="1336">
        <f>C188*AVERAGE(C174:C181)</f>
        <v>50.600000000000009</v>
      </c>
      <c r="D192" s="1274" t="s">
        <v>3039</v>
      </c>
    </row>
    <row r="193" spans="1:16" hidden="1" outlineLevel="1">
      <c r="A193" s="39"/>
      <c r="B193" s="393" t="s">
        <v>3015</v>
      </c>
      <c r="C193" s="1336">
        <f>C188*AVERAGE(D174:D181)</f>
        <v>22.199999999999996</v>
      </c>
    </row>
    <row r="194" spans="1:16" hidden="1" outlineLevel="1">
      <c r="A194" s="39"/>
      <c r="B194" s="393" t="s">
        <v>2072</v>
      </c>
      <c r="C194" s="1336">
        <f>C188*AVERAGE(E174:E181)</f>
        <v>1.3</v>
      </c>
      <c r="D194" s="1274" t="s">
        <v>3040</v>
      </c>
    </row>
    <row r="195" spans="1:16" hidden="1" outlineLevel="1">
      <c r="A195" s="39"/>
      <c r="B195" s="393" t="s">
        <v>3016</v>
      </c>
      <c r="C195" s="1336">
        <f>C188*AVERAGE(F174:F181)</f>
        <v>5.6000000000000005</v>
      </c>
    </row>
    <row r="196" spans="1:16" hidden="1" outlineLevel="1">
      <c r="A196" s="39"/>
      <c r="B196" s="393" t="s">
        <v>3017</v>
      </c>
      <c r="C196" s="1336">
        <f>C188*AVERAGE(G174:G181)</f>
        <v>0.3</v>
      </c>
    </row>
    <row r="197" spans="1:16" ht="14.5" hidden="1" outlineLevel="1" thickBot="1">
      <c r="B197" s="542" t="s">
        <v>83</v>
      </c>
      <c r="C197" s="1337">
        <f>SUM(C192:C196)</f>
        <v>80</v>
      </c>
      <c r="E197" s="39"/>
    </row>
    <row r="198" spans="1:16" hidden="1" outlineLevel="1">
      <c r="B198" s="1251"/>
    </row>
    <row r="199" spans="1:16" hidden="1" outlineLevel="1">
      <c r="B199" s="1251"/>
    </row>
    <row r="200" spans="1:16" hidden="1" outlineLevel="1">
      <c r="B200" s="1251" t="s">
        <v>3041</v>
      </c>
    </row>
    <row r="201" spans="1:16" ht="14.5" hidden="1" outlineLevel="1" thickBot="1">
      <c r="B201" s="1251"/>
    </row>
    <row r="202" spans="1:16" ht="14.5" hidden="1" outlineLevel="1" thickBot="1">
      <c r="B202" s="543"/>
      <c r="C202" s="436" t="s">
        <v>3042</v>
      </c>
      <c r="D202" s="436" t="s">
        <v>3043</v>
      </c>
      <c r="E202" s="436" t="s">
        <v>3044</v>
      </c>
      <c r="F202" s="436" t="s">
        <v>3045</v>
      </c>
      <c r="G202" s="436" t="s">
        <v>3046</v>
      </c>
      <c r="H202" s="436" t="s">
        <v>3047</v>
      </c>
      <c r="I202" s="436" t="s">
        <v>3048</v>
      </c>
      <c r="J202" s="436" t="s">
        <v>3049</v>
      </c>
      <c r="K202" s="436" t="s">
        <v>3050</v>
      </c>
      <c r="L202" s="436" t="s">
        <v>3051</v>
      </c>
      <c r="M202" s="436" t="s">
        <v>3052</v>
      </c>
      <c r="N202" s="765" t="s">
        <v>3053</v>
      </c>
      <c r="O202" s="765" t="s">
        <v>3054</v>
      </c>
      <c r="P202" s="765" t="s">
        <v>3055</v>
      </c>
    </row>
    <row r="203" spans="1:16" hidden="1" outlineLevel="1">
      <c r="B203" s="545" t="s">
        <v>3056</v>
      </c>
      <c r="C203" s="1412">
        <v>4.0488999999999997</v>
      </c>
      <c r="D203" s="1412">
        <v>4.0488999999999997</v>
      </c>
      <c r="E203" s="1412">
        <v>4.0488999999999997</v>
      </c>
      <c r="F203" s="1005">
        <v>6.2518831900749499</v>
      </c>
      <c r="G203" s="1005">
        <v>6.2518831900749499</v>
      </c>
      <c r="H203" s="1005">
        <v>6.2518831900749499</v>
      </c>
      <c r="I203" s="1005">
        <v>8.6566393383376248</v>
      </c>
      <c r="J203" s="1005">
        <v>8.6566393383376248</v>
      </c>
      <c r="K203" s="1005">
        <v>8.6566393383376248</v>
      </c>
      <c r="L203" s="1005">
        <v>3.8536999999999999</v>
      </c>
      <c r="M203" s="1128">
        <v>3.4780893227709502</v>
      </c>
      <c r="N203" s="1129">
        <v>4.9102125995283004</v>
      </c>
      <c r="O203" s="1130">
        <v>4.9102125995283004</v>
      </c>
      <c r="P203" s="1131">
        <v>4.9102125995283004</v>
      </c>
    </row>
    <row r="204" spans="1:16" hidden="1" outlineLevel="1">
      <c r="B204" s="545" t="s">
        <v>3057</v>
      </c>
      <c r="C204" s="1005">
        <v>0.25987517108862834</v>
      </c>
      <c r="D204" s="1005">
        <v>1.0964574276345536</v>
      </c>
      <c r="E204" s="1005">
        <v>3.2028708648506186</v>
      </c>
      <c r="F204" s="1005">
        <v>0.89600000000000002</v>
      </c>
      <c r="G204" s="1005">
        <v>0.89600000000000002</v>
      </c>
      <c r="H204" s="1005">
        <v>0.89600000000000002</v>
      </c>
      <c r="I204" s="1005">
        <v>0.89600000000000002</v>
      </c>
      <c r="J204" s="1005">
        <v>0.89600000000000002</v>
      </c>
      <c r="K204" s="1005">
        <v>0.89600000000000002</v>
      </c>
      <c r="L204" s="1005">
        <v>0.89600000000000002</v>
      </c>
      <c r="M204" s="1128">
        <v>0.89600000000000002</v>
      </c>
      <c r="N204" s="1132">
        <v>0.89600000000000002</v>
      </c>
      <c r="O204" s="1005">
        <v>0.89600000000000002</v>
      </c>
      <c r="P204" s="1063">
        <v>0.89600000000000002</v>
      </c>
    </row>
    <row r="205" spans="1:16" hidden="1" outlineLevel="1">
      <c r="B205" s="545" t="s">
        <v>3058</v>
      </c>
      <c r="C205" s="1005"/>
      <c r="D205" s="1005"/>
      <c r="E205" s="1005"/>
      <c r="F205" s="1005">
        <v>0.505</v>
      </c>
      <c r="G205" s="1005">
        <v>0.505</v>
      </c>
      <c r="H205" s="1005">
        <v>0.505</v>
      </c>
      <c r="I205" s="1005">
        <v>0.505</v>
      </c>
      <c r="J205" s="1005">
        <v>0.505</v>
      </c>
      <c r="K205" s="1005">
        <v>0.505</v>
      </c>
      <c r="L205" s="1005">
        <v>0.505</v>
      </c>
      <c r="M205" s="1128">
        <v>0.505</v>
      </c>
      <c r="N205" s="1132">
        <v>0.505</v>
      </c>
      <c r="O205" s="1005">
        <v>0.505</v>
      </c>
      <c r="P205" s="1063">
        <v>0.505</v>
      </c>
    </row>
    <row r="206" spans="1:16" hidden="1" outlineLevel="1">
      <c r="B206" s="545" t="s">
        <v>3059</v>
      </c>
      <c r="C206" s="1005">
        <v>0.38017346987149481</v>
      </c>
      <c r="D206" s="1005">
        <v>1.6040163555603408</v>
      </c>
      <c r="E206" s="1005">
        <v>4.68550544917316</v>
      </c>
      <c r="F206" s="1005">
        <v>0.38017346987149481</v>
      </c>
      <c r="G206" s="1005">
        <v>1.6040163555603408</v>
      </c>
      <c r="H206" s="1005">
        <v>4.68550544917316</v>
      </c>
      <c r="I206" s="1005">
        <v>0.38017346987149481</v>
      </c>
      <c r="J206" s="1005">
        <v>1.6040163555603408</v>
      </c>
      <c r="K206" s="1005">
        <v>4.68550544917316</v>
      </c>
      <c r="L206" s="1005">
        <v>0.38017346987149481</v>
      </c>
      <c r="M206" s="1128">
        <v>0.38017346987149481</v>
      </c>
      <c r="N206" s="1132">
        <v>0.38017346987149481</v>
      </c>
      <c r="O206" s="1005">
        <v>1.6040163555603408</v>
      </c>
      <c r="P206" s="1063">
        <v>4.68550544917316</v>
      </c>
    </row>
    <row r="207" spans="1:16" hidden="1" outlineLevel="1">
      <c r="B207" s="545" t="s">
        <v>3060</v>
      </c>
      <c r="C207" s="1005"/>
      <c r="D207" s="1005"/>
      <c r="E207" s="1005"/>
      <c r="F207" s="1005">
        <v>0.90800000000000003</v>
      </c>
      <c r="G207" s="1005">
        <v>0.90800000000000003</v>
      </c>
      <c r="H207" s="1005">
        <v>0.90800000000000003</v>
      </c>
      <c r="I207" s="1005">
        <v>0.90800000000000003</v>
      </c>
      <c r="J207" s="1005">
        <v>0.90800000000000003</v>
      </c>
      <c r="K207" s="1005">
        <v>0.90800000000000003</v>
      </c>
      <c r="L207" s="1005">
        <v>0.90800000000000003</v>
      </c>
      <c r="M207" s="1128">
        <v>0.90800000000000003</v>
      </c>
      <c r="N207" s="1132">
        <v>0.90800000000000003</v>
      </c>
      <c r="O207" s="1005">
        <v>0.90800000000000003</v>
      </c>
      <c r="P207" s="1063">
        <v>0.90800000000000003</v>
      </c>
    </row>
    <row r="208" spans="1:16" hidden="1" outlineLevel="1">
      <c r="B208" s="545" t="s">
        <v>3061</v>
      </c>
      <c r="C208" s="1005">
        <v>1.2609999999999999</v>
      </c>
      <c r="D208" s="1412">
        <v>1.2609999999999999</v>
      </c>
      <c r="E208" s="1005">
        <v>1.2609999999999999</v>
      </c>
      <c r="F208" s="1005"/>
      <c r="G208" s="1005"/>
      <c r="H208" s="1005"/>
      <c r="I208" s="1005"/>
      <c r="J208" s="1005"/>
      <c r="K208" s="1005"/>
      <c r="L208" s="1005"/>
      <c r="M208" s="1128"/>
      <c r="N208" s="1132"/>
      <c r="O208" s="1005"/>
      <c r="P208" s="1063"/>
    </row>
    <row r="209" spans="2:16" ht="14.5" hidden="1" outlineLevel="1" thickBot="1">
      <c r="B209" s="546" t="s">
        <v>3062</v>
      </c>
      <c r="C209" s="1133">
        <v>2.2450000000000001</v>
      </c>
      <c r="D209" s="1133">
        <v>2.2450000000000001</v>
      </c>
      <c r="E209" s="1133">
        <v>2.2450000000000001</v>
      </c>
      <c r="F209" s="1133">
        <v>2.2450000000000001</v>
      </c>
      <c r="G209" s="1133">
        <v>2.2450000000000001</v>
      </c>
      <c r="H209" s="1133">
        <v>2.2450000000000001</v>
      </c>
      <c r="I209" s="1133">
        <v>2.2450000000000001</v>
      </c>
      <c r="J209" s="1133">
        <v>2.2450000000000001</v>
      </c>
      <c r="K209" s="1133">
        <v>2.2450000000000001</v>
      </c>
      <c r="L209" s="1133">
        <v>2.2450000000000001</v>
      </c>
      <c r="M209" s="1134">
        <v>2.2450000000000001</v>
      </c>
      <c r="N209" s="1135">
        <v>2.2450000000000001</v>
      </c>
      <c r="O209" s="1133">
        <v>2.2450000000000001</v>
      </c>
      <c r="P209" s="1064">
        <v>2.2450000000000001</v>
      </c>
    </row>
    <row r="210" spans="2:16" hidden="1" outlineLevel="1">
      <c r="B210" s="1289"/>
      <c r="C210" s="166"/>
      <c r="D210" s="166"/>
      <c r="E210" s="166"/>
      <c r="F210" s="166"/>
      <c r="G210" s="166"/>
    </row>
    <row r="211" spans="2:16" ht="14.5" hidden="1" outlineLevel="1" thickBot="1">
      <c r="B211" s="1289" t="s">
        <v>3063</v>
      </c>
      <c r="C211" s="166"/>
      <c r="D211" s="166"/>
      <c r="E211" s="39">
        <f>SUM(C203:C209)/SUM(E203:E209) - 1</f>
        <v>-0.46935167937658206</v>
      </c>
      <c r="F211" s="166"/>
      <c r="G211" s="166"/>
      <c r="K211" s="39"/>
      <c r="M211" s="39"/>
      <c r="P211" s="39"/>
    </row>
    <row r="212" spans="2:16" hidden="1" outlineLevel="1">
      <c r="B212" s="543" t="s">
        <v>3064</v>
      </c>
      <c r="C212" s="436" t="s">
        <v>3065</v>
      </c>
      <c r="D212" s="436" t="s">
        <v>2073</v>
      </c>
      <c r="E212" s="436" t="s">
        <v>3066</v>
      </c>
      <c r="F212" s="436" t="s">
        <v>2072</v>
      </c>
      <c r="G212" s="436" t="s">
        <v>3067</v>
      </c>
      <c r="H212" s="544" t="s">
        <v>3068</v>
      </c>
    </row>
    <row r="213" spans="2:16" ht="14.5" hidden="1" outlineLevel="1" thickBot="1">
      <c r="B213" s="548" t="s">
        <v>3069</v>
      </c>
      <c r="C213" s="1413">
        <v>4.0488999999999997</v>
      </c>
      <c r="D213" s="1413">
        <v>6.2518831900749499</v>
      </c>
      <c r="E213" s="1413">
        <v>8.6566393383376248</v>
      </c>
      <c r="F213" s="549">
        <v>3.8536999999999999</v>
      </c>
      <c r="G213" s="549">
        <v>3.4780893227709502</v>
      </c>
      <c r="H213" s="389">
        <v>4.9102125995283004</v>
      </c>
    </row>
    <row r="214" spans="2:16" hidden="1" outlineLevel="1">
      <c r="B214" s="553" t="s">
        <v>3070</v>
      </c>
      <c r="C214" s="554">
        <v>1.901048640960123</v>
      </c>
      <c r="D214" s="554">
        <v>2.6891734698714949</v>
      </c>
      <c r="E214" s="554">
        <v>2.6891734698714949</v>
      </c>
      <c r="F214" s="554">
        <v>2.6891734698714949</v>
      </c>
      <c r="G214" s="554">
        <v>2.6891734698714949</v>
      </c>
      <c r="H214" s="555">
        <v>2.6891734698714949</v>
      </c>
    </row>
    <row r="215" spans="2:16" hidden="1" outlineLevel="1">
      <c r="B215" s="545" t="s">
        <v>3071</v>
      </c>
      <c r="C215" s="168">
        <v>3.9614737831948945</v>
      </c>
      <c r="D215" s="168">
        <v>3.9130163555603406</v>
      </c>
      <c r="E215" s="168">
        <v>3.9130163555603406</v>
      </c>
      <c r="F215" s="168">
        <v>3.9130163555603406</v>
      </c>
      <c r="G215" s="168">
        <v>3.9130163555603406</v>
      </c>
      <c r="H215" s="132">
        <v>3.9130163555603406</v>
      </c>
    </row>
    <row r="216" spans="2:16" ht="14.5" hidden="1" outlineLevel="1" thickBot="1">
      <c r="B216" s="546" t="s">
        <v>3072</v>
      </c>
      <c r="C216" s="170">
        <v>9.1493763140237778</v>
      </c>
      <c r="D216" s="170">
        <v>6.9945054491731602</v>
      </c>
      <c r="E216" s="170">
        <v>6.9945054491731602</v>
      </c>
      <c r="F216" s="170">
        <v>6.9945054491731602</v>
      </c>
      <c r="G216" s="170">
        <v>6.9945054491731602</v>
      </c>
      <c r="H216" s="209">
        <v>6.9945054491731602</v>
      </c>
    </row>
    <row r="217" spans="2:16" ht="14.5" hidden="1" outlineLevel="1" thickBot="1">
      <c r="B217" s="550" t="s">
        <v>2941</v>
      </c>
      <c r="C217" s="551">
        <v>2.2450000000000001</v>
      </c>
      <c r="D217" s="551">
        <v>2.2450000000000001</v>
      </c>
      <c r="E217" s="551">
        <v>2.2450000000000001</v>
      </c>
      <c r="F217" s="551">
        <v>2.2450000000000001</v>
      </c>
      <c r="G217" s="551">
        <v>2.2450000000000001</v>
      </c>
      <c r="H217" s="552">
        <v>2.2450000000000001</v>
      </c>
    </row>
    <row r="218" spans="2:16" hidden="1" outlineLevel="1">
      <c r="B218" s="1289"/>
      <c r="C218" s="166"/>
      <c r="D218" s="166"/>
      <c r="E218" s="166"/>
      <c r="F218" s="166"/>
      <c r="G218" s="166"/>
    </row>
    <row r="219" spans="2:16" hidden="1" outlineLevel="1">
      <c r="B219" s="1289" t="s">
        <v>1076</v>
      </c>
      <c r="C219" s="166"/>
      <c r="D219" s="166"/>
      <c r="E219" s="166"/>
      <c r="F219" s="166"/>
      <c r="G219" s="166"/>
    </row>
    <row r="220" spans="2:16" hidden="1" outlineLevel="1">
      <c r="B220" s="1289" t="s">
        <v>3073</v>
      </c>
      <c r="C220" s="166"/>
      <c r="D220" s="166"/>
      <c r="E220" s="166"/>
      <c r="F220" s="166"/>
      <c r="G220" s="166"/>
    </row>
    <row r="221" spans="2:16" hidden="1" outlineLevel="1">
      <c r="B221" s="1289"/>
      <c r="C221" s="166"/>
      <c r="D221" s="166"/>
      <c r="E221" s="166"/>
      <c r="F221" s="166"/>
      <c r="G221" s="166"/>
    </row>
    <row r="222" spans="2:16" ht="14.5" hidden="1" outlineLevel="1" thickBot="1">
      <c r="B222" s="1289" t="s">
        <v>565</v>
      </c>
      <c r="C222" s="166"/>
      <c r="D222" s="166"/>
      <c r="E222" s="166"/>
      <c r="F222" s="166"/>
      <c r="G222" s="166"/>
    </row>
    <row r="223" spans="2:16" ht="28" hidden="1" outlineLevel="1">
      <c r="B223" s="557" t="s">
        <v>3074</v>
      </c>
      <c r="C223" s="558">
        <f>(C$192*E213+C$193*H213+C$194*F213+C$195*C213+C$196*G213)/1000</f>
        <v>0.57575974702624355</v>
      </c>
      <c r="D223" s="1414" t="s">
        <v>2119</v>
      </c>
      <c r="F223" s="103"/>
      <c r="G223" s="103"/>
    </row>
    <row r="224" spans="2:16" hidden="1" outlineLevel="1">
      <c r="B224" s="559" t="s">
        <v>3075</v>
      </c>
      <c r="C224" s="556">
        <f>60%*(C$192*E214+C$193*H214+C$194*F214+C$195*C214+C$196*G214)/1000
+30%*(C$192*E215+C$193*H215+C$194*F215+C$195*C215+C$196*G215)/1000
+10%*(C$192*E216+C$193*H216+C$194*F216+C$195*C216+C$196*G216)/1000</f>
        <v>0.27758879941826536</v>
      </c>
      <c r="D224" s="1301" t="s">
        <v>2119</v>
      </c>
      <c r="F224" s="103"/>
      <c r="G224" s="103"/>
    </row>
    <row r="225" spans="2:6" ht="14.5" hidden="1" outlineLevel="1" thickBot="1">
      <c r="B225" s="560" t="s">
        <v>3076</v>
      </c>
      <c r="C225" s="561">
        <f>(C$192*E217+C$193*H217+C$194*F217+C$195*C217+C$196*G217)/1000</f>
        <v>0.17959999999999998</v>
      </c>
      <c r="D225" s="1265" t="s">
        <v>2119</v>
      </c>
      <c r="F225" s="103"/>
    </row>
    <row r="226" spans="2:6" hidden="1" outlineLevel="1"/>
    <row r="227" spans="2:6" collapsed="1"/>
    <row r="228" spans="2:6">
      <c r="B228" s="3" t="s">
        <v>3077</v>
      </c>
    </row>
    <row r="230" spans="2:6" ht="14.5" hidden="1" outlineLevel="1" thickBot="1">
      <c r="B230" t="s">
        <v>3078</v>
      </c>
    </row>
    <row r="231" spans="2:6" ht="28" hidden="1" outlineLevel="1">
      <c r="B231" s="259"/>
      <c r="C231" s="260" t="s">
        <v>3079</v>
      </c>
      <c r="D231" s="260" t="s">
        <v>3080</v>
      </c>
      <c r="E231" s="260" t="s">
        <v>3081</v>
      </c>
      <c r="F231" s="261" t="s">
        <v>3082</v>
      </c>
    </row>
    <row r="232" spans="2:6" hidden="1" outlineLevel="1">
      <c r="B232" s="277" t="s">
        <v>2589</v>
      </c>
      <c r="C232" s="113" t="s">
        <v>3083</v>
      </c>
      <c r="D232" s="21" t="s">
        <v>3084</v>
      </c>
      <c r="E232" s="21" t="s">
        <v>3085</v>
      </c>
      <c r="F232" s="17"/>
    </row>
    <row r="233" spans="2:6" hidden="1" outlineLevel="1">
      <c r="B233" s="277" t="s">
        <v>341</v>
      </c>
      <c r="C233" s="113" t="s">
        <v>3086</v>
      </c>
      <c r="D233" s="21"/>
      <c r="E233" s="21" t="s">
        <v>3087</v>
      </c>
      <c r="F233" s="17"/>
    </row>
    <row r="234" spans="2:6" hidden="1" outlineLevel="1">
      <c r="B234" s="277" t="s">
        <v>3088</v>
      </c>
      <c r="C234" s="113" t="s">
        <v>3089</v>
      </c>
      <c r="D234" s="21" t="s">
        <v>3090</v>
      </c>
      <c r="E234" s="21" t="s">
        <v>3091</v>
      </c>
      <c r="F234" s="17">
        <v>600</v>
      </c>
    </row>
    <row r="235" spans="2:6" hidden="1" outlineLevel="1">
      <c r="B235" s="277" t="s">
        <v>3092</v>
      </c>
      <c r="C235" s="113" t="s">
        <v>3093</v>
      </c>
      <c r="D235" s="21" t="s">
        <v>3094</v>
      </c>
      <c r="E235" s="21" t="s">
        <v>3095</v>
      </c>
      <c r="F235" s="17"/>
    </row>
    <row r="236" spans="2:6" hidden="1" outlineLevel="1">
      <c r="B236" s="277" t="s">
        <v>3096</v>
      </c>
      <c r="C236" s="113" t="s">
        <v>3097</v>
      </c>
      <c r="D236" s="21"/>
      <c r="E236" s="21" t="s">
        <v>3098</v>
      </c>
      <c r="F236" s="17">
        <v>165</v>
      </c>
    </row>
    <row r="237" spans="2:6" ht="14.5" hidden="1" outlineLevel="1" thickBot="1">
      <c r="B237" s="315" t="s">
        <v>3099</v>
      </c>
      <c r="C237" s="144" t="s">
        <v>3100</v>
      </c>
      <c r="D237" s="22" t="s">
        <v>3101</v>
      </c>
      <c r="E237" s="22" t="s">
        <v>3102</v>
      </c>
      <c r="F237" s="38"/>
    </row>
    <row r="238" spans="2:6" hidden="1" outlineLevel="1">
      <c r="B238" s="1251"/>
    </row>
    <row r="239" spans="2:6" ht="14.5" hidden="1" outlineLevel="1" thickBot="1">
      <c r="B239" t="s">
        <v>3103</v>
      </c>
    </row>
    <row r="240" spans="2:6" hidden="1" outlineLevel="1">
      <c r="B240" s="259" t="s">
        <v>3104</v>
      </c>
      <c r="C240" s="261" t="s">
        <v>883</v>
      </c>
    </row>
    <row r="241" spans="2:4" hidden="1" outlineLevel="1">
      <c r="B241" s="277" t="s">
        <v>2074</v>
      </c>
      <c r="C241" s="17">
        <v>150</v>
      </c>
    </row>
    <row r="242" spans="2:4" hidden="1" outlineLevel="1">
      <c r="B242" s="277" t="s">
        <v>3105</v>
      </c>
      <c r="C242" s="17">
        <v>70</v>
      </c>
    </row>
    <row r="243" spans="2:4" hidden="1" outlineLevel="1">
      <c r="B243" s="277" t="s">
        <v>2072</v>
      </c>
      <c r="C243" s="17">
        <v>70</v>
      </c>
    </row>
    <row r="244" spans="2:4" hidden="1" outlineLevel="1">
      <c r="B244" s="277" t="s">
        <v>3015</v>
      </c>
      <c r="C244" s="17">
        <v>70</v>
      </c>
    </row>
    <row r="245" spans="2:4" hidden="1" outlineLevel="1">
      <c r="B245" s="277" t="s">
        <v>131</v>
      </c>
      <c r="C245" s="17">
        <v>100</v>
      </c>
    </row>
    <row r="246" spans="2:4" hidden="1" outlineLevel="1">
      <c r="B246" s="277" t="s">
        <v>3106</v>
      </c>
      <c r="C246" s="17">
        <v>40</v>
      </c>
    </row>
    <row r="247" spans="2:4" ht="14.5" hidden="1" outlineLevel="1" thickBot="1">
      <c r="B247" s="315" t="s">
        <v>83</v>
      </c>
      <c r="C247" s="108">
        <f>SUM(C241:C246)</f>
        <v>500</v>
      </c>
    </row>
    <row r="248" spans="2:4" hidden="1" outlineLevel="1"/>
    <row r="249" spans="2:4" hidden="1" outlineLevel="1">
      <c r="B249" s="1251" t="s">
        <v>3107</v>
      </c>
    </row>
    <row r="250" spans="2:4" ht="14.5" hidden="1" outlineLevel="1" thickBot="1">
      <c r="B250" s="1251" t="s">
        <v>3108</v>
      </c>
    </row>
    <row r="251" spans="2:4" ht="28.5" hidden="1" outlineLevel="1" thickBot="1">
      <c r="B251" s="832" t="s">
        <v>3109</v>
      </c>
      <c r="C251" s="833">
        <v>4.9814433236132016</v>
      </c>
      <c r="D251" s="1415" t="s">
        <v>2886</v>
      </c>
    </row>
    <row r="252" spans="2:4" ht="14.5" hidden="1" outlineLevel="1" thickBot="1">
      <c r="B252" s="1251" t="s">
        <v>657</v>
      </c>
    </row>
    <row r="253" spans="2:4" ht="28.5" hidden="1" outlineLevel="1" thickBot="1">
      <c r="B253" s="832" t="s">
        <v>3109</v>
      </c>
      <c r="C253" s="833">
        <f>C251*(C120+C131)/10^6</f>
        <v>5.6417076390017149</v>
      </c>
      <c r="D253" s="1415" t="s">
        <v>661</v>
      </c>
    </row>
    <row r="254" spans="2:4" hidden="1" outlineLevel="1"/>
    <row r="255" spans="2:4" collapsed="1"/>
    <row r="256" spans="2:4">
      <c r="B256" s="3" t="s">
        <v>3110</v>
      </c>
    </row>
    <row r="258" spans="2:14" hidden="1" outlineLevel="1">
      <c r="B258" s="1251" t="s">
        <v>3111</v>
      </c>
    </row>
    <row r="259" spans="2:14" hidden="1" outlineLevel="1">
      <c r="B259" s="87" t="s">
        <v>3112</v>
      </c>
      <c r="D259" s="87" t="s">
        <v>3113</v>
      </c>
      <c r="I259" s="87" t="s">
        <v>3114</v>
      </c>
      <c r="N259" s="87" t="s">
        <v>3115</v>
      </c>
    </row>
    <row r="260" spans="2:14" hidden="1" outlineLevel="1"/>
    <row r="261" spans="2:14" hidden="1" outlineLevel="1"/>
    <row r="262" spans="2:14" hidden="1" outlineLevel="1"/>
    <row r="263" spans="2:14" hidden="1" outlineLevel="1">
      <c r="B263" s="1251" t="s">
        <v>3116</v>
      </c>
    </row>
    <row r="264" spans="2:14" ht="14.5" hidden="1" outlineLevel="1" thickBot="1"/>
    <row r="265" spans="2:14" hidden="1" outlineLevel="1">
      <c r="B265" s="259" t="s">
        <v>684</v>
      </c>
      <c r="C265" s="259" t="s">
        <v>2074</v>
      </c>
      <c r="D265" s="259" t="s">
        <v>3015</v>
      </c>
      <c r="E265" s="259" t="s">
        <v>2072</v>
      </c>
      <c r="F265" s="259" t="s">
        <v>3105</v>
      </c>
      <c r="G265" s="275" t="s">
        <v>70</v>
      </c>
    </row>
    <row r="266" spans="2:14" ht="14.5" hidden="1" outlineLevel="1" thickBot="1">
      <c r="B266" s="271" t="s">
        <v>3117</v>
      </c>
      <c r="C266" s="1410">
        <v>0.28000000000000003</v>
      </c>
      <c r="D266" s="1410">
        <v>0.24</v>
      </c>
      <c r="E266" s="1327">
        <v>0</v>
      </c>
      <c r="F266" s="1410">
        <v>0.48</v>
      </c>
      <c r="G266" s="114" t="s">
        <v>3118</v>
      </c>
    </row>
    <row r="267" spans="2:14" hidden="1" outlineLevel="1"/>
    <row r="268" spans="2:14" hidden="1" outlineLevel="1"/>
    <row r="269" spans="2:14" ht="14.5" hidden="1" outlineLevel="1" thickBot="1">
      <c r="B269" s="1251" t="s">
        <v>3119</v>
      </c>
    </row>
    <row r="270" spans="2:14" hidden="1" outlineLevel="1">
      <c r="B270" s="259" t="s">
        <v>3120</v>
      </c>
      <c r="C270" s="261" t="s">
        <v>883</v>
      </c>
    </row>
    <row r="271" spans="2:14" hidden="1" outlineLevel="1">
      <c r="B271" s="277" t="s">
        <v>2074</v>
      </c>
      <c r="C271" s="17">
        <v>40</v>
      </c>
    </row>
    <row r="272" spans="2:14" hidden="1" outlineLevel="1">
      <c r="B272" s="277" t="s">
        <v>3105</v>
      </c>
      <c r="C272" s="17">
        <v>80</v>
      </c>
    </row>
    <row r="273" spans="2:19" hidden="1" outlineLevel="1">
      <c r="B273" s="277" t="s">
        <v>2072</v>
      </c>
      <c r="C273" s="17">
        <v>20</v>
      </c>
    </row>
    <row r="274" spans="2:19" hidden="1" outlineLevel="1">
      <c r="B274" s="277" t="s">
        <v>3015</v>
      </c>
      <c r="C274" s="17">
        <v>40</v>
      </c>
    </row>
    <row r="275" spans="2:19" hidden="1" outlineLevel="1">
      <c r="B275" s="277" t="s">
        <v>3065</v>
      </c>
      <c r="C275" s="17">
        <v>20</v>
      </c>
    </row>
    <row r="276" spans="2:19" ht="14.5" hidden="1" outlineLevel="1" thickBot="1">
      <c r="B276" s="315" t="s">
        <v>83</v>
      </c>
      <c r="C276" s="108">
        <f>SUM(C271:C275)</f>
        <v>200</v>
      </c>
    </row>
    <row r="277" spans="2:19" hidden="1" outlineLevel="1"/>
    <row r="278" spans="2:19" hidden="1" outlineLevel="1">
      <c r="B278" s="1251" t="s">
        <v>3107</v>
      </c>
    </row>
    <row r="279" spans="2:19" ht="14.5" hidden="1" outlineLevel="1" thickBot="1">
      <c r="B279" s="1251" t="s">
        <v>3108</v>
      </c>
    </row>
    <row r="280" spans="2:19" ht="28.5" hidden="1" outlineLevel="1" thickBot="1">
      <c r="B280" s="832" t="s">
        <v>3109</v>
      </c>
      <c r="C280" s="833">
        <v>2.1411385692172202</v>
      </c>
      <c r="D280" s="1415" t="s">
        <v>2886</v>
      </c>
    </row>
    <row r="281" spans="2:19" ht="14.5" hidden="1" outlineLevel="1" thickBot="1">
      <c r="B281" s="1251" t="s">
        <v>657</v>
      </c>
    </row>
    <row r="282" spans="2:19" ht="28.5" hidden="1" outlineLevel="1" thickBot="1">
      <c r="B282" s="832" t="s">
        <v>3109</v>
      </c>
      <c r="C282" s="833">
        <f>C280*(D90+C132)/10^6</f>
        <v>1.3635618303930945</v>
      </c>
      <c r="D282" s="1415" t="s">
        <v>661</v>
      </c>
    </row>
    <row r="283" spans="2:19" hidden="1" outlineLevel="1"/>
    <row r="284" spans="2:19" collapsed="1"/>
    <row r="285" spans="2:19">
      <c r="B285" s="3" t="s">
        <v>3121</v>
      </c>
    </row>
    <row r="287" spans="2:19" ht="14.5" hidden="1" outlineLevel="1" thickBot="1">
      <c r="B287" s="1251" t="s">
        <v>3122</v>
      </c>
    </row>
    <row r="288" spans="2:19" ht="42" hidden="1" outlineLevel="1">
      <c r="B288" s="259" t="s">
        <v>684</v>
      </c>
      <c r="C288" s="259" t="s">
        <v>3123</v>
      </c>
      <c r="D288" s="259" t="s">
        <v>2074</v>
      </c>
      <c r="E288" s="259" t="s">
        <v>3015</v>
      </c>
      <c r="F288" s="259" t="s">
        <v>2072</v>
      </c>
      <c r="G288" s="259" t="s">
        <v>3016</v>
      </c>
      <c r="H288" s="259" t="s">
        <v>3017</v>
      </c>
      <c r="I288" s="259" t="s">
        <v>3124</v>
      </c>
      <c r="J288" s="259" t="s">
        <v>3125</v>
      </c>
      <c r="K288" s="259" t="s">
        <v>3126</v>
      </c>
      <c r="L288" s="259" t="s">
        <v>2637</v>
      </c>
      <c r="M288" s="259" t="s">
        <v>3105</v>
      </c>
      <c r="N288" s="259" t="s">
        <v>3065</v>
      </c>
      <c r="O288" s="259" t="s">
        <v>3127</v>
      </c>
      <c r="P288" s="259" t="s">
        <v>3128</v>
      </c>
      <c r="Q288" s="259" t="s">
        <v>3129</v>
      </c>
      <c r="R288" s="259" t="s">
        <v>3130</v>
      </c>
      <c r="S288" s="275" t="s">
        <v>70</v>
      </c>
    </row>
    <row r="289" spans="2:19" hidden="1" outlineLevel="1">
      <c r="B289" s="831" t="s">
        <v>3131</v>
      </c>
      <c r="C289" s="1318" t="s">
        <v>3132</v>
      </c>
      <c r="D289" s="1318">
        <v>0.48</v>
      </c>
      <c r="E289" s="1318">
        <v>0.05</v>
      </c>
      <c r="F289" s="1318">
        <v>0.06</v>
      </c>
      <c r="G289" s="1298">
        <v>0</v>
      </c>
      <c r="H289" s="1298">
        <v>0</v>
      </c>
      <c r="I289" s="1318">
        <v>0.23</v>
      </c>
      <c r="J289" s="1318">
        <v>0.15</v>
      </c>
      <c r="K289" s="1318">
        <v>0.02</v>
      </c>
      <c r="L289" s="1318">
        <v>0.01</v>
      </c>
      <c r="M289" s="1298">
        <v>0</v>
      </c>
      <c r="N289" s="1298">
        <v>0</v>
      </c>
      <c r="O289" s="1298">
        <v>0</v>
      </c>
      <c r="P289" s="1298">
        <v>0</v>
      </c>
      <c r="Q289" s="1298">
        <v>0</v>
      </c>
      <c r="R289" s="1298">
        <v>0</v>
      </c>
      <c r="S289" s="100" t="s">
        <v>3133</v>
      </c>
    </row>
    <row r="290" spans="2:19" hidden="1" outlineLevel="1">
      <c r="B290" s="831" t="s">
        <v>3134</v>
      </c>
      <c r="C290" s="1318" t="s">
        <v>3132</v>
      </c>
      <c r="D290" s="1318">
        <v>0.4</v>
      </c>
      <c r="E290" s="1298">
        <v>0</v>
      </c>
      <c r="F290" s="1318">
        <v>0.25</v>
      </c>
      <c r="G290" s="1298">
        <v>0</v>
      </c>
      <c r="H290" s="1318">
        <v>0.08</v>
      </c>
      <c r="I290" s="1298">
        <v>0</v>
      </c>
      <c r="J290" s="1318">
        <v>0.02</v>
      </c>
      <c r="K290" s="1298">
        <v>0</v>
      </c>
      <c r="L290" s="1298">
        <v>0</v>
      </c>
      <c r="M290" s="1318">
        <v>0.25</v>
      </c>
      <c r="N290" s="1298">
        <v>0</v>
      </c>
      <c r="O290" s="1298">
        <v>0</v>
      </c>
      <c r="P290" s="1298">
        <v>0</v>
      </c>
      <c r="Q290" s="1298">
        <v>0</v>
      </c>
      <c r="R290" s="1318">
        <v>0.08</v>
      </c>
      <c r="S290" s="100" t="s">
        <v>3135</v>
      </c>
    </row>
    <row r="291" spans="2:19" hidden="1" outlineLevel="1">
      <c r="B291" s="831" t="s">
        <v>3136</v>
      </c>
      <c r="C291" s="1318" t="s">
        <v>3137</v>
      </c>
      <c r="D291" s="1318">
        <v>0.48</v>
      </c>
      <c r="E291" s="1318">
        <v>0.04</v>
      </c>
      <c r="F291" s="1318">
        <v>0.05</v>
      </c>
      <c r="G291" s="1298">
        <v>0</v>
      </c>
      <c r="H291" s="1298">
        <v>0</v>
      </c>
      <c r="I291" s="1298">
        <v>0</v>
      </c>
      <c r="J291" s="1318">
        <v>0.13</v>
      </c>
      <c r="K291" s="1298">
        <v>0</v>
      </c>
      <c r="L291" s="1318">
        <v>0.3</v>
      </c>
      <c r="M291" s="1298">
        <v>0</v>
      </c>
      <c r="N291" s="1298">
        <v>0</v>
      </c>
      <c r="O291" s="1298">
        <v>0</v>
      </c>
      <c r="P291" s="1298">
        <v>0</v>
      </c>
      <c r="Q291" s="1298">
        <v>0</v>
      </c>
      <c r="R291" s="1298">
        <v>0</v>
      </c>
      <c r="S291" s="100" t="s">
        <v>3138</v>
      </c>
    </row>
    <row r="292" spans="2:19" hidden="1" outlineLevel="1">
      <c r="B292" s="831" t="s">
        <v>3139</v>
      </c>
      <c r="C292" s="1318" t="s">
        <v>3137</v>
      </c>
      <c r="D292" s="1318">
        <v>0.91</v>
      </c>
      <c r="E292" s="1318">
        <v>0.05</v>
      </c>
      <c r="F292" s="1318">
        <v>0.02</v>
      </c>
      <c r="G292" s="1298">
        <v>0</v>
      </c>
      <c r="H292" s="1298">
        <v>0</v>
      </c>
      <c r="I292" s="1298">
        <v>0</v>
      </c>
      <c r="J292" s="1298">
        <v>0</v>
      </c>
      <c r="K292" s="1298">
        <v>0</v>
      </c>
      <c r="L292" s="1298">
        <v>0</v>
      </c>
      <c r="M292" s="1298">
        <v>0</v>
      </c>
      <c r="N292" s="1318">
        <v>0.02</v>
      </c>
      <c r="O292" s="1298">
        <v>0</v>
      </c>
      <c r="P292" s="1298">
        <v>0</v>
      </c>
      <c r="Q292" s="1298">
        <v>0</v>
      </c>
      <c r="R292" s="1298">
        <v>0</v>
      </c>
      <c r="S292" s="100" t="s">
        <v>3140</v>
      </c>
    </row>
    <row r="293" spans="2:19" hidden="1" outlineLevel="1">
      <c r="B293" s="831" t="s">
        <v>3141</v>
      </c>
      <c r="C293" s="1318" t="s">
        <v>3137</v>
      </c>
      <c r="D293" s="1318">
        <v>7.0000000000000007E-2</v>
      </c>
      <c r="E293" s="1298">
        <v>0</v>
      </c>
      <c r="F293" s="1298">
        <v>0</v>
      </c>
      <c r="G293" s="1298">
        <v>0</v>
      </c>
      <c r="H293" s="1318">
        <v>0.2</v>
      </c>
      <c r="I293" s="1298">
        <v>0</v>
      </c>
      <c r="J293" s="1298">
        <v>0</v>
      </c>
      <c r="K293" s="1318">
        <v>0.22</v>
      </c>
      <c r="L293" s="1298">
        <v>0</v>
      </c>
      <c r="M293" s="1298">
        <v>0</v>
      </c>
      <c r="N293" s="1298">
        <v>0</v>
      </c>
      <c r="O293" s="1318">
        <v>0.5</v>
      </c>
      <c r="P293" s="1318">
        <v>0.01</v>
      </c>
      <c r="Q293" s="1298">
        <v>0</v>
      </c>
      <c r="R293" s="1298">
        <v>0</v>
      </c>
      <c r="S293" s="100" t="s">
        <v>3142</v>
      </c>
    </row>
    <row r="294" spans="2:19" hidden="1" outlineLevel="1">
      <c r="B294" s="831" t="s">
        <v>3143</v>
      </c>
      <c r="C294" s="1318" t="s">
        <v>3144</v>
      </c>
      <c r="D294" s="1318">
        <v>0.56000000000000005</v>
      </c>
      <c r="E294" s="1318">
        <v>0.05</v>
      </c>
      <c r="F294" s="1318">
        <v>0.05</v>
      </c>
      <c r="G294" s="1298">
        <v>0</v>
      </c>
      <c r="H294" s="1298">
        <v>0</v>
      </c>
      <c r="I294" s="1298">
        <v>0</v>
      </c>
      <c r="J294" s="1318">
        <v>0.09</v>
      </c>
      <c r="K294" s="1298">
        <v>0</v>
      </c>
      <c r="L294" s="1298">
        <v>0</v>
      </c>
      <c r="M294" s="1298">
        <v>0</v>
      </c>
      <c r="N294" s="1318">
        <v>0.03</v>
      </c>
      <c r="O294" s="1298">
        <v>0</v>
      </c>
      <c r="P294" s="1298">
        <v>0</v>
      </c>
      <c r="Q294" s="1318">
        <v>0.25</v>
      </c>
      <c r="R294" s="1298">
        <v>0</v>
      </c>
      <c r="S294" s="100" t="s">
        <v>3145</v>
      </c>
    </row>
    <row r="295" spans="2:19" hidden="1" outlineLevel="1">
      <c r="B295" s="831" t="s">
        <v>3146</v>
      </c>
      <c r="C295" s="1318" t="s">
        <v>3144</v>
      </c>
      <c r="D295" s="1318">
        <v>0.92</v>
      </c>
      <c r="E295" s="1318">
        <v>0.05</v>
      </c>
      <c r="F295" s="1298">
        <v>0</v>
      </c>
      <c r="G295" s="1298">
        <v>0</v>
      </c>
      <c r="H295" s="1298">
        <v>0</v>
      </c>
      <c r="I295" s="1298">
        <v>0</v>
      </c>
      <c r="J295" s="1298">
        <v>0</v>
      </c>
      <c r="K295" s="1298">
        <v>0</v>
      </c>
      <c r="L295" s="1298">
        <v>0</v>
      </c>
      <c r="M295" s="1298">
        <v>0</v>
      </c>
      <c r="N295" s="1298">
        <v>0</v>
      </c>
      <c r="O295" s="1298">
        <v>0</v>
      </c>
      <c r="P295" s="1298">
        <v>0</v>
      </c>
      <c r="Q295" s="1298">
        <v>0</v>
      </c>
      <c r="R295" s="1298">
        <v>0</v>
      </c>
      <c r="S295" s="100" t="s">
        <v>3147</v>
      </c>
    </row>
    <row r="296" spans="2:19" ht="14.5" hidden="1" outlineLevel="1" thickBot="1">
      <c r="B296" s="834" t="s">
        <v>3148</v>
      </c>
      <c r="C296" s="1410" t="s">
        <v>3149</v>
      </c>
      <c r="D296" s="1410">
        <v>0.92</v>
      </c>
      <c r="E296" s="1410">
        <v>0.08</v>
      </c>
      <c r="F296" s="1327">
        <v>0</v>
      </c>
      <c r="G296" s="1327">
        <v>0</v>
      </c>
      <c r="H296" s="1327">
        <v>0</v>
      </c>
      <c r="I296" s="1327">
        <v>0</v>
      </c>
      <c r="J296" s="1327">
        <v>0</v>
      </c>
      <c r="K296" s="1327">
        <v>0</v>
      </c>
      <c r="L296" s="1327">
        <v>0</v>
      </c>
      <c r="M296" s="1327">
        <v>0</v>
      </c>
      <c r="N296" s="1327">
        <v>0</v>
      </c>
      <c r="O296" s="1327">
        <v>0</v>
      </c>
      <c r="P296" s="1327">
        <v>0</v>
      </c>
      <c r="Q296" s="1327">
        <v>0</v>
      </c>
      <c r="R296" s="1327">
        <v>0</v>
      </c>
      <c r="S296" s="114" t="s">
        <v>3150</v>
      </c>
    </row>
    <row r="297" spans="2:19" hidden="1" outlineLevel="1"/>
    <row r="298" spans="2:19" hidden="1" outlineLevel="1">
      <c r="B298" s="1251" t="s">
        <v>3151</v>
      </c>
    </row>
    <row r="299" spans="2:19" ht="14.5" hidden="1" outlineLevel="1" thickBot="1">
      <c r="B299" s="3" t="s">
        <v>3152</v>
      </c>
      <c r="C299" s="87" t="s">
        <v>3153</v>
      </c>
      <c r="E299" s="1251" t="s">
        <v>2111</v>
      </c>
      <c r="F299" s="1251"/>
    </row>
    <row r="300" spans="2:19" hidden="1" outlineLevel="1">
      <c r="B300" s="402"/>
      <c r="C300" s="590" t="s">
        <v>3033</v>
      </c>
      <c r="E300" s="402"/>
      <c r="F300" s="590" t="s">
        <v>3033</v>
      </c>
    </row>
    <row r="301" spans="2:19" s="1" customFormat="1" hidden="1" outlineLevel="1">
      <c r="B301" s="408" t="s">
        <v>3154</v>
      </c>
      <c r="C301" s="1277">
        <v>104</v>
      </c>
      <c r="E301" s="408" t="s">
        <v>3155</v>
      </c>
      <c r="F301" s="1277">
        <v>340</v>
      </c>
    </row>
    <row r="302" spans="2:19" hidden="1" outlineLevel="1">
      <c r="B302" s="408" t="s">
        <v>3156</v>
      </c>
      <c r="C302" s="1277">
        <v>104</v>
      </c>
      <c r="E302" s="408" t="s">
        <v>3157</v>
      </c>
      <c r="F302" s="1277">
        <v>150</v>
      </c>
    </row>
    <row r="303" spans="2:19" ht="14.5" hidden="1" outlineLevel="1" thickBot="1">
      <c r="B303" s="408" t="s">
        <v>3158</v>
      </c>
      <c r="C303" s="1277">
        <v>116</v>
      </c>
      <c r="E303" s="403" t="s">
        <v>3159</v>
      </c>
      <c r="F303" s="1334">
        <v>200</v>
      </c>
    </row>
    <row r="304" spans="2:19" hidden="1" outlineLevel="1">
      <c r="B304" s="408" t="s">
        <v>3160</v>
      </c>
      <c r="C304" s="12">
        <v>130</v>
      </c>
    </row>
    <row r="305" spans="2:17" hidden="1" outlineLevel="1">
      <c r="B305" s="408" t="s">
        <v>3161</v>
      </c>
      <c r="C305" s="12">
        <v>92</v>
      </c>
      <c r="E305" s="1251" t="s">
        <v>3162</v>
      </c>
    </row>
    <row r="306" spans="2:17" hidden="1" outlineLevel="1">
      <c r="B306" s="408" t="s">
        <v>3163</v>
      </c>
      <c r="C306" s="12">
        <v>48</v>
      </c>
      <c r="E306" s="1251"/>
      <c r="F306" s="1251"/>
    </row>
    <row r="307" spans="2:17" hidden="1" outlineLevel="1">
      <c r="B307" s="408" t="s">
        <v>3164</v>
      </c>
      <c r="C307" s="12">
        <v>23</v>
      </c>
    </row>
    <row r="308" spans="2:17" hidden="1" outlineLevel="1">
      <c r="B308" s="408" t="s">
        <v>3165</v>
      </c>
      <c r="C308" s="12">
        <v>75</v>
      </c>
    </row>
    <row r="309" spans="2:17" hidden="1" outlineLevel="1">
      <c r="B309" s="408" t="s">
        <v>3166</v>
      </c>
      <c r="C309" s="12">
        <v>123</v>
      </c>
    </row>
    <row r="310" spans="2:17" hidden="1" outlineLevel="1">
      <c r="B310" s="408" t="s">
        <v>3167</v>
      </c>
      <c r="C310" s="12">
        <v>180</v>
      </c>
    </row>
    <row r="311" spans="2:17" hidden="1" outlineLevel="1">
      <c r="B311" s="408" t="s">
        <v>3168</v>
      </c>
      <c r="C311" s="12">
        <v>250</v>
      </c>
    </row>
    <row r="312" spans="2:17" hidden="1" outlineLevel="1">
      <c r="B312" s="408" t="s">
        <v>3169</v>
      </c>
      <c r="C312" s="12">
        <v>90</v>
      </c>
    </row>
    <row r="313" spans="2:17" hidden="1" outlineLevel="1">
      <c r="B313" s="408" t="s">
        <v>3170</v>
      </c>
      <c r="C313" s="12">
        <v>100</v>
      </c>
    </row>
    <row r="314" spans="2:17" hidden="1" outlineLevel="1">
      <c r="B314" s="408" t="s">
        <v>3171</v>
      </c>
      <c r="C314" s="12">
        <v>170</v>
      </c>
    </row>
    <row r="315" spans="2:17" hidden="1" outlineLevel="1">
      <c r="B315" s="408" t="s">
        <v>3172</v>
      </c>
      <c r="C315" s="12">
        <v>1600</v>
      </c>
    </row>
    <row r="316" spans="2:17" ht="14.5" hidden="1" outlineLevel="1" thickBot="1">
      <c r="B316" s="403" t="s">
        <v>3173</v>
      </c>
      <c r="C316" s="15">
        <v>350</v>
      </c>
    </row>
    <row r="317" spans="2:17" hidden="1" outlineLevel="1"/>
    <row r="318" spans="2:17" ht="14.5" hidden="1" outlineLevel="1" thickBot="1">
      <c r="B318" s="1251" t="s">
        <v>565</v>
      </c>
    </row>
    <row r="319" spans="2:17" ht="28" hidden="1" outlineLevel="1">
      <c r="B319" s="273" t="s">
        <v>883</v>
      </c>
      <c r="C319" s="287" t="s">
        <v>3174</v>
      </c>
      <c r="D319" s="287" t="s">
        <v>2074</v>
      </c>
      <c r="E319" s="287" t="s">
        <v>3015</v>
      </c>
      <c r="F319" s="287" t="s">
        <v>2072</v>
      </c>
      <c r="G319" s="287" t="s">
        <v>3017</v>
      </c>
      <c r="H319" s="287" t="s">
        <v>3124</v>
      </c>
      <c r="I319" s="287" t="s">
        <v>3125</v>
      </c>
      <c r="J319" s="287" t="s">
        <v>3126</v>
      </c>
      <c r="K319" s="287" t="s">
        <v>2637</v>
      </c>
      <c r="L319" s="287" t="s">
        <v>3105</v>
      </c>
      <c r="M319" s="287" t="s">
        <v>3065</v>
      </c>
      <c r="N319" s="287" t="s">
        <v>3127</v>
      </c>
      <c r="O319" s="287" t="s">
        <v>3128</v>
      </c>
      <c r="P319" s="287" t="s">
        <v>3129</v>
      </c>
      <c r="Q319" s="288" t="s">
        <v>3130</v>
      </c>
    </row>
    <row r="320" spans="2:17" hidden="1" outlineLevel="1">
      <c r="B320" s="277" t="s">
        <v>2951</v>
      </c>
      <c r="C320" s="81">
        <f t="shared" ref="C320:C325" si="16">SUM(D320:Q320)</f>
        <v>339.99999999999994</v>
      </c>
      <c r="D320" s="81">
        <f>$F301*AVERAGE(D294:D296)</f>
        <v>272</v>
      </c>
      <c r="E320" s="81">
        <f>$F301*AVERAGE(E294:E296)</f>
        <v>20.399999999999999</v>
      </c>
      <c r="F320" s="81">
        <f>$F301*AVERAGE(F294:F296)</f>
        <v>5.666666666666667</v>
      </c>
      <c r="G320" s="81">
        <f t="shared" ref="G320:Q320" si="17">$F301*AVERAGE(H294:H296)</f>
        <v>0</v>
      </c>
      <c r="H320" s="81">
        <f t="shared" si="17"/>
        <v>0</v>
      </c>
      <c r="I320" s="81">
        <f t="shared" si="17"/>
        <v>10.199999999999999</v>
      </c>
      <c r="J320" s="81">
        <f t="shared" si="17"/>
        <v>0</v>
      </c>
      <c r="K320" s="81">
        <f t="shared" si="17"/>
        <v>0</v>
      </c>
      <c r="L320" s="81">
        <f t="shared" si="17"/>
        <v>0</v>
      </c>
      <c r="M320" s="81">
        <f t="shared" si="17"/>
        <v>3.4</v>
      </c>
      <c r="N320" s="81">
        <f t="shared" si="17"/>
        <v>0</v>
      </c>
      <c r="O320" s="81">
        <f t="shared" si="17"/>
        <v>0</v>
      </c>
      <c r="P320" s="81">
        <f t="shared" si="17"/>
        <v>28.333333333333332</v>
      </c>
      <c r="Q320" s="270">
        <f t="shared" si="17"/>
        <v>0</v>
      </c>
    </row>
    <row r="321" spans="2:17" hidden="1" outlineLevel="1">
      <c r="B321" s="277" t="s">
        <v>2952</v>
      </c>
      <c r="C321" s="81">
        <f t="shared" si="16"/>
        <v>156</v>
      </c>
      <c r="D321" s="81">
        <f>$F$302*AVERAGE(D289:D290)</f>
        <v>66</v>
      </c>
      <c r="E321" s="81">
        <f>$F$302*AVERAGE(E289:E290)</f>
        <v>3.75</v>
      </c>
      <c r="F321" s="81">
        <f>$F$302*AVERAGE(F289:F290)</f>
        <v>23.25</v>
      </c>
      <c r="G321" s="81">
        <f t="shared" ref="G321:Q321" si="18">$F$302*AVERAGE(H289:H290)</f>
        <v>6</v>
      </c>
      <c r="H321" s="81">
        <f t="shared" si="18"/>
        <v>17.25</v>
      </c>
      <c r="I321" s="81">
        <f t="shared" si="18"/>
        <v>12.749999999999998</v>
      </c>
      <c r="J321" s="81">
        <f t="shared" si="18"/>
        <v>1.5</v>
      </c>
      <c r="K321" s="81">
        <f t="shared" si="18"/>
        <v>0.75</v>
      </c>
      <c r="L321" s="81">
        <f t="shared" si="18"/>
        <v>18.75</v>
      </c>
      <c r="M321" s="81">
        <f t="shared" si="18"/>
        <v>0</v>
      </c>
      <c r="N321" s="81">
        <f t="shared" si="18"/>
        <v>0</v>
      </c>
      <c r="O321" s="81">
        <f t="shared" si="18"/>
        <v>0</v>
      </c>
      <c r="P321" s="81">
        <f t="shared" si="18"/>
        <v>0</v>
      </c>
      <c r="Q321" s="270">
        <f t="shared" si="18"/>
        <v>6</v>
      </c>
    </row>
    <row r="322" spans="2:17" hidden="1" outlineLevel="1">
      <c r="B322" s="277" t="s">
        <v>2954</v>
      </c>
      <c r="C322" s="81">
        <f t="shared" si="16"/>
        <v>99.5</v>
      </c>
      <c r="D322" s="81">
        <f>AVERAGE($C301:$C310)*AVERAGE(D294:D296)</f>
        <v>79.599999999999994</v>
      </c>
      <c r="E322" s="81">
        <f>AVERAGE($C301:$C310)*AVERAGE(E294:E296)</f>
        <v>5.97</v>
      </c>
      <c r="F322" s="81">
        <f>AVERAGE($C301:$C310)*AVERAGE(F294:F296)</f>
        <v>1.6583333333333332</v>
      </c>
      <c r="G322" s="81">
        <f t="shared" ref="G322:Q322" si="19">AVERAGE($C301:$C310)*AVERAGE(H294:H296)</f>
        <v>0</v>
      </c>
      <c r="H322" s="81">
        <f t="shared" si="19"/>
        <v>0</v>
      </c>
      <c r="I322" s="81">
        <f t="shared" si="19"/>
        <v>2.9849999999999999</v>
      </c>
      <c r="J322" s="81">
        <f t="shared" si="19"/>
        <v>0</v>
      </c>
      <c r="K322" s="81">
        <f t="shared" si="19"/>
        <v>0</v>
      </c>
      <c r="L322" s="81">
        <f t="shared" si="19"/>
        <v>0</v>
      </c>
      <c r="M322" s="81">
        <f t="shared" si="19"/>
        <v>0.995</v>
      </c>
      <c r="N322" s="81">
        <f t="shared" si="19"/>
        <v>0</v>
      </c>
      <c r="O322" s="81">
        <f t="shared" si="19"/>
        <v>0</v>
      </c>
      <c r="P322" s="81">
        <f t="shared" si="19"/>
        <v>8.2916666666666661</v>
      </c>
      <c r="Q322" s="270">
        <f t="shared" si="19"/>
        <v>0</v>
      </c>
    </row>
    <row r="323" spans="2:17" hidden="1" outlineLevel="1">
      <c r="B323" s="277" t="s">
        <v>2956</v>
      </c>
      <c r="C323" s="81">
        <f t="shared" si="16"/>
        <v>199.99999999999997</v>
      </c>
      <c r="D323" s="81">
        <f t="shared" ref="D323:P323" si="20">$F303*AVERAGE(D291:D293)</f>
        <v>97.333333333333343</v>
      </c>
      <c r="E323" s="81">
        <f t="shared" si="20"/>
        <v>6</v>
      </c>
      <c r="F323" s="81">
        <f t="shared" si="20"/>
        <v>4.666666666666667</v>
      </c>
      <c r="G323" s="81">
        <f t="shared" si="20"/>
        <v>0</v>
      </c>
      <c r="H323" s="81">
        <f t="shared" si="20"/>
        <v>13.333333333333334</v>
      </c>
      <c r="I323" s="81">
        <f t="shared" si="20"/>
        <v>0</v>
      </c>
      <c r="J323" s="81">
        <f t="shared" si="20"/>
        <v>8.6666666666666679</v>
      </c>
      <c r="K323" s="81">
        <f t="shared" si="20"/>
        <v>14.666666666666666</v>
      </c>
      <c r="L323" s="81">
        <f t="shared" si="20"/>
        <v>20</v>
      </c>
      <c r="M323" s="81">
        <f t="shared" si="20"/>
        <v>0</v>
      </c>
      <c r="N323" s="81">
        <f t="shared" si="20"/>
        <v>1.3333333333333335</v>
      </c>
      <c r="O323" s="81">
        <f t="shared" si="20"/>
        <v>33.333333333333329</v>
      </c>
      <c r="P323" s="81">
        <f t="shared" si="20"/>
        <v>0.66666666666666674</v>
      </c>
      <c r="Q323" s="270">
        <f>$F303*AVERAGE(R294:R296)</f>
        <v>0</v>
      </c>
    </row>
    <row r="324" spans="2:17" hidden="1" outlineLevel="1">
      <c r="B324" s="277" t="s">
        <v>2958</v>
      </c>
      <c r="C324" s="81">
        <f t="shared" si="16"/>
        <v>442</v>
      </c>
      <c r="D324" s="81">
        <f t="shared" ref="D324:P324" si="21">AVERAGE($C311:$C315)*AVERAGE(D291:D293)</f>
        <v>215.10666666666671</v>
      </c>
      <c r="E324" s="81">
        <f t="shared" si="21"/>
        <v>13.26</v>
      </c>
      <c r="F324" s="81">
        <f t="shared" si="21"/>
        <v>10.313333333333334</v>
      </c>
      <c r="G324" s="81">
        <f t="shared" si="21"/>
        <v>0</v>
      </c>
      <c r="H324" s="81">
        <f t="shared" si="21"/>
        <v>29.466666666666665</v>
      </c>
      <c r="I324" s="81">
        <f t="shared" si="21"/>
        <v>0</v>
      </c>
      <c r="J324" s="81">
        <f t="shared" si="21"/>
        <v>19.153333333333332</v>
      </c>
      <c r="K324" s="81">
        <f t="shared" si="21"/>
        <v>32.413333333333334</v>
      </c>
      <c r="L324" s="81">
        <f t="shared" si="21"/>
        <v>44.199999999999996</v>
      </c>
      <c r="M324" s="81">
        <f t="shared" si="21"/>
        <v>0</v>
      </c>
      <c r="N324" s="81">
        <f t="shared" si="21"/>
        <v>2.9466666666666668</v>
      </c>
      <c r="O324" s="81">
        <f t="shared" si="21"/>
        <v>73.666666666666657</v>
      </c>
      <c r="P324" s="81">
        <f t="shared" si="21"/>
        <v>1.4733333333333334</v>
      </c>
      <c r="Q324" s="270">
        <f>AVERAGE($C311:$C315)*AVERAGE(R291:R293)</f>
        <v>0</v>
      </c>
    </row>
    <row r="325" spans="2:17" ht="14.5" hidden="1" outlineLevel="1" thickBot="1">
      <c r="B325" s="315" t="s">
        <v>2959</v>
      </c>
      <c r="C325" s="82">
        <f t="shared" si="16"/>
        <v>199.99999999999997</v>
      </c>
      <c r="D325" s="82">
        <f t="shared" ref="D325:P325" si="22">$F303*AVERAGE(D291:D293)</f>
        <v>97.333333333333343</v>
      </c>
      <c r="E325" s="82">
        <f t="shared" si="22"/>
        <v>6</v>
      </c>
      <c r="F325" s="82">
        <f t="shared" si="22"/>
        <v>4.666666666666667</v>
      </c>
      <c r="G325" s="82">
        <f t="shared" si="22"/>
        <v>0</v>
      </c>
      <c r="H325" s="82">
        <f t="shared" si="22"/>
        <v>13.333333333333334</v>
      </c>
      <c r="I325" s="82">
        <f t="shared" si="22"/>
        <v>0</v>
      </c>
      <c r="J325" s="82">
        <f t="shared" si="22"/>
        <v>8.6666666666666679</v>
      </c>
      <c r="K325" s="82">
        <f t="shared" si="22"/>
        <v>14.666666666666666</v>
      </c>
      <c r="L325" s="82">
        <f t="shared" si="22"/>
        <v>20</v>
      </c>
      <c r="M325" s="82">
        <f t="shared" si="22"/>
        <v>0</v>
      </c>
      <c r="N325" s="82">
        <f t="shared" si="22"/>
        <v>1.3333333333333335</v>
      </c>
      <c r="O325" s="82">
        <f t="shared" si="22"/>
        <v>33.333333333333329</v>
      </c>
      <c r="P325" s="82">
        <f t="shared" si="22"/>
        <v>0.66666666666666674</v>
      </c>
      <c r="Q325" s="309">
        <f>$F303*AVERAGE(R294:R296)</f>
        <v>0</v>
      </c>
    </row>
    <row r="326" spans="2:17" hidden="1" outlineLevel="1"/>
    <row r="327" spans="2:17" ht="14.5" hidden="1" outlineLevel="1" thickBot="1">
      <c r="B327" s="1251" t="s">
        <v>3175</v>
      </c>
    </row>
    <row r="328" spans="2:17" ht="14.5" hidden="1" outlineLevel="1" thickBot="1">
      <c r="B328" s="725" t="s">
        <v>3176</v>
      </c>
      <c r="C328" s="777">
        <f>C251/(C247/1000)</f>
        <v>9.9628866472264033</v>
      </c>
      <c r="D328" s="1305" t="s">
        <v>659</v>
      </c>
    </row>
    <row r="329" spans="2:17" hidden="1" outlineLevel="1">
      <c r="B329" s="3"/>
    </row>
    <row r="330" spans="2:17" ht="14.5" hidden="1" outlineLevel="1" thickBot="1">
      <c r="B330" s="3" t="s">
        <v>3177</v>
      </c>
    </row>
    <row r="331" spans="2:17" ht="28" hidden="1" outlineLevel="1">
      <c r="B331" s="273" t="s">
        <v>3176</v>
      </c>
      <c r="C331" s="287" t="s">
        <v>3178</v>
      </c>
      <c r="D331" s="288" t="s">
        <v>938</v>
      </c>
    </row>
    <row r="332" spans="2:17" hidden="1" outlineLevel="1">
      <c r="B332" s="277" t="s">
        <v>2951</v>
      </c>
      <c r="C332" s="168">
        <f t="shared" ref="C332:C337" si="23">C320*C$328/1000</f>
        <v>3.3873814600569769</v>
      </c>
      <c r="D332" s="132">
        <f t="shared" ref="D332:D337" si="24">C332*(C156+D156)/10^6</f>
        <v>2.2003481497721302</v>
      </c>
    </row>
    <row r="333" spans="2:17" hidden="1" outlineLevel="1">
      <c r="B333" s="277" t="s">
        <v>2952</v>
      </c>
      <c r="C333" s="168">
        <f t="shared" si="23"/>
        <v>1.5542103169673189</v>
      </c>
      <c r="D333" s="132">
        <f t="shared" si="24"/>
        <v>1.0038517870174768</v>
      </c>
    </row>
    <row r="334" spans="2:17" hidden="1" outlineLevel="1">
      <c r="B334" s="277" t="s">
        <v>2954</v>
      </c>
      <c r="C334" s="168">
        <f t="shared" si="23"/>
        <v>0.99130722139902705</v>
      </c>
      <c r="D334" s="132">
        <f t="shared" si="24"/>
        <v>2.4707440316871487</v>
      </c>
    </row>
    <row r="335" spans="2:17" hidden="1" outlineLevel="1">
      <c r="B335" s="277" t="s">
        <v>2956</v>
      </c>
      <c r="C335" s="168">
        <f t="shared" si="23"/>
        <v>1.9925773294452804</v>
      </c>
      <c r="D335" s="132">
        <f t="shared" si="24"/>
        <v>0.71483313178383545</v>
      </c>
    </row>
    <row r="336" spans="2:17" hidden="1" outlineLevel="1">
      <c r="B336" s="277" t="s">
        <v>2958</v>
      </c>
      <c r="C336" s="168">
        <f t="shared" si="23"/>
        <v>4.4035958980740704</v>
      </c>
      <c r="D336" s="132">
        <f t="shared" si="24"/>
        <v>3.9658872729973038</v>
      </c>
    </row>
    <row r="337" spans="2:4" ht="14.5" hidden="1" outlineLevel="1" thickBot="1">
      <c r="B337" s="315" t="s">
        <v>2959</v>
      </c>
      <c r="C337" s="170">
        <f t="shared" si="23"/>
        <v>1.9925773294452804</v>
      </c>
      <c r="D337" s="132">
        <f t="shared" si="24"/>
        <v>0.25106275093277591</v>
      </c>
    </row>
    <row r="338" spans="2:4" ht="14.5" hidden="1" outlineLevel="1" thickBot="1">
      <c r="B338" s="3"/>
      <c r="C338" s="315" t="s">
        <v>83</v>
      </c>
      <c r="D338" s="743">
        <f>SUM(D332:D337)</f>
        <v>10.606727124190671</v>
      </c>
    </row>
    <row r="339" spans="2:4" hidden="1" outlineLevel="1">
      <c r="B339" s="3"/>
    </row>
    <row r="340" spans="2:4" collapsed="1">
      <c r="B340" s="3"/>
    </row>
    <row r="341" spans="2:4">
      <c r="B341" s="3" t="s">
        <v>3179</v>
      </c>
    </row>
    <row r="342" spans="2:4">
      <c r="B342" s="3"/>
    </row>
    <row r="343" spans="2:4" hidden="1" outlineLevel="1">
      <c r="B343" s="1251" t="s">
        <v>3180</v>
      </c>
    </row>
    <row r="344" spans="2:4" hidden="1" outlineLevel="1">
      <c r="B344" s="87" t="s">
        <v>3181</v>
      </c>
    </row>
    <row r="345" spans="2:4" hidden="1" outlineLevel="1">
      <c r="B345" s="3"/>
    </row>
    <row r="346" spans="2:4" hidden="1" outlineLevel="1">
      <c r="B346" s="3"/>
    </row>
    <row r="347" spans="2:4" hidden="1" outlineLevel="1">
      <c r="B347" s="3"/>
    </row>
    <row r="348" spans="2:4" hidden="1" outlineLevel="1">
      <c r="B348" s="3"/>
    </row>
    <row r="349" spans="2:4" hidden="1" outlineLevel="1">
      <c r="B349" s="3"/>
    </row>
    <row r="350" spans="2:4" hidden="1" outlineLevel="1">
      <c r="B350" s="3"/>
    </row>
    <row r="351" spans="2:4" hidden="1" outlineLevel="1">
      <c r="B351" s="3"/>
    </row>
    <row r="352" spans="2:4" hidden="1" outlineLevel="1">
      <c r="C352" s="1251"/>
      <c r="D352" s="87"/>
    </row>
    <row r="353" spans="2:16" hidden="1" outlineLevel="1">
      <c r="B353" s="3"/>
      <c r="D353" s="87"/>
    </row>
    <row r="354" spans="2:16" hidden="1" outlineLevel="1">
      <c r="B354" s="3"/>
      <c r="D354" s="87"/>
    </row>
    <row r="355" spans="2:16" hidden="1" outlineLevel="1">
      <c r="B355" s="3"/>
      <c r="D355" s="87"/>
    </row>
    <row r="356" spans="2:16" hidden="1" outlineLevel="1"/>
    <row r="357" spans="2:16" hidden="1" outlineLevel="1">
      <c r="B357" s="3"/>
    </row>
    <row r="358" spans="2:16" hidden="1" outlineLevel="1">
      <c r="B358" s="3"/>
    </row>
    <row r="359" spans="2:16" hidden="1" outlineLevel="1">
      <c r="B359" s="3"/>
    </row>
    <row r="360" spans="2:16" hidden="1" outlineLevel="1">
      <c r="B360" s="3"/>
    </row>
    <row r="361" spans="2:16" hidden="1" outlineLevel="1">
      <c r="P361" s="1251" t="s">
        <v>3182</v>
      </c>
    </row>
    <row r="362" spans="2:16" hidden="1" outlineLevel="1">
      <c r="B362" s="3"/>
      <c r="P362" s="1251" t="s">
        <v>3183</v>
      </c>
    </row>
    <row r="363" spans="2:16" ht="14.5" hidden="1" outlineLevel="1" thickBot="1">
      <c r="B363" s="3"/>
    </row>
    <row r="364" spans="2:16" hidden="1" outlineLevel="1">
      <c r="B364" s="259" t="s">
        <v>684</v>
      </c>
      <c r="C364" s="259" t="s">
        <v>2072</v>
      </c>
      <c r="D364" s="259" t="s">
        <v>3105</v>
      </c>
      <c r="E364" s="275" t="s">
        <v>70</v>
      </c>
    </row>
    <row r="365" spans="2:16" ht="14.5" hidden="1" outlineLevel="1" thickBot="1">
      <c r="B365" s="315" t="s">
        <v>3184</v>
      </c>
      <c r="C365" s="1410">
        <v>0.09</v>
      </c>
      <c r="D365" s="1410">
        <v>0.91</v>
      </c>
      <c r="E365" s="114" t="s">
        <v>3185</v>
      </c>
    </row>
    <row r="366" spans="2:16" hidden="1" outlineLevel="1">
      <c r="B366" s="1251"/>
    </row>
    <row r="367" spans="2:16" ht="14.5" hidden="1" outlineLevel="1" thickBot="1">
      <c r="B367" s="1251" t="s">
        <v>3186</v>
      </c>
    </row>
    <row r="368" spans="2:16" ht="28" hidden="1" outlineLevel="1">
      <c r="B368" s="398"/>
      <c r="C368" s="398" t="s">
        <v>3187</v>
      </c>
      <c r="D368" s="835" t="s">
        <v>3188</v>
      </c>
    </row>
    <row r="369" spans="2:4" ht="28.5" hidden="1" outlineLevel="1" thickBot="1">
      <c r="B369" s="560" t="s">
        <v>3189</v>
      </c>
      <c r="C369" s="1416">
        <f>1</f>
        <v>1</v>
      </c>
      <c r="D369" s="485">
        <f>C369*(D92+C144+C145+C146)/10^6</f>
        <v>6.5073108000000008</v>
      </c>
    </row>
    <row r="370" spans="2:4" hidden="1" outlineLevel="1"/>
    <row r="371" spans="2:4" ht="14.5" hidden="1" outlineLevel="1" thickBot="1">
      <c r="B371" s="1251" t="s">
        <v>3190</v>
      </c>
    </row>
    <row r="372" spans="2:4" ht="42" hidden="1" outlineLevel="1">
      <c r="B372" s="398"/>
      <c r="C372" s="399" t="s">
        <v>3191</v>
      </c>
      <c r="D372" s="400" t="s">
        <v>3192</v>
      </c>
    </row>
    <row r="373" spans="2:4" ht="14.5" hidden="1" outlineLevel="1" thickBot="1">
      <c r="B373" s="315" t="s">
        <v>3193</v>
      </c>
      <c r="C373" s="18">
        <v>5</v>
      </c>
      <c r="D373" s="19">
        <v>5</v>
      </c>
    </row>
    <row r="374" spans="2:4" hidden="1" outlineLevel="1"/>
    <row r="375" spans="2:4" ht="14.5" hidden="1" outlineLevel="1" thickBot="1">
      <c r="B375" s="1251" t="s">
        <v>3194</v>
      </c>
    </row>
    <row r="376" spans="2:4" ht="28" hidden="1" outlineLevel="1">
      <c r="B376" s="398"/>
      <c r="C376" s="398" t="s">
        <v>3187</v>
      </c>
      <c r="D376" s="835" t="s">
        <v>3188</v>
      </c>
    </row>
    <row r="377" spans="2:4" ht="28.5" hidden="1" outlineLevel="1" thickBot="1">
      <c r="B377" s="560" t="s">
        <v>3195</v>
      </c>
      <c r="C377" s="1416">
        <f>(C373+D373)/2</f>
        <v>5</v>
      </c>
      <c r="D377" s="485">
        <f>C377*(D89+D88+D163)/10^6</f>
        <v>10.179826814000007</v>
      </c>
    </row>
    <row r="378" spans="2:4" hidden="1" outlineLevel="1">
      <c r="B378" s="87"/>
    </row>
    <row r="379" spans="2:4" collapsed="1">
      <c r="B379" s="1406"/>
    </row>
    <row r="380" spans="2:4" ht="18">
      <c r="B380" s="258" t="s">
        <v>482</v>
      </c>
    </row>
    <row r="382" spans="2:4" hidden="1" outlineLevel="1">
      <c r="B382" t="s">
        <v>1076</v>
      </c>
    </row>
    <row r="383" spans="2:4" hidden="1" outlineLevel="1">
      <c r="B383" s="1251" t="s">
        <v>3196</v>
      </c>
    </row>
    <row r="384" spans="2:4" ht="14.5" hidden="1" outlineLevel="1" thickBot="1">
      <c r="B384" s="1251" t="s">
        <v>2111</v>
      </c>
    </row>
    <row r="385" spans="2:9" ht="42" hidden="1" customHeight="1" outlineLevel="1">
      <c r="B385" s="456"/>
      <c r="C385" s="404" t="s">
        <v>3197</v>
      </c>
      <c r="D385" s="404" t="s">
        <v>3198</v>
      </c>
      <c r="E385" s="405" t="s">
        <v>3199</v>
      </c>
      <c r="F385" s="649"/>
      <c r="G385" s="649"/>
      <c r="H385" s="649"/>
      <c r="I385" s="649"/>
    </row>
    <row r="386" spans="2:9" hidden="1" outlineLevel="1">
      <c r="B386" s="562" t="s">
        <v>123</v>
      </c>
      <c r="C386" s="1331">
        <f>C197</f>
        <v>80</v>
      </c>
      <c r="D386" s="201">
        <v>25</v>
      </c>
      <c r="E386" s="577">
        <v>3</v>
      </c>
      <c r="F386" s="1281"/>
      <c r="G386" s="1281"/>
      <c r="H386" s="1281"/>
      <c r="I386" s="1281"/>
    </row>
    <row r="387" spans="2:9" hidden="1" outlineLevel="1">
      <c r="B387" s="562" t="s">
        <v>2948</v>
      </c>
      <c r="C387" s="1331">
        <f>C247</f>
        <v>500</v>
      </c>
      <c r="D387" s="1279">
        <v>30</v>
      </c>
      <c r="E387" s="1417">
        <v>5</v>
      </c>
      <c r="F387" s="1281"/>
      <c r="G387" s="1281"/>
      <c r="H387" s="1281"/>
      <c r="I387" s="1281"/>
    </row>
    <row r="388" spans="2:9" hidden="1" outlineLevel="1">
      <c r="B388" s="562" t="s">
        <v>2950</v>
      </c>
      <c r="C388" s="1331">
        <f>C276</f>
        <v>200</v>
      </c>
      <c r="D388" s="1279">
        <v>20</v>
      </c>
      <c r="E388" s="1417">
        <v>4</v>
      </c>
      <c r="F388" s="1281"/>
      <c r="G388" s="1281"/>
      <c r="H388" s="1281"/>
      <c r="I388" s="1281"/>
    </row>
    <row r="389" spans="2:9" hidden="1" outlineLevel="1">
      <c r="B389" s="562" t="s">
        <v>2951</v>
      </c>
      <c r="C389" s="1331">
        <f t="shared" ref="C389:C394" si="25">C320</f>
        <v>339.99999999999994</v>
      </c>
      <c r="D389" s="1279">
        <v>40</v>
      </c>
      <c r="E389" s="1417">
        <v>6</v>
      </c>
      <c r="F389" s="1281"/>
      <c r="G389" s="1281"/>
      <c r="H389" s="1281"/>
      <c r="I389" s="1281"/>
    </row>
    <row r="390" spans="2:9" hidden="1" outlineLevel="1">
      <c r="B390" s="562" t="s">
        <v>2952</v>
      </c>
      <c r="C390" s="1331">
        <f t="shared" si="25"/>
        <v>156</v>
      </c>
      <c r="D390" s="1279">
        <v>30</v>
      </c>
      <c r="E390" s="1417">
        <v>5</v>
      </c>
      <c r="F390" s="1281"/>
      <c r="G390" s="1281"/>
      <c r="H390" s="1281"/>
      <c r="I390" s="1281"/>
    </row>
    <row r="391" spans="2:9" hidden="1" outlineLevel="1">
      <c r="B391" s="562" t="s">
        <v>2954</v>
      </c>
      <c r="C391" s="1331">
        <f t="shared" si="25"/>
        <v>99.5</v>
      </c>
      <c r="D391" s="1279">
        <v>20</v>
      </c>
      <c r="E391" s="1417">
        <v>3</v>
      </c>
      <c r="F391" s="1281"/>
      <c r="G391" s="1281"/>
      <c r="H391" s="1281"/>
      <c r="I391" s="1281"/>
    </row>
    <row r="392" spans="2:9" hidden="1" outlineLevel="1">
      <c r="B392" s="562" t="s">
        <v>2956</v>
      </c>
      <c r="C392" s="1331">
        <f t="shared" si="25"/>
        <v>199.99999999999997</v>
      </c>
      <c r="D392" s="1279">
        <v>30</v>
      </c>
      <c r="E392" s="1417">
        <v>4</v>
      </c>
      <c r="F392" s="1281"/>
      <c r="G392" s="1281"/>
      <c r="H392" s="1281"/>
      <c r="I392" s="1281"/>
    </row>
    <row r="393" spans="2:9" hidden="1" outlineLevel="1">
      <c r="B393" s="562" t="s">
        <v>2958</v>
      </c>
      <c r="C393" s="1331">
        <f t="shared" si="25"/>
        <v>442</v>
      </c>
      <c r="D393" s="1279">
        <v>35</v>
      </c>
      <c r="E393" s="1417">
        <v>5</v>
      </c>
      <c r="F393" s="1281"/>
      <c r="G393" s="1281"/>
      <c r="H393" s="1281"/>
      <c r="I393" s="1281"/>
    </row>
    <row r="394" spans="2:9" hidden="1" outlineLevel="1">
      <c r="B394" s="562" t="s">
        <v>2959</v>
      </c>
      <c r="C394" s="1331">
        <f t="shared" si="25"/>
        <v>199.99999999999997</v>
      </c>
      <c r="D394" s="1279">
        <v>30</v>
      </c>
      <c r="E394" s="1417">
        <v>4</v>
      </c>
      <c r="F394" s="1281"/>
      <c r="G394" s="1281"/>
      <c r="H394" s="1281"/>
      <c r="I394" s="1281"/>
    </row>
    <row r="395" spans="2:9" hidden="1" outlineLevel="1">
      <c r="B395" s="562" t="s">
        <v>2955</v>
      </c>
      <c r="C395" s="1331">
        <v>80</v>
      </c>
      <c r="D395" s="1279">
        <v>25</v>
      </c>
      <c r="E395" s="1417">
        <v>3</v>
      </c>
      <c r="F395" s="1281"/>
      <c r="G395" s="1281"/>
      <c r="H395" s="1281"/>
      <c r="I395" s="1281"/>
    </row>
    <row r="396" spans="2:9" ht="14.5" hidden="1" outlineLevel="1" thickBot="1">
      <c r="B396" s="565" t="s">
        <v>2960</v>
      </c>
      <c r="C396" s="1418">
        <v>700</v>
      </c>
      <c r="D396" s="1282">
        <v>50</v>
      </c>
      <c r="E396" s="1419">
        <v>8</v>
      </c>
      <c r="F396" s="1281"/>
      <c r="G396" s="1281"/>
      <c r="H396" s="1281"/>
      <c r="I396" s="1281"/>
    </row>
    <row r="397" spans="2:9" hidden="1" outlineLevel="1"/>
    <row r="398" spans="2:9" ht="14.5" hidden="1" outlineLevel="1" thickBot="1">
      <c r="B398" s="1251" t="s">
        <v>2504</v>
      </c>
    </row>
    <row r="399" spans="2:9" ht="28" hidden="1" outlineLevel="1">
      <c r="B399" s="538"/>
      <c r="C399" s="399" t="s">
        <v>3200</v>
      </c>
      <c r="D399" s="400" t="s">
        <v>363</v>
      </c>
    </row>
    <row r="400" spans="2:9" hidden="1" outlineLevel="1">
      <c r="B400" s="562" t="s">
        <v>123</v>
      </c>
      <c r="C400" s="1420">
        <v>7.9583853731481052E-2</v>
      </c>
      <c r="D400" s="132">
        <f t="shared" ref="D400:D410" si="26">C400*E153/10^6</f>
        <v>1.1229059078487933</v>
      </c>
    </row>
    <row r="401" spans="2:4" hidden="1" outlineLevel="1">
      <c r="B401" s="562" t="s">
        <v>2948</v>
      </c>
      <c r="C401" s="1420">
        <v>0.10172308955246843</v>
      </c>
      <c r="D401" s="1301">
        <f t="shared" si="26"/>
        <v>0.11520595420018838</v>
      </c>
    </row>
    <row r="402" spans="2:4" hidden="1" outlineLevel="1">
      <c r="B402" s="562" t="s">
        <v>2950</v>
      </c>
      <c r="C402" s="1420">
        <v>7.0778471641974747E-2</v>
      </c>
      <c r="D402" s="1301">
        <f t="shared" si="26"/>
        <v>4.5074533583242232E-2</v>
      </c>
    </row>
    <row r="403" spans="2:4" hidden="1" outlineLevel="1">
      <c r="B403" s="562" t="s">
        <v>2951</v>
      </c>
      <c r="C403" s="1420">
        <v>0.13266770746296211</v>
      </c>
      <c r="D403" s="1301">
        <f t="shared" si="26"/>
        <v>8.6177228072131226E-2</v>
      </c>
    </row>
    <row r="404" spans="2:4" hidden="1" outlineLevel="1">
      <c r="B404" s="562" t="s">
        <v>2952</v>
      </c>
      <c r="C404" s="1420">
        <v>0.10172308955246843</v>
      </c>
      <c r="D404" s="1301">
        <f t="shared" si="26"/>
        <v>6.5702115159959704E-2</v>
      </c>
    </row>
    <row r="405" spans="2:4" hidden="1" outlineLevel="1">
      <c r="B405" s="562" t="s">
        <v>2954</v>
      </c>
      <c r="C405" s="1420">
        <v>6.6333853731481054E-2</v>
      </c>
      <c r="D405" s="1301">
        <f t="shared" si="26"/>
        <v>0.16533116037888068</v>
      </c>
    </row>
    <row r="406" spans="2:4" hidden="1" outlineLevel="1">
      <c r="B406" s="562" t="s">
        <v>2956</v>
      </c>
      <c r="C406" s="1420">
        <v>9.7278471641974743E-2</v>
      </c>
      <c r="D406" s="1301">
        <f t="shared" si="26"/>
        <v>3.4898457144615154E-2</v>
      </c>
    </row>
    <row r="407" spans="2:4" hidden="1" outlineLevel="1">
      <c r="B407" s="562" t="s">
        <v>2958</v>
      </c>
      <c r="C407" s="1420">
        <v>0.11497308955246843</v>
      </c>
      <c r="D407" s="1301">
        <f t="shared" si="26"/>
        <v>0.10354499439713218</v>
      </c>
    </row>
    <row r="408" spans="2:4" hidden="1" outlineLevel="1">
      <c r="B408" s="562" t="s">
        <v>2959</v>
      </c>
      <c r="C408" s="1420">
        <v>9.7278471641974743E-2</v>
      </c>
      <c r="D408" s="1301">
        <f t="shared" si="26"/>
        <v>1.2256990148417175E-2</v>
      </c>
    </row>
    <row r="409" spans="2:4" hidden="1" outlineLevel="1">
      <c r="B409" s="562" t="s">
        <v>2955</v>
      </c>
      <c r="C409" s="1420">
        <v>7.9583853731481052E-2</v>
      </c>
      <c r="D409" s="1301">
        <f t="shared" si="26"/>
        <v>0.51859161348284943</v>
      </c>
    </row>
    <row r="410" spans="2:4" ht="14.5" hidden="1" outlineLevel="1" thickBot="1">
      <c r="B410" s="565" t="s">
        <v>2960</v>
      </c>
      <c r="C410" s="1421">
        <v>0.16805694328394949</v>
      </c>
      <c r="D410" s="1265">
        <f t="shared" si="26"/>
        <v>0.33750932433904485</v>
      </c>
    </row>
    <row r="411" spans="2:4" ht="14.5" hidden="1" outlineLevel="1" thickBot="1">
      <c r="C411" s="745" t="s">
        <v>83</v>
      </c>
      <c r="D411" s="227">
        <f>SUM(D400:D410)</f>
        <v>2.6071982787552543</v>
      </c>
    </row>
    <row r="412" spans="2:4" collapsed="1"/>
    <row r="413" spans="2:4" ht="18">
      <c r="B413" s="258" t="s">
        <v>3201</v>
      </c>
    </row>
    <row r="415" spans="2:4" s="3" customFormat="1">
      <c r="B415" s="837" t="s">
        <v>3013</v>
      </c>
    </row>
    <row r="416" spans="2:4" hidden="1" outlineLevel="1"/>
    <row r="417" spans="2:5" hidden="1" outlineLevel="1">
      <c r="B417" s="1289" t="s">
        <v>3202</v>
      </c>
    </row>
    <row r="418" spans="2:5" hidden="1" outlineLevel="1">
      <c r="B418" s="1289" t="s">
        <v>3073</v>
      </c>
    </row>
    <row r="419" spans="2:5" ht="14.5" hidden="1" outlineLevel="1" thickBot="1">
      <c r="B419" s="1251" t="s">
        <v>2111</v>
      </c>
    </row>
    <row r="420" spans="2:5" hidden="1" outlineLevel="1">
      <c r="B420" s="402"/>
      <c r="C420" s="592" t="s">
        <v>2141</v>
      </c>
      <c r="D420" s="592" t="s">
        <v>3203</v>
      </c>
      <c r="E420" s="659" t="s">
        <v>3204</v>
      </c>
    </row>
    <row r="421" spans="2:5" hidden="1" outlineLevel="1">
      <c r="B421" s="408" t="s">
        <v>186</v>
      </c>
      <c r="C421" s="1307">
        <v>500</v>
      </c>
      <c r="D421" s="1307"/>
      <c r="E421" s="311">
        <v>0.6</v>
      </c>
    </row>
    <row r="422" spans="2:5" hidden="1" outlineLevel="1">
      <c r="B422" s="408" t="s">
        <v>426</v>
      </c>
      <c r="C422" s="11">
        <v>1000</v>
      </c>
      <c r="D422" s="11"/>
      <c r="E422" s="311">
        <v>0.3</v>
      </c>
    </row>
    <row r="423" spans="2:5" ht="14.5" hidden="1" outlineLevel="1" thickBot="1">
      <c r="B423" s="403" t="s">
        <v>185</v>
      </c>
      <c r="C423" s="14">
        <v>1000</v>
      </c>
      <c r="D423" s="14">
        <v>18000</v>
      </c>
      <c r="E423" s="313">
        <v>0.1</v>
      </c>
    </row>
    <row r="424" spans="2:5" hidden="1" outlineLevel="1"/>
    <row r="425" spans="2:5" hidden="1" outlineLevel="1">
      <c r="B425" s="1251" t="s">
        <v>2142</v>
      </c>
    </row>
    <row r="426" spans="2:5" hidden="1" outlineLevel="1"/>
    <row r="427" spans="2:5" ht="14.5" hidden="1" outlineLevel="1" thickBot="1">
      <c r="B427" s="1251" t="s">
        <v>2143</v>
      </c>
    </row>
    <row r="428" spans="2:5" hidden="1" outlineLevel="1">
      <c r="B428" s="543"/>
      <c r="C428" s="436" t="s">
        <v>2144</v>
      </c>
      <c r="D428" s="436" t="s">
        <v>3205</v>
      </c>
      <c r="E428" s="544" t="s">
        <v>3206</v>
      </c>
    </row>
    <row r="429" spans="2:5" ht="14.5" hidden="1" outlineLevel="1" thickBot="1">
      <c r="B429" s="546" t="s">
        <v>3207</v>
      </c>
      <c r="C429" s="99">
        <f>SUMPRODUCT(C423,E423)*(SUM(C386:E386)/10^6)*'Annexe - Logistique'!D29 + SUMPRODUCT(C421:C422,E421:E422)*(SUM(C386:E386)/10^6)*'Annexe - Logistique'!D30</f>
        <v>1.2236399999999998E-2</v>
      </c>
      <c r="D429" s="99">
        <f>D423*E423*(SUM(C386:E386)/10^6)*'Annexe - Logistique'!D28</f>
        <v>8.8063199999999994E-3</v>
      </c>
      <c r="E429" s="97">
        <f>SUM(Orthèses!C386:E386)*'Annexe - Logistique'!C42/10^3</f>
        <v>2.7539999999999999E-2</v>
      </c>
    </row>
    <row r="430" spans="2:5" hidden="1" outlineLevel="1">
      <c r="B430" s="1251"/>
    </row>
    <row r="431" spans="2:5" collapsed="1">
      <c r="B431" s="1251"/>
    </row>
    <row r="432" spans="2:5">
      <c r="B432" s="3" t="s">
        <v>3208</v>
      </c>
    </row>
    <row r="434" spans="2:16" ht="14.5" hidden="1" outlineLevel="1" thickBot="1">
      <c r="B434" s="1251" t="s">
        <v>3209</v>
      </c>
    </row>
    <row r="435" spans="2:16" ht="14.5" hidden="1" outlineLevel="1">
      <c r="B435" s="123" t="s">
        <v>525</v>
      </c>
      <c r="C435" s="155" t="s">
        <v>526</v>
      </c>
      <c r="D435" s="374" t="s">
        <v>165</v>
      </c>
      <c r="E435" s="375" t="s">
        <v>175</v>
      </c>
      <c r="F435" s="375" t="s">
        <v>163</v>
      </c>
      <c r="G435" s="375" t="s">
        <v>169</v>
      </c>
      <c r="H435" s="375" t="s">
        <v>161</v>
      </c>
      <c r="I435" s="375" t="s">
        <v>153</v>
      </c>
      <c r="J435" s="375" t="s">
        <v>171</v>
      </c>
      <c r="K435" s="375" t="s">
        <v>527</v>
      </c>
      <c r="L435" s="375" t="s">
        <v>167</v>
      </c>
      <c r="M435" s="375" t="s">
        <v>173</v>
      </c>
      <c r="N435" s="375" t="s">
        <v>159</v>
      </c>
      <c r="O435" s="375" t="s">
        <v>154</v>
      </c>
      <c r="P435" s="378" t="s">
        <v>157</v>
      </c>
    </row>
    <row r="436" spans="2:16" ht="15" hidden="1" outlineLevel="1" thickBot="1">
      <c r="B436" s="13" t="s">
        <v>3210</v>
      </c>
      <c r="C436" s="14">
        <v>902110</v>
      </c>
      <c r="D436" s="298">
        <v>0.12969497252127046</v>
      </c>
      <c r="E436" s="298">
        <v>1.0272519355780494E-3</v>
      </c>
      <c r="F436" s="298">
        <v>2.9652418969770653E-2</v>
      </c>
      <c r="G436" s="298">
        <v>1.1048784002951884E-3</v>
      </c>
      <c r="H436" s="298">
        <v>5.9350701376630399E-2</v>
      </c>
      <c r="I436" s="298">
        <v>0.41088429901595469</v>
      </c>
      <c r="J436" s="298">
        <v>8.4646984375113643E-4</v>
      </c>
      <c r="K436" s="298">
        <v>1.7365767441501483E-3</v>
      </c>
      <c r="L436" s="298">
        <v>1.9908739181460841E-2</v>
      </c>
      <c r="M436" s="298">
        <v>2.983349791232306E-5</v>
      </c>
      <c r="N436" s="298">
        <v>3.3282606491858199E-2</v>
      </c>
      <c r="O436" s="298">
        <v>0.2870291223919994</v>
      </c>
      <c r="P436" s="381">
        <v>2.5452129629368513E-2</v>
      </c>
    </row>
    <row r="437" spans="2:16" hidden="1" outlineLevel="1"/>
    <row r="438" spans="2:16" ht="14.5" hidden="1" outlineLevel="1" thickBot="1">
      <c r="B438" s="1251" t="s">
        <v>3211</v>
      </c>
      <c r="E438" s="1251"/>
      <c r="F438" s="1251"/>
    </row>
    <row r="439" spans="2:16" ht="15" hidden="1" outlineLevel="1" thickBot="1">
      <c r="B439" s="20" t="s">
        <v>143</v>
      </c>
      <c r="C439" s="882">
        <f>O436/(1+O436)</f>
        <v>0.22301680466914636</v>
      </c>
      <c r="F439" s="1251"/>
    </row>
    <row r="440" spans="2:16" hidden="1" outlineLevel="1">
      <c r="B440" s="1251"/>
      <c r="L440" s="41"/>
    </row>
    <row r="441" spans="2:16" ht="14.5" hidden="1" outlineLevel="1" thickBot="1">
      <c r="B441" s="1251" t="s">
        <v>3212</v>
      </c>
    </row>
    <row r="442" spans="2:16" ht="14.5" hidden="1" outlineLevel="1">
      <c r="B442" s="527"/>
      <c r="C442" s="375" t="s">
        <v>3213</v>
      </c>
      <c r="D442" s="378" t="s">
        <v>3205</v>
      </c>
    </row>
    <row r="443" spans="2:16" ht="14.5" hidden="1" outlineLevel="1">
      <c r="B443" s="528" t="s">
        <v>426</v>
      </c>
      <c r="C443" s="229">
        <f>3.35/(3.35+20.056)</f>
        <v>0.14312569426642741</v>
      </c>
      <c r="D443" s="311">
        <f>20.056/(3.35+20.056)</f>
        <v>0.85687430573357259</v>
      </c>
    </row>
    <row r="444" spans="2:16" ht="15" hidden="1" outlineLevel="1" thickBot="1">
      <c r="B444" s="883" t="s">
        <v>186</v>
      </c>
      <c r="C444" s="884">
        <f>170/(170+3683)</f>
        <v>4.4121463794445884E-2</v>
      </c>
      <c r="D444" s="377">
        <f>3683/(170+3683)</f>
        <v>0.95587853620555407</v>
      </c>
    </row>
    <row r="445" spans="2:16" ht="15" hidden="1" outlineLevel="1" thickBot="1">
      <c r="B445" s="534" t="s">
        <v>144</v>
      </c>
      <c r="C445" s="885">
        <f>AVERAGE(C443:C444)</f>
        <v>9.3623579030436638E-2</v>
      </c>
      <c r="D445" s="886">
        <f>AVERAGE(D443:D444)</f>
        <v>0.90637642096956328</v>
      </c>
    </row>
    <row r="446" spans="2:16" hidden="1" outlineLevel="1"/>
    <row r="447" spans="2:16" ht="14.5" hidden="1" outlineLevel="1" thickBot="1">
      <c r="B447" s="1251" t="s">
        <v>540</v>
      </c>
    </row>
    <row r="448" spans="2:16" ht="29" hidden="1" outlineLevel="1">
      <c r="B448" s="123" t="s">
        <v>525</v>
      </c>
      <c r="C448" s="158" t="s">
        <v>541</v>
      </c>
      <c r="D448" s="158" t="s">
        <v>542</v>
      </c>
      <c r="E448" s="158" t="s">
        <v>649</v>
      </c>
      <c r="F448" s="159" t="s">
        <v>543</v>
      </c>
    </row>
    <row r="449" spans="2:11" ht="15" hidden="1" outlineLevel="1" thickBot="1">
      <c r="B449" s="13" t="s">
        <v>3210</v>
      </c>
      <c r="C449" s="14">
        <f>(1-C439)*SUMPRODUCT(D436:P436,'Annexe - Logistique'!$D$12:$P$12) + C439*'Annexe - Logistique'!Q$12</f>
        <v>900.35712386986813</v>
      </c>
      <c r="D449" s="14">
        <f>D445*(1-C439)*SUMPRODUCT(D436:N436,'Annexe - Logistique'!$D$13:$N$13)</f>
        <v>7159.8968379779844</v>
      </c>
      <c r="E449" s="14">
        <f>C445*(1-C439)*SUMPRODUCT(D436:N436,'Annexe - Logistique'!$D$16:$N$16)</f>
        <v>398.47600270170994</v>
      </c>
      <c r="F449" s="38">
        <f>500</f>
        <v>500</v>
      </c>
    </row>
    <row r="450" spans="2:11" hidden="1" outlineLevel="1"/>
    <row r="451" spans="2:11" ht="14.5" hidden="1" outlineLevel="1" thickBot="1">
      <c r="B451" s="1251" t="s">
        <v>546</v>
      </c>
      <c r="D451" s="1251"/>
      <c r="G451" s="1251"/>
      <c r="H451" s="1251"/>
    </row>
    <row r="452" spans="2:11" ht="14.5" hidden="1" customHeight="1" outlineLevel="1">
      <c r="B452" s="123"/>
      <c r="C452" s="1541" t="s">
        <v>957</v>
      </c>
      <c r="D452" s="1542"/>
      <c r="E452" s="1542"/>
      <c r="F452" s="1543"/>
      <c r="G452" s="1541" t="s">
        <v>363</v>
      </c>
      <c r="H452" s="1542"/>
      <c r="I452" s="1542"/>
      <c r="J452" s="1543"/>
      <c r="K452" s="1613" t="s">
        <v>2922</v>
      </c>
    </row>
    <row r="453" spans="2:11" ht="43.5" hidden="1" outlineLevel="1">
      <c r="B453" s="382"/>
      <c r="C453" s="167" t="s">
        <v>550</v>
      </c>
      <c r="D453" s="167" t="s">
        <v>551</v>
      </c>
      <c r="E453" s="167" t="s">
        <v>653</v>
      </c>
      <c r="F453" s="167" t="s">
        <v>552</v>
      </c>
      <c r="G453" s="167" t="s">
        <v>550</v>
      </c>
      <c r="H453" s="167" t="s">
        <v>551</v>
      </c>
      <c r="I453" s="167" t="s">
        <v>653</v>
      </c>
      <c r="J453" s="167" t="s">
        <v>552</v>
      </c>
      <c r="K453" s="1614"/>
    </row>
    <row r="454" spans="2:11" hidden="1" outlineLevel="1">
      <c r="B454" s="562" t="s">
        <v>123</v>
      </c>
      <c r="C454" s="168">
        <f>(C386+D386+E386)*C$449*'Annexe - Logistique'!D$29/10^6</f>
        <v>1.9739429583722989E-2</v>
      </c>
      <c r="D454" s="168">
        <f>(C386+D386+E386)*D$449*'Annexe - Logistique'!D$28/10^6</f>
        <v>3.5029079290123492E-2</v>
      </c>
      <c r="E454" s="168">
        <f>(C386+D386+E386)*E$449*'Annexe - Logistique'!D$26/10^6</f>
        <v>5.1642489950141611E-2</v>
      </c>
      <c r="F454" s="168">
        <f>(C386+D386+E386)*F$449*'Annexe - Logistique'!D$30/10^6</f>
        <v>8.3700000000000007E-3</v>
      </c>
      <c r="G454" s="180">
        <f t="shared" ref="G454:G464" si="27">C454*$E153/10^6</f>
        <v>0.27851782815035708</v>
      </c>
      <c r="H454" s="180">
        <f t="shared" ref="H454:H464" si="28">D454*$E153/10^6</f>
        <v>0.49425050732148651</v>
      </c>
      <c r="I454" s="180">
        <f t="shared" ref="I454:I464" si="29">E454*$E153/10^6</f>
        <v>0.72866108314753464</v>
      </c>
      <c r="J454" s="180">
        <f t="shared" ref="J454:J464" si="30">F454*$E153/10^6</f>
        <v>0.11809835799615898</v>
      </c>
      <c r="K454" s="385">
        <f t="shared" ref="K454:K460" si="31">SUM(G454:J454)</f>
        <v>1.6195277766155372</v>
      </c>
    </row>
    <row r="455" spans="2:11" hidden="1" outlineLevel="1">
      <c r="B455" s="562" t="s">
        <v>2948</v>
      </c>
      <c r="C455" s="168">
        <f>(C387+D387+E387)*C$449*'Annexe - Logistique'!D$29/10^6</f>
        <v>9.7783285437887044E-2</v>
      </c>
      <c r="D455" s="168">
        <f>(C387+D387+E387)*D$449*'Annexe - Logistique'!D$28/10^6</f>
        <v>0.17352367981681541</v>
      </c>
      <c r="E455" s="168">
        <f>(C387+D387+E387)*E$449*'Annexe - Logistique'!D$26/10^6</f>
        <v>0.25582159373449781</v>
      </c>
      <c r="F455" s="168">
        <f>(C387+D387+E387)*F$449*'Annexe - Logistique'!D$30/10^6</f>
        <v>4.1462499999999999E-2</v>
      </c>
      <c r="G455" s="180">
        <f t="shared" si="27"/>
        <v>0.11074394961126893</v>
      </c>
      <c r="H455" s="180">
        <f t="shared" si="28"/>
        <v>0.1965233379911541</v>
      </c>
      <c r="I455" s="180">
        <f t="shared" si="29"/>
        <v>0.28972941090227217</v>
      </c>
      <c r="J455" s="180">
        <f t="shared" si="30"/>
        <v>4.6958137990505008E-2</v>
      </c>
      <c r="K455" s="385">
        <f>SUM(G455:J455)</f>
        <v>0.64395483649520024</v>
      </c>
    </row>
    <row r="456" spans="2:11" hidden="1" outlineLevel="1">
      <c r="B456" s="562" t="s">
        <v>2950</v>
      </c>
      <c r="C456" s="168">
        <f>(C388+D388+E388)*C$449*'Annexe - Logistique'!D$29/10^6</f>
        <v>4.0941039136610652E-2</v>
      </c>
      <c r="D456" s="168">
        <f>(C388+D388+E388)*D$449*'Annexe - Logistique'!D$28/10^6</f>
        <v>7.2652905194330208E-2</v>
      </c>
      <c r="E456" s="168">
        <f>(C388+D388+E388)*E$449*'Annexe - Logistique'!D$26/10^6</f>
        <v>0.10711034952621962</v>
      </c>
      <c r="F456" s="168">
        <f>(C388+D388+E388)*F$449*'Annexe - Logistique'!D$30/10^6</f>
        <v>1.736E-2</v>
      </c>
      <c r="G456" s="180">
        <f t="shared" si="27"/>
        <v>2.6072874995531681E-2</v>
      </c>
      <c r="H456" s="180">
        <f t="shared" si="28"/>
        <v>4.626824709732575E-2</v>
      </c>
      <c r="I456" s="180">
        <f t="shared" si="29"/>
        <v>6.8212112169559955E-2</v>
      </c>
      <c r="J456" s="180">
        <f t="shared" si="30"/>
        <v>1.1055535459471999E-2</v>
      </c>
      <c r="K456" s="385">
        <f t="shared" si="31"/>
        <v>0.15160876972188939</v>
      </c>
    </row>
    <row r="457" spans="2:11" hidden="1" outlineLevel="1">
      <c r="B457" s="562" t="s">
        <v>2951</v>
      </c>
      <c r="C457" s="168">
        <f>(C389+D389+E389)*C$449*'Annexe - Logistique'!D$29/10^6</f>
        <v>7.0550183512195122E-2</v>
      </c>
      <c r="D457" s="168">
        <f>(C389+D389+E389)*D$449*'Annexe - Logistique'!D$28/10^6</f>
        <v>0.1251965241295154</v>
      </c>
      <c r="E457" s="168">
        <f>(C389+D389+E389)*E$449*'Annexe - Logistique'!D$26/10^6</f>
        <v>0.18457408445143203</v>
      </c>
      <c r="F457" s="168">
        <f>(C389+D389+E389)*F$449*'Annexe - Logistique'!D$30/10^6</f>
        <v>2.9914999999999997E-2</v>
      </c>
      <c r="G457" s="180">
        <f t="shared" si="27"/>
        <v>4.5827423804383607E-2</v>
      </c>
      <c r="H457" s="180">
        <f t="shared" si="28"/>
        <v>8.132415657185757E-2</v>
      </c>
      <c r="I457" s="180">
        <f t="shared" si="29"/>
        <v>0.11989415718528559</v>
      </c>
      <c r="J457" s="180">
        <f t="shared" si="30"/>
        <v>1.9431946379999999E-2</v>
      </c>
      <c r="K457" s="385">
        <f t="shared" si="31"/>
        <v>0.26647768394152677</v>
      </c>
    </row>
    <row r="458" spans="2:11" hidden="1" outlineLevel="1">
      <c r="B458" s="562" t="s">
        <v>2952</v>
      </c>
      <c r="C458" s="168">
        <f>(C390+D390+E390)*C$449*'Annexe - Logistique'!D$29/10^6</f>
        <v>3.49095467638064E-2</v>
      </c>
      <c r="D458" s="168">
        <f>(C390+D390+E390)*D$449*'Annexe - Logistique'!D$28/10^6</f>
        <v>6.1949575411236912E-2</v>
      </c>
      <c r="E458" s="168">
        <f>(C390+D390+E390)*E$449*'Annexe - Logistique'!D$26/10^6</f>
        <v>9.133069981923192E-2</v>
      </c>
      <c r="F458" s="168">
        <f>(C390+D390+E390)*F$449*'Annexe - Logistique'!D$30/10^6</f>
        <v>1.48025E-2</v>
      </c>
      <c r="G458" s="180">
        <f t="shared" si="27"/>
        <v>2.2547791968848523E-2</v>
      </c>
      <c r="H458" s="180">
        <f t="shared" si="28"/>
        <v>4.0012726271750634E-2</v>
      </c>
      <c r="I458" s="180">
        <f t="shared" si="29"/>
        <v>5.898975526168803E-2</v>
      </c>
      <c r="J458" s="180">
        <f t="shared" si="30"/>
        <v>9.5608142058412667E-3</v>
      </c>
      <c r="K458" s="385">
        <f t="shared" si="31"/>
        <v>0.13111108770812846</v>
      </c>
    </row>
    <row r="459" spans="2:11" hidden="1" outlineLevel="1">
      <c r="B459" s="562" t="s">
        <v>2954</v>
      </c>
      <c r="C459" s="168">
        <f>(C391+D391+E391)*C$449*'Annexe - Logistique'!D$29/10^6</f>
        <v>2.2389630777833947E-2</v>
      </c>
      <c r="D459" s="168">
        <f>(C391+D391+E391)*D$449*'Annexe - Logistique'!D$28/10^6</f>
        <v>3.9732057528149331E-2</v>
      </c>
      <c r="E459" s="168">
        <f>(C391+D391+E391)*E$449*'Annexe - Logistique'!D$26/10^6</f>
        <v>5.8575972397151357E-2</v>
      </c>
      <c r="F459" s="168">
        <f>(C391+D391+E391)*F$449*'Annexe - Logistique'!D$30/10^6</f>
        <v>9.4937500000000005E-3</v>
      </c>
      <c r="G459" s="180">
        <f t="shared" si="27"/>
        <v>5.580413964698111E-2</v>
      </c>
      <c r="H459" s="180">
        <f t="shared" si="28"/>
        <v>9.9028577503734672E-2</v>
      </c>
      <c r="I459" s="180">
        <f t="shared" si="29"/>
        <v>0.14599533936238401</v>
      </c>
      <c r="J459" s="180">
        <f t="shared" si="30"/>
        <v>2.36623174375E-2</v>
      </c>
      <c r="K459" s="385">
        <f t="shared" si="31"/>
        <v>0.32449037395059982</v>
      </c>
    </row>
    <row r="460" spans="2:11" hidden="1" outlineLevel="1">
      <c r="B460" s="562" t="s">
        <v>2956</v>
      </c>
      <c r="C460" s="168">
        <f>(C392+D392+E392)*C$449*'Annexe - Logistique'!D$29/10^6</f>
        <v>4.2768764098066472E-2</v>
      </c>
      <c r="D460" s="168">
        <f>(C392+D392+E392)*D$449*'Annexe - Logistique'!D$28/10^6</f>
        <v>7.5896338461934221E-2</v>
      </c>
      <c r="E460" s="168">
        <f>(C392+D392+E392)*E$449*'Annexe - Logistique'!D$26/10^6</f>
        <v>0.11189206155864014</v>
      </c>
      <c r="F460" s="168">
        <f>(C392+D392+E392)*F$449*'Annexe - Logistique'!D$30/10^6</f>
        <v>1.8134999999999995E-2</v>
      </c>
      <c r="G460" s="180">
        <f t="shared" si="27"/>
        <v>1.5343208582653152E-2</v>
      </c>
      <c r="H460" s="180">
        <f t="shared" si="28"/>
        <v>2.7227659630541978E-2</v>
      </c>
      <c r="I460" s="180">
        <f t="shared" si="29"/>
        <v>4.0141053300039031E-2</v>
      </c>
      <c r="J460" s="180">
        <f t="shared" si="30"/>
        <v>6.5058949799999986E-3</v>
      </c>
      <c r="K460" s="386">
        <f t="shared" si="31"/>
        <v>8.9217816493234153E-2</v>
      </c>
    </row>
    <row r="461" spans="2:11" hidden="1" outlineLevel="1">
      <c r="B461" s="562" t="s">
        <v>2958</v>
      </c>
      <c r="C461" s="168">
        <f>(C393+D393+E393)*C$449*'Annexe - Logistique'!D$29/10^6</f>
        <v>8.8096343142171116E-2</v>
      </c>
      <c r="D461" s="168">
        <f>(C393+D393+E393)*D$449*'Annexe - Logistique'!D$28/10^6</f>
        <v>0.15633348349851411</v>
      </c>
      <c r="E461" s="168">
        <f>(C393+D393+E393)*E$449*'Annexe - Logistique'!D$26/10^6</f>
        <v>0.23047851996266902</v>
      </c>
      <c r="F461" s="168">
        <f>(C393+D393+E393)*F$449*'Annexe - Logistique'!D$30/10^6</f>
        <v>3.7354999999999999E-2</v>
      </c>
      <c r="G461" s="180">
        <f t="shared" si="27"/>
        <v>7.9339742826525589E-2</v>
      </c>
      <c r="H461" s="180">
        <f t="shared" si="28"/>
        <v>0.14079424790572881</v>
      </c>
      <c r="I461" s="180">
        <f t="shared" si="29"/>
        <v>0.20756941603541965</v>
      </c>
      <c r="J461" s="180">
        <f t="shared" si="30"/>
        <v>3.3641987710000001E-2</v>
      </c>
      <c r="K461" s="386">
        <f>SUM(G461:J461)</f>
        <v>0.46134539447767403</v>
      </c>
    </row>
    <row r="462" spans="2:11" hidden="1" outlineLevel="1">
      <c r="B462" s="562" t="s">
        <v>2959</v>
      </c>
      <c r="C462" s="168">
        <f>(C394+D394+E394)*C$449*'Annexe - Logistique'!D$29/10^6</f>
        <v>4.2768764098066472E-2</v>
      </c>
      <c r="D462" s="168">
        <f>(C394+D394+E394)*D$449*'Annexe - Logistique'!D$28/10^6</f>
        <v>7.5896338461934221E-2</v>
      </c>
      <c r="E462" s="168">
        <f>(C394+D394+E394)*E$449*'Annexe - Logistique'!D$26/10^6</f>
        <v>0.11189206155864014</v>
      </c>
      <c r="F462" s="168">
        <f>(C394+D394+E394)*F$449*'Annexe - Logistique'!D$30/10^6</f>
        <v>1.8134999999999995E-2</v>
      </c>
      <c r="G462" s="180">
        <f t="shared" si="27"/>
        <v>5.3888215075922775E-3</v>
      </c>
      <c r="H462" s="180">
        <f t="shared" si="28"/>
        <v>9.5628627498652499E-3</v>
      </c>
      <c r="I462" s="180">
        <f t="shared" si="29"/>
        <v>1.4098287864327097E-2</v>
      </c>
      <c r="J462" s="180">
        <f t="shared" si="30"/>
        <v>2.2849918649999997E-3</v>
      </c>
      <c r="K462" s="386">
        <f>SUM(G462:J462)</f>
        <v>3.1334963986784627E-2</v>
      </c>
    </row>
    <row r="463" spans="2:11" hidden="1" outlineLevel="1">
      <c r="B463" s="562" t="s">
        <v>2955</v>
      </c>
      <c r="C463" s="168">
        <f>(C395+D395+E395)*C$449*'Annexe - Logistique'!D$29/10^6</f>
        <v>1.9739429583722989E-2</v>
      </c>
      <c r="D463" s="168">
        <f>(C395+D395+E395)*D$449*'Annexe - Logistique'!D$28/10^6</f>
        <v>3.5029079290123492E-2</v>
      </c>
      <c r="E463" s="168">
        <f>(C395+D395+E395)*E$449*'Annexe - Logistique'!D$26/10^6</f>
        <v>5.1642489950141611E-2</v>
      </c>
      <c r="F463" s="168">
        <f>(C395+D395+E395)*F$449*'Annexe - Logistique'!D$30/10^6</f>
        <v>8.3700000000000007E-3</v>
      </c>
      <c r="G463" s="180">
        <f t="shared" si="27"/>
        <v>0.12862788313309154</v>
      </c>
      <c r="H463" s="180">
        <f t="shared" si="28"/>
        <v>0.22825970213978153</v>
      </c>
      <c r="I463" s="180">
        <f t="shared" si="29"/>
        <v>0.3365175337936902</v>
      </c>
      <c r="J463" s="180">
        <f t="shared" si="30"/>
        <v>5.4541362366000004E-2</v>
      </c>
      <c r="K463" s="386">
        <f>SUM(G463:J463)</f>
        <v>0.74794648143256337</v>
      </c>
    </row>
    <row r="464" spans="2:11" ht="14.5" hidden="1" outlineLevel="1" thickBot="1">
      <c r="B464" s="565" t="s">
        <v>2960</v>
      </c>
      <c r="C464" s="170">
        <f>(C396+D396+E396)*C$449*'Annexe - Logistique'!D$29/10^6</f>
        <v>0.13854155207835211</v>
      </c>
      <c r="D464" s="170">
        <f>(C396+D396+E396)*D$449*'Annexe - Logistique'!D$28/10^6</f>
        <v>0.24585224168438524</v>
      </c>
      <c r="E464" s="170">
        <f>(C396+D396+E396)*E$449*'Annexe - Logistique'!D$26/10^6</f>
        <v>0.36245377205747537</v>
      </c>
      <c r="F464" s="170">
        <f>(C396+D396+E396)*F$449*'Annexe - Logistique'!D$30/10^6</f>
        <v>5.8744999999999999E-2</v>
      </c>
      <c r="G464" s="18">
        <f t="shared" si="27"/>
        <v>0.2782334649264861</v>
      </c>
      <c r="H464" s="18">
        <f t="shared" si="28"/>
        <v>0.49374588372666955</v>
      </c>
      <c r="I464" s="18">
        <f t="shared" si="29"/>
        <v>0.72791712928257302</v>
      </c>
      <c r="J464" s="18">
        <f t="shared" si="30"/>
        <v>0.11797778104768608</v>
      </c>
      <c r="K464" s="851">
        <f>SUM(G464:J464)</f>
        <v>1.6178742589834147</v>
      </c>
    </row>
    <row r="465" spans="2:12" ht="14.5" hidden="1" outlineLevel="1" thickBot="1">
      <c r="F465" s="282" t="s">
        <v>83</v>
      </c>
      <c r="G465" s="384">
        <f t="shared" ref="G465:I465" si="32">SUM(G455:G464)</f>
        <v>0.76792930100336254</v>
      </c>
      <c r="H465" s="384">
        <f t="shared" si="32"/>
        <v>1.3627474015884098</v>
      </c>
      <c r="I465" s="384">
        <f t="shared" si="32"/>
        <v>2.0090641951572392</v>
      </c>
      <c r="J465" s="384">
        <f>SUM(J455:J464)</f>
        <v>0.32562076944200435</v>
      </c>
      <c r="K465" s="187">
        <f>SUM(K455:K464)</f>
        <v>4.4653616671910159</v>
      </c>
      <c r="L465" t="s">
        <v>3214</v>
      </c>
    </row>
    <row r="466" spans="2:12" hidden="1" outlineLevel="1"/>
    <row r="467" spans="2:12" ht="14.5" hidden="1" outlineLevel="1" thickBot="1">
      <c r="B467" s="1251" t="s">
        <v>2142</v>
      </c>
    </row>
    <row r="468" spans="2:12" ht="29" hidden="1" outlineLevel="1">
      <c r="B468" s="169" t="s">
        <v>3215</v>
      </c>
      <c r="C468" s="158" t="s">
        <v>957</v>
      </c>
      <c r="D468" s="159" t="s">
        <v>363</v>
      </c>
    </row>
    <row r="469" spans="2:12" hidden="1" outlineLevel="1">
      <c r="B469" s="562" t="s">
        <v>123</v>
      </c>
      <c r="C469" s="168">
        <f>(C386+D386+E386)*'Annexe - Logistique'!C$42/10^3</f>
        <v>2.7539999999999999E-2</v>
      </c>
      <c r="D469" s="131">
        <f t="shared" ref="D469:D479" si="33">C469*$E153/10^6</f>
        <v>0.38858169405187781</v>
      </c>
    </row>
    <row r="470" spans="2:12" hidden="1" outlineLevel="1">
      <c r="B470" s="562" t="s">
        <v>2948</v>
      </c>
      <c r="C470" s="168">
        <f>(C387+D387+E387)*'Annexe - Logistique'!C$42/10^3</f>
        <v>0.13642500000000002</v>
      </c>
      <c r="D470" s="131">
        <f t="shared" si="33"/>
        <v>0.15450742177521004</v>
      </c>
    </row>
    <row r="471" spans="2:12" hidden="1" outlineLevel="1">
      <c r="B471" s="562" t="s">
        <v>2950</v>
      </c>
      <c r="C471" s="168">
        <f>(C388+D388+E388)*'Annexe - Logistique'!C$42/10^3</f>
        <v>5.7120000000000004E-2</v>
      </c>
      <c r="D471" s="131">
        <f t="shared" si="33"/>
        <v>3.6376277963423999E-2</v>
      </c>
    </row>
    <row r="472" spans="2:12" hidden="1" outlineLevel="1">
      <c r="B472" s="562" t="s">
        <v>2951</v>
      </c>
      <c r="C472" s="168">
        <f>(C389+D389+E389)*'Annexe - Logistique'!C$42/10^3</f>
        <v>9.842999999999999E-2</v>
      </c>
      <c r="D472" s="131">
        <f t="shared" si="33"/>
        <v>6.3937371960000003E-2</v>
      </c>
    </row>
    <row r="473" spans="2:12" hidden="1" outlineLevel="1">
      <c r="B473" s="562" t="s">
        <v>2952</v>
      </c>
      <c r="C473" s="168">
        <f>(C390+D390+E390)*'Annexe - Logistique'!C$42/10^3</f>
        <v>4.8704999999999998E-2</v>
      </c>
      <c r="D473" s="131">
        <f t="shared" si="33"/>
        <v>3.1458162870832557E-2</v>
      </c>
    </row>
    <row r="474" spans="2:12" hidden="1" outlineLevel="1">
      <c r="B474" s="562" t="s">
        <v>2954</v>
      </c>
      <c r="C474" s="168">
        <f>(C391+D391+E391)*'Annexe - Logistique'!C$42/10^3</f>
        <v>3.1237500000000001E-2</v>
      </c>
      <c r="D474" s="131">
        <f t="shared" si="33"/>
        <v>7.7856657375000013E-2</v>
      </c>
    </row>
    <row r="475" spans="2:12" hidden="1" outlineLevel="1">
      <c r="B475" s="562" t="s">
        <v>2956</v>
      </c>
      <c r="C475" s="168">
        <f>(C392+D392+E392)*'Annexe - Logistique'!C$42/10^3</f>
        <v>5.9669999999999994E-2</v>
      </c>
      <c r="D475" s="131">
        <f t="shared" si="33"/>
        <v>2.1406493159999998E-2</v>
      </c>
    </row>
    <row r="476" spans="2:12" hidden="1" outlineLevel="1">
      <c r="B476" s="562" t="s">
        <v>2958</v>
      </c>
      <c r="C476" s="168">
        <f>(C393+D393+E393)*'Annexe - Logistique'!C$42/10^3</f>
        <v>0.12290999999999999</v>
      </c>
      <c r="D476" s="131">
        <f t="shared" si="33"/>
        <v>0.11069299181999999</v>
      </c>
    </row>
    <row r="477" spans="2:12" hidden="1" outlineLevel="1">
      <c r="B477" s="562" t="s">
        <v>2959</v>
      </c>
      <c r="C477" s="168">
        <f>(C394+D394+E394)*'Annexe - Logistique'!C$42/10^3</f>
        <v>5.9669999999999994E-2</v>
      </c>
      <c r="D477" s="131">
        <f t="shared" si="33"/>
        <v>7.5183603299999995E-3</v>
      </c>
    </row>
    <row r="478" spans="2:12" hidden="1" outlineLevel="1">
      <c r="B478" s="562" t="s">
        <v>2955</v>
      </c>
      <c r="C478" s="168">
        <f>(C395+D395+E395)*'Annexe - Logistique'!C$42/10^3</f>
        <v>2.7539999999999999E-2</v>
      </c>
      <c r="D478" s="131">
        <f t="shared" si="33"/>
        <v>0.17945867617199998</v>
      </c>
    </row>
    <row r="479" spans="2:12" ht="14.5" hidden="1" outlineLevel="1" thickBot="1">
      <c r="B479" s="565" t="s">
        <v>2960</v>
      </c>
      <c r="C479" s="170">
        <f>(C396+D396+E396)*'Annexe - Logistique'!C$42/10^3</f>
        <v>0.19328999999999999</v>
      </c>
      <c r="D479" s="19">
        <f t="shared" si="33"/>
        <v>0.38818495699561223</v>
      </c>
    </row>
    <row r="480" spans="2:12" ht="14.5" hidden="1" outlineLevel="1" thickBot="1">
      <c r="C480" s="282" t="s">
        <v>83</v>
      </c>
      <c r="D480" s="187">
        <f>SUM(C470:C479)</f>
        <v>0.83499749999999995</v>
      </c>
      <c r="E480" t="s">
        <v>3214</v>
      </c>
    </row>
    <row r="481" spans="2:5" hidden="1" outlineLevel="1"/>
    <row r="482" spans="2:5" ht="14.5" hidden="1" outlineLevel="1" thickBot="1">
      <c r="B482" s="1251" t="s">
        <v>2142</v>
      </c>
    </row>
    <row r="483" spans="2:5" hidden="1" outlineLevel="1">
      <c r="B483" s="280" t="s">
        <v>3216</v>
      </c>
      <c r="C483" s="183">
        <f>K465</f>
        <v>4.4653616671910159</v>
      </c>
    </row>
    <row r="484" spans="2:5" hidden="1" outlineLevel="1">
      <c r="B484" s="276" t="s">
        <v>3217</v>
      </c>
      <c r="C484" s="131">
        <f>D480</f>
        <v>0.83499749999999995</v>
      </c>
    </row>
    <row r="485" spans="2:5" ht="14.5" hidden="1" outlineLevel="1" thickBot="1">
      <c r="B485" s="281" t="s">
        <v>3218</v>
      </c>
      <c r="C485" s="887">
        <f>C484+C483</f>
        <v>5.300359167191016</v>
      </c>
    </row>
    <row r="486" spans="2:5" hidden="1" outlineLevel="1"/>
    <row r="487" spans="2:5" collapsed="1">
      <c r="B487" s="1251"/>
    </row>
    <row r="488" spans="2:5" ht="18">
      <c r="B488" s="258" t="s">
        <v>3219</v>
      </c>
    </row>
    <row r="490" spans="2:5" ht="14.5" hidden="1" outlineLevel="1" thickBot="1">
      <c r="B490" s="1251" t="s">
        <v>559</v>
      </c>
    </row>
    <row r="491" spans="2:5" ht="14.5" hidden="1" outlineLevel="1">
      <c r="B491" s="4"/>
      <c r="C491" s="5" t="s">
        <v>73</v>
      </c>
      <c r="D491" s="5" t="s">
        <v>301</v>
      </c>
      <c r="E491" s="6" t="s">
        <v>70</v>
      </c>
    </row>
    <row r="492" spans="2:5" ht="14.5" hidden="1" outlineLevel="1" thickBot="1">
      <c r="B492" s="565" t="s">
        <v>563</v>
      </c>
      <c r="C492" s="22">
        <v>386</v>
      </c>
      <c r="D492" s="22" t="s">
        <v>561</v>
      </c>
      <c r="E492" s="1326" t="s">
        <v>564</v>
      </c>
    </row>
    <row r="493" spans="2:5" hidden="1" outlineLevel="1"/>
    <row r="494" spans="2:5" ht="14.5" hidden="1" outlineLevel="1" thickBot="1">
      <c r="B494" s="1251" t="s">
        <v>565</v>
      </c>
    </row>
    <row r="495" spans="2:5" ht="28.5" hidden="1" outlineLevel="1">
      <c r="B495" s="4"/>
      <c r="C495" s="399" t="s">
        <v>3200</v>
      </c>
      <c r="D495" s="400" t="s">
        <v>363</v>
      </c>
    </row>
    <row r="496" spans="2:5" hidden="1" outlineLevel="1">
      <c r="B496" s="562" t="s">
        <v>3220</v>
      </c>
      <c r="C496" s="1420">
        <f t="shared" ref="C496:C506" si="34">$C$492*C386/10^6 + $C$492*(D386+E386)/10^6</f>
        <v>4.1688000000000003E-2</v>
      </c>
      <c r="D496" s="1301">
        <f t="shared" ref="D496:D506" si="35">C496*E153/10^6</f>
        <v>0.58820601530990146</v>
      </c>
    </row>
    <row r="497" spans="2:4" hidden="1" outlineLevel="1">
      <c r="B497" s="562" t="s">
        <v>2948</v>
      </c>
      <c r="C497" s="1420">
        <f t="shared" si="34"/>
        <v>0.20651</v>
      </c>
      <c r="D497" s="1301">
        <f t="shared" si="35"/>
        <v>0.23388182276561201</v>
      </c>
    </row>
    <row r="498" spans="2:4" hidden="1" outlineLevel="1">
      <c r="B498" s="562" t="s">
        <v>2950</v>
      </c>
      <c r="C498" s="1420">
        <f t="shared" si="34"/>
        <v>8.6463999999999999E-2</v>
      </c>
      <c r="D498" s="1301">
        <f t="shared" si="35"/>
        <v>5.5063699191692801E-2</v>
      </c>
    </row>
    <row r="499" spans="2:4" hidden="1" outlineLevel="1">
      <c r="B499" s="562" t="s">
        <v>2951</v>
      </c>
      <c r="C499" s="1420">
        <f t="shared" si="34"/>
        <v>0.14899599999999996</v>
      </c>
      <c r="D499" s="1301">
        <f t="shared" si="35"/>
        <v>9.6783629711999983E-2</v>
      </c>
    </row>
    <row r="500" spans="2:4" hidden="1" outlineLevel="1">
      <c r="B500" s="562" t="s">
        <v>2952</v>
      </c>
      <c r="C500" s="1420">
        <f t="shared" si="34"/>
        <v>7.3726E-2</v>
      </c>
      <c r="D500" s="1301">
        <f t="shared" si="35"/>
        <v>4.7619023012319087E-2</v>
      </c>
    </row>
    <row r="501" spans="2:4" hidden="1" outlineLevel="1">
      <c r="B501" s="562" t="s">
        <v>2954</v>
      </c>
      <c r="C501" s="1420">
        <f t="shared" si="34"/>
        <v>4.7284999999999994E-2</v>
      </c>
      <c r="D501" s="1301">
        <f t="shared" si="35"/>
        <v>0.11785360684999999</v>
      </c>
    </row>
    <row r="502" spans="2:4" hidden="1" outlineLevel="1">
      <c r="B502" s="562" t="s">
        <v>2956</v>
      </c>
      <c r="C502" s="1420">
        <f t="shared" si="34"/>
        <v>9.0323999999999988E-2</v>
      </c>
      <c r="D502" s="1301">
        <f t="shared" si="35"/>
        <v>3.2403554351999993E-2</v>
      </c>
    </row>
    <row r="503" spans="2:4" hidden="1" outlineLevel="1">
      <c r="B503" s="562" t="s">
        <v>2958</v>
      </c>
      <c r="C503" s="1420">
        <f t="shared" si="34"/>
        <v>0.18605200000000002</v>
      </c>
      <c r="D503" s="1301">
        <f t="shared" si="35"/>
        <v>0.16755880330400003</v>
      </c>
    </row>
    <row r="504" spans="2:4" hidden="1" outlineLevel="1">
      <c r="B504" s="562" t="s">
        <v>2959</v>
      </c>
      <c r="C504" s="1420">
        <f t="shared" si="34"/>
        <v>9.0323999999999988E-2</v>
      </c>
      <c r="D504" s="1301">
        <f t="shared" si="35"/>
        <v>1.1380733675999998E-2</v>
      </c>
    </row>
    <row r="505" spans="2:4" hidden="1" outlineLevel="1">
      <c r="B505" s="562" t="s">
        <v>2955</v>
      </c>
      <c r="C505" s="1420">
        <f t="shared" si="34"/>
        <v>4.1688000000000003E-2</v>
      </c>
      <c r="D505" s="1301">
        <f t="shared" si="35"/>
        <v>0.27165117255840004</v>
      </c>
    </row>
    <row r="506" spans="2:4" ht="14.5" hidden="1" outlineLevel="1" thickBot="1">
      <c r="B506" s="565" t="s">
        <v>2960</v>
      </c>
      <c r="C506" s="1421">
        <f t="shared" si="34"/>
        <v>0.29258800000000001</v>
      </c>
      <c r="D506" s="1265">
        <f t="shared" si="35"/>
        <v>0.58760546431492688</v>
      </c>
    </row>
    <row r="507" spans="2:4" ht="14.5" hidden="1" outlineLevel="1" thickBot="1">
      <c r="C507" s="745" t="s">
        <v>83</v>
      </c>
      <c r="D507" s="881">
        <f>SUM(D496:D506)</f>
        <v>2.2100075250468523</v>
      </c>
    </row>
    <row r="508" spans="2:4" hidden="1" outlineLevel="1"/>
    <row r="509" spans="2:4" collapsed="1"/>
  </sheetData>
  <mergeCells count="4">
    <mergeCell ref="A1:XFD2"/>
    <mergeCell ref="K452:K453"/>
    <mergeCell ref="C452:F452"/>
    <mergeCell ref="G452:J452"/>
  </mergeCells>
  <phoneticPr fontId="33" type="noConversion"/>
  <conditionalFormatting sqref="A1:XFD2">
    <cfRule type="containsBlanks" dxfId="12" priority="5">
      <formula>LEN(TRIM(A1))=0</formula>
    </cfRule>
  </conditionalFormatting>
  <conditionalFormatting sqref="D436">
    <cfRule type="colorScale" priority="1">
      <colorScale>
        <cfvo type="min"/>
        <cfvo type="percentile" val="50"/>
        <cfvo type="max"/>
        <color rgb="FFFCFCFF"/>
        <color rgb="FFDDF0C8"/>
        <color rgb="FF63BE7B"/>
      </colorScale>
    </cfRule>
  </conditionalFormatting>
  <conditionalFormatting sqref="E436:P436">
    <cfRule type="colorScale" priority="2">
      <colorScale>
        <cfvo type="min"/>
        <cfvo type="percentile" val="50"/>
        <cfvo type="max"/>
        <color rgb="FFFCFCFF"/>
        <color rgb="FFDDF0C8"/>
        <color rgb="FF63BE7B"/>
      </colorScale>
    </cfRule>
  </conditionalFormatting>
  <hyperlinks>
    <hyperlink ref="S289" r:id="rId1" display="https://www.sigvaris.com/fr-fr/catalogue/marques/mobilis/genou/mobilis-genuactive-pad-genouillere" xr:uid="{08A7B470-6BC6-4D00-8701-CC115A7F4530}"/>
    <hyperlink ref="S290" r:id="rId2" display="https://www.sigvaris.com/fr-fr/catalogue/marques/mobilis/genou/mobilis-genuintense-0--attelle-de-genou" xr:uid="{E04D2BB0-C251-46B5-A0E5-AE97AE1F964C}"/>
    <hyperlink ref="S291" r:id="rId3" display="https://www.sigvaris.com/fr-fr/catalogue/marques/mobilis/cheville/mobilis-malleoactive-pad-chevillere" xr:uid="{2EF4EF2C-1268-4696-BBAC-1C2454D2437F}"/>
    <hyperlink ref="E365" r:id="rId4" display="https://www.sigvaris.com/fr-fr/catalogue/modeles/semelles/venoped-classic-semelle" xr:uid="{5E61D507-C9FE-473B-95EE-8913D28B1E3B}"/>
    <hyperlink ref="H181" r:id="rId5" display="https://www.sigvaris.com/fr-fr/catalogue/marques/sigvaris/styles/opaque-collant-de-contention-collant" xr:uid="{1913D915-1765-4DD3-A039-15F7819CF92E}"/>
    <hyperlink ref="H180" r:id="rId6" display="https://www.sigvaris.com/fr-fr/catalogue/marques/sigvaris/styles/opaque-collant-de-contention-collant" xr:uid="{268AB951-5294-415E-B909-AC01919D70BF}"/>
    <hyperlink ref="S293" r:id="rId7" display="https://www.sigvaris.com/fr-fr/catalogue/marques/mobilis/cheville/mobilis-malleointense-attelle-de-cheville" xr:uid="{45231712-102E-4208-BF56-67ADE17926A8}"/>
    <hyperlink ref="H177" r:id="rId8" display="https://www.sigvaris.com/fr-fr/catalogue/marques/sigvaris/styles/transparent-bas-de-contention-bas" xr:uid="{E9C58ED1-C46F-476C-9C20-F790FD24D87A}"/>
    <hyperlink ref="H178" r:id="rId9" display="https://www.sigvaris.com/fr-fr/catalogue/modeles/bas-de-contention/semi-transparent-bas-de-contention-bas" xr:uid="{FFD74DD3-C4C1-461D-9B7A-254ACB8C9E1D}"/>
    <hyperlink ref="H179" r:id="rId10" display="https://www.sigvaris.com/fr-fr/catalogue/marques/sigvaris/styles/opaque-bas-de-contention-bas" xr:uid="{ABDB91C1-82A5-4C0C-BB40-90B6C88C8097}"/>
    <hyperlink ref="H175" r:id="rId11" display="https://www.sigvaris.com/fr-fr/catalogue/marques/sigvaris/styles/opaque-chaussettes-de-contention-chaussettes" xr:uid="{414057C0-20EE-4BDD-B0C2-2226020B0C30}"/>
    <hyperlink ref="H174" r:id="rId12" display="https://www.sigvaris.com/fr-fr/catalogue/marques/sigvaris/styles/transparent-chaussettes-de-contention-chaussettes" xr:uid="{677826E4-ED47-4DF0-BC6A-E97A5C12CA09}"/>
    <hyperlink ref="H176" r:id="rId13" display="https://www.sigvaris.com/fr-fr/catalogue/marques/sigvaris/active/coton-bio-55-chaussettes-de-contention-femme-chaussettes" xr:uid="{FC8CEC43-2A81-45F2-BEF9-8F7EEEB12817}"/>
    <hyperlink ref="S294" r:id="rId14" display="https://www.sigvaris.com/fr-fr/catalogue/marques/mobilis/poignet-et-pouce/mobilis-manuactive-attelle-de-poignet" xr:uid="{DF070CB9-0C04-4208-B76E-D3E0E6533537}"/>
    <hyperlink ref="S295" r:id="rId15" display="https://www.sigvaris.com/fr-fr/catalogue/marques/mobilis/poignet-et-pouce/mobilis-manusupport-attelle-de-poignet" xr:uid="{7249ADA8-4965-4E3E-9E9E-2C50E4FDEB87}"/>
    <hyperlink ref="S296" r:id="rId16" display="https://www.sigvaris.com/fr-fr/catalogue/marques/mobilis/poignet-et-pouce/mobilis-rhizosupport-attelle-de-pouce" xr:uid="{7E4DAA0E-02E5-48E4-B80D-0808BDE75B76}"/>
    <hyperlink ref="S292" r:id="rId17" display="https://www.sigvaris.com/fr-fr/catalogue/marques/mobilis/cheville/mobilis-malleosupport-chevillere" xr:uid="{D63FC6D8-7E9E-4CA7-9AB7-40939211A3E0}"/>
    <hyperlink ref="C299" r:id="rId18" display="https://www.catalogues-pharmagency.fr/wp-content/uploads/Donjoy.pdf" xr:uid="{FFCB3650-7411-45F9-8FAA-0BBADB32671D}"/>
    <hyperlink ref="C232" r:id="rId19" display="https://www.thuasne.shop/products/ceinture-soutien-lombaire-sport" xr:uid="{BE14A24A-EC74-400E-95CD-04CE930652DF}"/>
    <hyperlink ref="C233" r:id="rId20" display="https://www.decathlon.fr/p/ceinture-lombaire-de-maintien-adulte-ceinture-lombaire-r500-noire/_/R-p-345787?mc=8796399" xr:uid="{564549BC-73D2-45CF-845C-5CBB52D8434A}"/>
    <hyperlink ref="C235" r:id="rId21" display="https://gimedlab.com/accueil/141-ceinture-lombaire.html" xr:uid="{498D2E90-FD74-4692-BBE9-702676043587}"/>
    <hyperlink ref="B259" r:id="rId22" display="https://www.sport-orthese.com/cou-cervicales/1188-collier-cervical-c2-semi-rigide-gibaud.html" xr:uid="{54DF1810-D148-422E-8933-C58960AC0AA2}"/>
    <hyperlink ref="D259" r:id="rId23" display="https://www.espace-contention.com/collier-cervical-c1-colluactive-mobilis-by-sigvaris-xml-25423_25454_27763-243812.html" xr:uid="{A681DB32-613B-4CDF-AE69-BDD0FAD6750E}"/>
    <hyperlink ref="I259" r:id="rId24" display="https://www.pharmacie-du-centre-albert.fr/produit/thuasne-ortel-c3-collier-cervical-rigide-mentonniere-reglable-en-hauteur-maintien-ferme-du-rachis-cervical-pour-lesions-moderees-entorse-moyenne-stable-nevralgie-cercico-brachiale-1-unite-588400" xr:uid="{8B66D505-D7CB-4FA1-9608-F70C86D12448}"/>
    <hyperlink ref="N259" r:id="rId25" display="https://www.colispharma.be/fr/colliers-cervicaux/2628-thuasne-collier-cervical-ortel-c1-anatomic-bleu-hauteur-6-cm-taille-2.html" xr:uid="{0002F560-9124-4EE7-A6E6-B07525C1545D}"/>
    <hyperlink ref="B73" r:id="rId26" display="https://www.lemoniteurdespharmacies.fr/actu/actualites/actus-socio-professionnelles/l-orthopedie-une-valeur-ajoutee-a-l-officine.html" xr:uid="{E72B110F-BC3B-4A5A-BC87-F5F4F0119629}"/>
    <hyperlink ref="B74" r:id="rId27" display="http://www.lepharmaciendefrance.fr/article-print/lorthopedie-se-porte-bien" xr:uid="{B249C64E-758A-4A36-B6F7-03EC526E9555}"/>
    <hyperlink ref="B344" r:id="rId28" display="https://assets-eu-01.kc-usercontent.com/8ff24b0e-57a3-0157-62d1-fa4ac9734eb5/dd6e8c80-ae40-4535-886f-674ef8c54dea/Whitepaper_Footprint Forensics When Is Additive Manufacturing Sustainable_EN.pdf" xr:uid="{EE7BC591-4ABD-40B7-883A-125AEB770409}"/>
    <hyperlink ref="C234" r:id="rId29" location=":~:text=Poids%20de%20la%20ceinture%20%3A%20environ,ou%20d%27%C3%A9poxy%2Dpolyester." display="https://www.universsante-catalogue.com/ceinture-lombaire-hauteur-21-cm-dorsamix--velpeau-letr-32550.html - :~:text=Poids%20de%20la%20ceinture%20%3A%20environ,ou%20d%27%C3%A9poxy%2Dpolyester." xr:uid="{98F4D8B1-6DE1-4051-8E03-9578080A1197}"/>
    <hyperlink ref="C236" r:id="rId30" display="https://couleursenior.com/supports-pour-le-dos/1983-support-dorsal-doublure-titane-3456850706963.html" xr:uid="{12A38B2F-57DB-4FE0-9091-4C5F5A394C56}"/>
    <hyperlink ref="C237" r:id="rId31" display="https://www.sigvaris.com/fr-fr/catalogue/marques/mobilis/dos-et-abdominaux/mobilis-lumbosupport-ceinture-lombaire" xr:uid="{17A798E1-CB28-4CFC-B77A-D89B1EBC66BE}"/>
    <hyperlink ref="G266" r:id="rId32" display="https://www.sigvaris.com/fr-fr/catalogue/marques/mobilis/cou/mobilis-colluactive-collier-cervical" xr:uid="{1E3CAC23-D90B-483E-84A3-DD323201B91E}"/>
  </hyperlinks>
  <pageMargins left="0.7" right="0.7" top="0.75" bottom="0.75" header="0.3" footer="0.3"/>
  <pageSetup paperSize="9" orientation="portrait" r:id="rId33"/>
  <drawing r:id="rId34"/>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3C8ED3-6F35-43BB-A16B-FD0970F4CF7C}">
  <sheetPr>
    <tabColor theme="6"/>
  </sheetPr>
  <dimension ref="A1:T421"/>
  <sheetViews>
    <sheetView zoomScale="60" zoomScaleNormal="60" workbookViewId="0">
      <selection sqref="A1:XFD2"/>
    </sheetView>
  </sheetViews>
  <sheetFormatPr baseColWidth="10" defaultColWidth="11" defaultRowHeight="14" outlineLevelRow="1"/>
  <cols>
    <col min="2" max="2" width="63" customWidth="1"/>
    <col min="3" max="3" width="18.5" customWidth="1"/>
    <col min="4" max="4" width="16.5" customWidth="1"/>
    <col min="5" max="5" width="17.6640625" customWidth="1"/>
    <col min="6" max="6" width="18.83203125" customWidth="1"/>
    <col min="7" max="7" width="51.1640625" customWidth="1"/>
    <col min="8" max="8" width="15.83203125" customWidth="1"/>
    <col min="9" max="9" width="13.33203125" bestFit="1" customWidth="1"/>
    <col min="10" max="10" width="12" customWidth="1"/>
    <col min="11" max="11" width="10.83203125" bestFit="1" customWidth="1"/>
    <col min="12" max="12" width="13.83203125" bestFit="1" customWidth="1"/>
    <col min="13" max="13" width="10.6640625" bestFit="1" customWidth="1"/>
    <col min="14" max="14" width="10.83203125" bestFit="1" customWidth="1"/>
    <col min="15" max="15" width="13.33203125" bestFit="1" customWidth="1"/>
    <col min="16" max="16" width="10.83203125" bestFit="1" customWidth="1"/>
    <col min="17" max="17" width="14" customWidth="1"/>
  </cols>
  <sheetData>
    <row r="1" spans="1:20" s="1505" customFormat="1">
      <c r="A1" s="1505" t="s">
        <v>41</v>
      </c>
    </row>
    <row r="2" spans="1:20" s="1505" customFormat="1"/>
    <row r="5" spans="1:20">
      <c r="B5" s="1251" t="s">
        <v>42</v>
      </c>
    </row>
    <row r="6" spans="1:20">
      <c r="B6" s="1251"/>
    </row>
    <row r="8" spans="1:20" ht="23.5">
      <c r="B8" s="2" t="s">
        <v>180</v>
      </c>
    </row>
    <row r="9" spans="1:20">
      <c r="C9" s="1004"/>
    </row>
    <row r="10" spans="1:20" ht="14.5" hidden="1" outlineLevel="1" thickBot="1">
      <c r="B10" s="1251" t="s">
        <v>954</v>
      </c>
    </row>
    <row r="11" spans="1:20" ht="42" hidden="1" outlineLevel="1">
      <c r="B11" s="398" t="s">
        <v>3221</v>
      </c>
      <c r="C11" s="1034" t="s">
        <v>83</v>
      </c>
      <c r="D11" s="398" t="s">
        <v>84</v>
      </c>
      <c r="E11" s="399" t="s">
        <v>3222</v>
      </c>
      <c r="F11" s="399" t="s">
        <v>86</v>
      </c>
      <c r="G11" s="399" t="s">
        <v>87</v>
      </c>
      <c r="H11" s="399" t="s">
        <v>2942</v>
      </c>
      <c r="I11" s="399" t="s">
        <v>196</v>
      </c>
      <c r="J11" s="399" t="s">
        <v>3223</v>
      </c>
      <c r="K11" s="400" t="s">
        <v>89</v>
      </c>
      <c r="O11" s="398" t="s">
        <v>84</v>
      </c>
      <c r="P11" s="399" t="s">
        <v>187</v>
      </c>
      <c r="Q11" s="399" t="s">
        <v>86</v>
      </c>
      <c r="R11" s="399" t="s">
        <v>88</v>
      </c>
      <c r="S11" s="400" t="s">
        <v>89</v>
      </c>
    </row>
    <row r="12" spans="1:20" ht="14.5" hidden="1" outlineLevel="1" thickBot="1">
      <c r="B12" s="393" t="s">
        <v>3224</v>
      </c>
      <c r="C12" s="1033">
        <f>SUM(D12:K12)</f>
        <v>133.37514537808792</v>
      </c>
      <c r="D12" s="213">
        <f t="shared" ref="D12:D18" si="0">D264</f>
        <v>59.736383235771683</v>
      </c>
      <c r="E12" s="180">
        <f t="shared" ref="E12:E18" si="1">G280</f>
        <v>39.150512565699017</v>
      </c>
      <c r="F12" s="180">
        <f t="shared" ref="F12:F18" si="2">F316</f>
        <v>1.8684689805473225</v>
      </c>
      <c r="G12" s="180">
        <f>E302</f>
        <v>0.22926825058873113</v>
      </c>
      <c r="H12" s="180">
        <f t="shared" ref="H12:H18" si="3">I362</f>
        <v>10.36048303241507</v>
      </c>
      <c r="I12" s="180">
        <f>D376</f>
        <v>4.8531888448766836</v>
      </c>
      <c r="J12" s="180">
        <f>C401</f>
        <v>5.1956721153846157</v>
      </c>
      <c r="K12" s="836">
        <f>E412</f>
        <v>11.981168352804806</v>
      </c>
      <c r="O12" s="1189">
        <f>D19</f>
        <v>372.33819629219209</v>
      </c>
      <c r="P12" s="467">
        <f>E19</f>
        <v>70.927161596567416</v>
      </c>
      <c r="Q12" s="467">
        <f>F19</f>
        <v>4.5895000866475399</v>
      </c>
      <c r="R12" s="467">
        <f>H19+I19+J19</f>
        <v>50.287693823826537</v>
      </c>
      <c r="S12" s="186">
        <f>J19+K19</f>
        <v>34.62488596148718</v>
      </c>
    </row>
    <row r="13" spans="1:20" hidden="1" outlineLevel="1">
      <c r="B13" s="393" t="s">
        <v>3225</v>
      </c>
      <c r="C13" s="1033">
        <f t="shared" ref="C13:C18" si="4">SUM(D13:K13)</f>
        <v>113.8738195023644</v>
      </c>
      <c r="D13" s="213">
        <f t="shared" si="0"/>
        <v>88.909755434498052</v>
      </c>
      <c r="E13" s="180">
        <f t="shared" si="1"/>
        <v>0</v>
      </c>
      <c r="F13" s="180">
        <f t="shared" si="2"/>
        <v>1.270925370769777</v>
      </c>
      <c r="G13" s="180"/>
      <c r="H13" s="180">
        <f t="shared" si="3"/>
        <v>12.242474069596572</v>
      </c>
      <c r="I13" s="180">
        <f t="shared" ref="I13:I18" si="5">D377</f>
        <v>3.3011202735</v>
      </c>
      <c r="J13" s="180"/>
      <c r="K13" s="836">
        <f t="shared" ref="K13:K18" si="6">E413</f>
        <v>8.1495443539999997</v>
      </c>
    </row>
    <row r="14" spans="1:20" hidden="1" outlineLevel="1">
      <c r="B14" s="393" t="s">
        <v>3226</v>
      </c>
      <c r="C14" s="1033">
        <f t="shared" si="4"/>
        <v>29.374640957568079</v>
      </c>
      <c r="D14" s="213">
        <f t="shared" si="0"/>
        <v>20.683015431887814</v>
      </c>
      <c r="E14" s="180">
        <f t="shared" si="1"/>
        <v>4.9075762282898516</v>
      </c>
      <c r="F14" s="180">
        <f t="shared" si="2"/>
        <v>0.22548088781188083</v>
      </c>
      <c r="G14" s="180"/>
      <c r="H14" s="180">
        <f t="shared" si="3"/>
        <v>1.5270517795493577</v>
      </c>
      <c r="I14" s="180">
        <f t="shared" si="5"/>
        <v>0.58566737840141281</v>
      </c>
      <c r="J14" s="180"/>
      <c r="K14" s="836">
        <f t="shared" si="6"/>
        <v>1.4458492516277641</v>
      </c>
      <c r="S14" s="1251"/>
    </row>
    <row r="15" spans="1:20" hidden="1" outlineLevel="1">
      <c r="B15" s="393" t="s">
        <v>3227</v>
      </c>
      <c r="C15" s="1033">
        <f t="shared" si="4"/>
        <v>47.309734116136113</v>
      </c>
      <c r="D15" s="213">
        <f t="shared" si="0"/>
        <v>39.084195657267621</v>
      </c>
      <c r="E15" s="180">
        <f t="shared" si="1"/>
        <v>4.6614643010648278</v>
      </c>
      <c r="F15" s="180">
        <f t="shared" si="2"/>
        <v>0.22256708535820374</v>
      </c>
      <c r="G15" s="180">
        <f>E301</f>
        <v>0.13822285192680814</v>
      </c>
      <c r="H15" s="180">
        <f t="shared" si="3"/>
        <v>1.1980200955186651</v>
      </c>
      <c r="I15" s="180">
        <f t="shared" si="5"/>
        <v>0.57809902499999988</v>
      </c>
      <c r="J15" s="180"/>
      <c r="K15" s="836">
        <f t="shared" si="6"/>
        <v>1.4271650999999996</v>
      </c>
      <c r="S15" s="1251"/>
      <c r="T15" s="1251"/>
    </row>
    <row r="16" spans="1:20" hidden="1" outlineLevel="1">
      <c r="B16" s="393" t="s">
        <v>3228</v>
      </c>
      <c r="C16" s="1033">
        <f t="shared" si="4"/>
        <v>94.94593219201748</v>
      </c>
      <c r="D16" s="213">
        <f t="shared" si="0"/>
        <v>75.777493031423091</v>
      </c>
      <c r="E16" s="180">
        <f t="shared" si="1"/>
        <v>10.823128088067364</v>
      </c>
      <c r="F16" s="180">
        <f t="shared" si="2"/>
        <v>0.49727368800332317</v>
      </c>
      <c r="G16" s="180"/>
      <c r="H16" s="180">
        <f t="shared" si="3"/>
        <v>3.3677473845237142</v>
      </c>
      <c r="I16" s="180">
        <f t="shared" si="5"/>
        <v>1.2916260000000002</v>
      </c>
      <c r="J16" s="180"/>
      <c r="K16" s="836">
        <f t="shared" si="6"/>
        <v>3.1886640000000002</v>
      </c>
      <c r="T16" s="1251"/>
    </row>
    <row r="17" spans="2:11" hidden="1" outlineLevel="1">
      <c r="B17" s="393" t="s">
        <v>3229</v>
      </c>
      <c r="C17" s="1033">
        <f t="shared" si="4"/>
        <v>102.56649469618556</v>
      </c>
      <c r="D17" s="213">
        <f t="shared" si="0"/>
        <v>85.110437338276569</v>
      </c>
      <c r="E17" s="180">
        <f t="shared" si="1"/>
        <v>9.4006209812513166</v>
      </c>
      <c r="F17" s="180">
        <f t="shared" si="2"/>
        <v>0.41010383709494358</v>
      </c>
      <c r="G17" s="180"/>
      <c r="H17" s="180">
        <f t="shared" si="3"/>
        <v>3.950417315562726</v>
      </c>
      <c r="I17" s="180">
        <f t="shared" si="5"/>
        <v>1.0652097456</v>
      </c>
      <c r="J17" s="180"/>
      <c r="K17" s="836">
        <f t="shared" si="6"/>
        <v>2.6297054784</v>
      </c>
    </row>
    <row r="18" spans="2:11" ht="14.5" hidden="1" outlineLevel="1" thickBot="1">
      <c r="B18" s="394" t="s">
        <v>3230</v>
      </c>
      <c r="C18" s="1033">
        <f t="shared" si="4"/>
        <v>6.4934899054920958</v>
      </c>
      <c r="D18" s="629">
        <f t="shared" si="0"/>
        <v>3.0369161630672505</v>
      </c>
      <c r="E18" s="383">
        <f t="shared" si="1"/>
        <v>1.9838594321950387</v>
      </c>
      <c r="F18" s="383">
        <f t="shared" si="2"/>
        <v>9.468023706208839E-2</v>
      </c>
      <c r="G18" s="383"/>
      <c r="H18" s="383">
        <f t="shared" si="3"/>
        <v>0.52499292190521829</v>
      </c>
      <c r="I18" s="383">
        <f t="shared" si="5"/>
        <v>0.24592384199249998</v>
      </c>
      <c r="J18" s="383"/>
      <c r="K18" s="1035">
        <f t="shared" si="6"/>
        <v>0.60711730926999996</v>
      </c>
    </row>
    <row r="19" spans="2:11" ht="14.5" hidden="1" outlineLevel="1" thickBot="1">
      <c r="B19" s="396" t="s">
        <v>83</v>
      </c>
      <c r="C19" s="1036">
        <f>SUM(C12:C18)</f>
        <v>527.93925674785169</v>
      </c>
      <c r="D19" s="1037">
        <f>SUM(D12:D18)</f>
        <v>372.33819629219209</v>
      </c>
      <c r="E19" s="283">
        <f t="shared" ref="E19:K19" si="7">SUM(E12:E18)</f>
        <v>70.927161596567416</v>
      </c>
      <c r="F19" s="283">
        <f t="shared" si="7"/>
        <v>4.5895000866475399</v>
      </c>
      <c r="G19" s="283">
        <f t="shared" si="7"/>
        <v>0.36749110251553929</v>
      </c>
      <c r="H19" s="283">
        <f t="shared" si="7"/>
        <v>33.171186599071319</v>
      </c>
      <c r="I19" s="283">
        <f t="shared" si="7"/>
        <v>11.920835109370598</v>
      </c>
      <c r="J19" s="283">
        <f t="shared" si="7"/>
        <v>5.1956721153846157</v>
      </c>
      <c r="K19" s="397">
        <f t="shared" si="7"/>
        <v>29.429213846102567</v>
      </c>
    </row>
    <row r="20" spans="2:11" hidden="1" outlineLevel="1">
      <c r="D20" s="716"/>
      <c r="E20" s="716"/>
      <c r="F20" s="716"/>
      <c r="G20" s="717"/>
      <c r="H20" s="716"/>
      <c r="I20" s="718"/>
      <c r="J20" s="716"/>
      <c r="K20" s="716"/>
    </row>
    <row r="21" spans="2:11" hidden="1" outlineLevel="1"/>
    <row r="22" spans="2:11" hidden="1" outlineLevel="1"/>
    <row r="23" spans="2:11" hidden="1" outlineLevel="1"/>
    <row r="24" spans="2:11" hidden="1" outlineLevel="1"/>
    <row r="25" spans="2:11" hidden="1" outlineLevel="1"/>
    <row r="26" spans="2:11" hidden="1" outlineLevel="1"/>
    <row r="27" spans="2:11" hidden="1" outlineLevel="1"/>
    <row r="28" spans="2:11" hidden="1" outlineLevel="1"/>
    <row r="29" spans="2:11" hidden="1" outlineLevel="1"/>
    <row r="30" spans="2:11" hidden="1" outlineLevel="1"/>
    <row r="31" spans="2:11" hidden="1" outlineLevel="1"/>
    <row r="32" spans="2:11" hidden="1" outlineLevel="1"/>
    <row r="33" spans="2:8" hidden="1" outlineLevel="1"/>
    <row r="34" spans="2:8" hidden="1" outlineLevel="1"/>
    <row r="35" spans="2:8" hidden="1" outlineLevel="1"/>
    <row r="36" spans="2:8" hidden="1" outlineLevel="1"/>
    <row r="37" spans="2:8" hidden="1" outlineLevel="1"/>
    <row r="38" spans="2:8" hidden="1" outlineLevel="1"/>
    <row r="39" spans="2:8" hidden="1" outlineLevel="1"/>
    <row r="40" spans="2:8" hidden="1" outlineLevel="1"/>
    <row r="41" spans="2:8" hidden="1" outlineLevel="1"/>
    <row r="42" spans="2:8" hidden="1" outlineLevel="1">
      <c r="B42" s="1251"/>
    </row>
    <row r="43" spans="2:8" hidden="1" outlineLevel="1">
      <c r="B43" s="1251"/>
    </row>
    <row r="44" spans="2:8" hidden="1" outlineLevel="1"/>
    <row r="45" spans="2:8" collapsed="1"/>
    <row r="46" spans="2:8" ht="23.5">
      <c r="B46" s="2" t="s">
        <v>1130</v>
      </c>
    </row>
    <row r="48" spans="2:8" ht="18">
      <c r="B48" s="258" t="s">
        <v>3231</v>
      </c>
      <c r="F48" s="75"/>
      <c r="G48" s="76"/>
      <c r="H48" s="76"/>
    </row>
    <row r="50" spans="2:8" ht="15.5" hidden="1" outlineLevel="1">
      <c r="B50" s="329" t="s">
        <v>3232</v>
      </c>
      <c r="F50" s="75"/>
      <c r="G50" s="76"/>
      <c r="H50" s="76"/>
    </row>
    <row r="51" spans="2:8" hidden="1" outlineLevel="1">
      <c r="B51" s="1251"/>
      <c r="F51" s="75"/>
      <c r="G51" s="76"/>
      <c r="H51" s="76"/>
    </row>
    <row r="52" spans="2:8" hidden="1" outlineLevel="1">
      <c r="B52" s="1251" t="s">
        <v>3233</v>
      </c>
      <c r="F52" s="75"/>
      <c r="G52" s="76"/>
      <c r="H52" s="76"/>
    </row>
    <row r="53" spans="2:8" ht="14.5" hidden="1" outlineLevel="1" thickBot="1">
      <c r="B53" s="87" t="s">
        <v>3234</v>
      </c>
      <c r="D53" s="87"/>
      <c r="F53" s="75"/>
      <c r="G53" s="76"/>
      <c r="H53" s="76"/>
    </row>
    <row r="54" spans="2:8" hidden="1" outlineLevel="1">
      <c r="B54" s="273"/>
      <c r="C54" s="288" t="s">
        <v>3235</v>
      </c>
      <c r="F54" s="75"/>
      <c r="G54" s="76"/>
      <c r="H54" s="76"/>
    </row>
    <row r="55" spans="2:8" hidden="1" outlineLevel="1">
      <c r="B55" s="276" t="s">
        <v>3236</v>
      </c>
      <c r="C55" s="1275">
        <v>374000</v>
      </c>
      <c r="F55" s="75"/>
      <c r="G55" s="76"/>
      <c r="H55" s="76"/>
    </row>
    <row r="56" spans="2:8" ht="14.5" hidden="1" outlineLevel="1" thickBot="1">
      <c r="B56" s="281" t="s">
        <v>3237</v>
      </c>
      <c r="C56" s="309">
        <v>85000</v>
      </c>
      <c r="F56" s="75"/>
      <c r="G56" s="76"/>
      <c r="H56" s="76"/>
    </row>
    <row r="57" spans="2:8" hidden="1" outlineLevel="1">
      <c r="B57" s="1251"/>
      <c r="F57" s="75"/>
      <c r="G57" s="76"/>
      <c r="H57" s="76"/>
    </row>
    <row r="58" spans="2:8" ht="15.5" hidden="1" outlineLevel="1">
      <c r="B58" s="329" t="s">
        <v>3238</v>
      </c>
      <c r="F58" s="75"/>
      <c r="G58" s="76"/>
      <c r="H58" s="76"/>
    </row>
    <row r="59" spans="2:8" hidden="1" outlineLevel="1">
      <c r="B59" s="1251"/>
      <c r="F59" s="75"/>
      <c r="G59" s="76"/>
      <c r="H59" s="76"/>
    </row>
    <row r="60" spans="2:8" ht="14.5" hidden="1" outlineLevel="1" thickBot="1">
      <c r="B60" s="1251" t="s">
        <v>3239</v>
      </c>
      <c r="F60" s="75"/>
      <c r="G60" s="76"/>
      <c r="H60" s="76"/>
    </row>
    <row r="61" spans="2:8" ht="28" hidden="1" outlineLevel="1">
      <c r="B61" s="273"/>
      <c r="C61" s="287" t="s">
        <v>3240</v>
      </c>
      <c r="D61" s="288" t="s">
        <v>70</v>
      </c>
      <c r="F61" s="75"/>
      <c r="G61" s="76"/>
      <c r="H61" s="76"/>
    </row>
    <row r="62" spans="2:8" hidden="1" outlineLevel="1">
      <c r="B62" s="276" t="s">
        <v>3241</v>
      </c>
      <c r="C62" s="1354">
        <v>613937</v>
      </c>
      <c r="D62" s="100" t="s">
        <v>3242</v>
      </c>
      <c r="F62" s="75"/>
      <c r="G62" s="76"/>
      <c r="H62" s="76"/>
    </row>
    <row r="63" spans="2:8" hidden="1" outlineLevel="1">
      <c r="B63" s="276" t="s">
        <v>3243</v>
      </c>
      <c r="C63" s="1354">
        <v>30716</v>
      </c>
      <c r="D63" s="100" t="s">
        <v>3242</v>
      </c>
      <c r="F63" s="75"/>
      <c r="G63" s="76"/>
      <c r="H63" s="76"/>
    </row>
    <row r="64" spans="2:8" ht="28.5" hidden="1" outlineLevel="1" thickBot="1">
      <c r="B64" s="281" t="s">
        <v>3244</v>
      </c>
      <c r="C64" s="1355">
        <v>32106</v>
      </c>
      <c r="D64" s="114" t="s">
        <v>3242</v>
      </c>
      <c r="F64" s="75"/>
      <c r="G64" s="76"/>
      <c r="H64" s="76"/>
    </row>
    <row r="65" spans="2:8" hidden="1" outlineLevel="1">
      <c r="B65" s="1251"/>
      <c r="F65" s="75"/>
      <c r="G65" s="76"/>
      <c r="H65" s="76"/>
    </row>
    <row r="66" spans="2:8" ht="15.5" hidden="1" outlineLevel="1">
      <c r="B66" s="329" t="s">
        <v>3245</v>
      </c>
      <c r="F66" s="75"/>
      <c r="G66" s="76"/>
      <c r="H66" s="76"/>
    </row>
    <row r="67" spans="2:8" hidden="1" outlineLevel="1">
      <c r="B67" s="1251"/>
      <c r="F67" s="75"/>
      <c r="G67" s="76"/>
      <c r="H67" s="76"/>
    </row>
    <row r="68" spans="2:8" ht="14.5" hidden="1" outlineLevel="1" thickBot="1">
      <c r="B68" s="1251" t="s">
        <v>3246</v>
      </c>
      <c r="F68" s="75"/>
      <c r="G68" s="76"/>
      <c r="H68" s="76"/>
    </row>
    <row r="69" spans="2:8" ht="42" hidden="1" outlineLevel="1">
      <c r="B69" s="273"/>
      <c r="C69" s="287" t="s">
        <v>3247</v>
      </c>
      <c r="D69" s="288" t="s">
        <v>3248</v>
      </c>
      <c r="F69" s="75"/>
      <c r="G69" s="76"/>
      <c r="H69" s="76"/>
    </row>
    <row r="70" spans="2:8" ht="14.5" hidden="1" outlineLevel="1" thickBot="1">
      <c r="B70" s="281" t="s">
        <v>3249</v>
      </c>
      <c r="C70" s="1355">
        <v>24614575</v>
      </c>
      <c r="D70" s="195">
        <f>C70/52</f>
        <v>473357.21153846156</v>
      </c>
      <c r="F70" s="75"/>
      <c r="G70" s="76"/>
      <c r="H70" s="76"/>
    </row>
    <row r="71" spans="2:8" ht="14.5" hidden="1" outlineLevel="1" thickBot="1">
      <c r="F71" s="75"/>
      <c r="G71" s="76"/>
      <c r="H71" s="76"/>
    </row>
    <row r="72" spans="2:8" ht="28" hidden="1" outlineLevel="1">
      <c r="B72" s="273"/>
      <c r="C72" s="287" t="s">
        <v>3250</v>
      </c>
      <c r="F72" s="75"/>
      <c r="G72" s="76"/>
      <c r="H72" s="76"/>
    </row>
    <row r="73" spans="2:8" ht="14.5" hidden="1" outlineLevel="1" thickBot="1">
      <c r="B73" s="281" t="s">
        <v>3251</v>
      </c>
      <c r="C73" s="1355">
        <v>4621</v>
      </c>
      <c r="F73" s="75"/>
      <c r="G73" s="76"/>
      <c r="H73" s="76"/>
    </row>
    <row r="74" spans="2:8" hidden="1" outlineLevel="1">
      <c r="B74" s="1251"/>
      <c r="F74" s="75"/>
      <c r="G74" s="76"/>
      <c r="H74" s="76"/>
    </row>
    <row r="75" spans="2:8" ht="15.5" hidden="1" outlineLevel="1">
      <c r="B75" s="329" t="s">
        <v>3252</v>
      </c>
      <c r="F75" s="75"/>
      <c r="G75" s="76"/>
      <c r="H75" s="76"/>
    </row>
    <row r="76" spans="2:8" hidden="1" outlineLevel="1">
      <c r="B76" s="1251"/>
      <c r="F76" s="75"/>
      <c r="G76" s="76"/>
      <c r="H76" s="76"/>
    </row>
    <row r="77" spans="2:8" hidden="1" outlineLevel="1">
      <c r="B77" s="1251" t="s">
        <v>3253</v>
      </c>
      <c r="F77" s="75"/>
      <c r="G77" s="76"/>
      <c r="H77" s="76"/>
    </row>
    <row r="78" spans="2:8" hidden="1" outlineLevel="1">
      <c r="B78" s="1251" t="s">
        <v>3254</v>
      </c>
      <c r="F78" s="75"/>
      <c r="G78" s="76"/>
      <c r="H78" s="76"/>
    </row>
    <row r="79" spans="2:8" hidden="1" outlineLevel="1">
      <c r="B79" s="1251"/>
      <c r="F79" s="75"/>
      <c r="G79" s="76"/>
      <c r="H79" s="76"/>
    </row>
    <row r="80" spans="2:8" ht="14.5" hidden="1" outlineLevel="1" thickBot="1">
      <c r="B80" s="1251" t="s">
        <v>2436</v>
      </c>
      <c r="F80" s="75"/>
      <c r="G80" s="76"/>
      <c r="H80" s="76"/>
    </row>
    <row r="81" spans="2:8" ht="28" hidden="1" outlineLevel="1">
      <c r="B81" s="273"/>
      <c r="C81" s="287" t="s">
        <v>3255</v>
      </c>
      <c r="D81" s="288" t="s">
        <v>3256</v>
      </c>
      <c r="F81" s="273"/>
      <c r="G81" s="288" t="s">
        <v>3257</v>
      </c>
      <c r="H81" s="76"/>
    </row>
    <row r="82" spans="2:8" hidden="1" outlineLevel="1">
      <c r="B82" s="276" t="s">
        <v>3258</v>
      </c>
      <c r="C82" s="1354">
        <f>C55+C56</f>
        <v>459000</v>
      </c>
      <c r="D82" s="192">
        <f>C82/10</f>
        <v>45900</v>
      </c>
      <c r="F82" s="277" t="s">
        <v>3258</v>
      </c>
      <c r="G82" s="192">
        <f>C82</f>
        <v>459000</v>
      </c>
      <c r="H82" s="76"/>
    </row>
    <row r="83" spans="2:8" hidden="1" outlineLevel="1">
      <c r="B83" s="276" t="s">
        <v>3241</v>
      </c>
      <c r="C83" s="136">
        <f>C62</f>
        <v>613937</v>
      </c>
      <c r="D83" s="192">
        <f>C83/10</f>
        <v>61393.7</v>
      </c>
      <c r="F83" s="277" t="s">
        <v>3241</v>
      </c>
      <c r="G83" s="192">
        <f>C83</f>
        <v>613937</v>
      </c>
      <c r="H83" s="76"/>
    </row>
    <row r="84" spans="2:8" hidden="1" outlineLevel="1">
      <c r="B84" s="276" t="s">
        <v>3243</v>
      </c>
      <c r="C84" s="136">
        <f>C63</f>
        <v>30716</v>
      </c>
      <c r="D84" s="192">
        <f>C84/10</f>
        <v>3071.6</v>
      </c>
      <c r="F84" s="277" t="s">
        <v>3259</v>
      </c>
      <c r="G84" s="192">
        <f>C85+C84</f>
        <v>62822</v>
      </c>
      <c r="H84" s="76"/>
    </row>
    <row r="85" spans="2:8" ht="28.5" hidden="1" outlineLevel="1" thickBot="1">
      <c r="B85" s="276" t="s">
        <v>3244</v>
      </c>
      <c r="C85" s="136">
        <f>C64</f>
        <v>32106</v>
      </c>
      <c r="D85" s="192">
        <f>C85/10</f>
        <v>3210.6</v>
      </c>
      <c r="F85" s="315" t="s">
        <v>3260</v>
      </c>
      <c r="G85" s="195">
        <f>C87+C86</f>
        <v>519567.21153846156</v>
      </c>
      <c r="H85" s="76"/>
    </row>
    <row r="86" spans="2:8" hidden="1" outlineLevel="1">
      <c r="B86" s="276" t="s">
        <v>3261</v>
      </c>
      <c r="C86" s="136">
        <f>D70</f>
        <v>473357.21153846156</v>
      </c>
      <c r="D86" s="192">
        <f>C86/10</f>
        <v>47335.721153846156</v>
      </c>
      <c r="F86" s="75"/>
      <c r="G86" s="75"/>
      <c r="H86" s="76"/>
    </row>
    <row r="87" spans="2:8" hidden="1" outlineLevel="1">
      <c r="B87" s="276" t="s">
        <v>3262</v>
      </c>
      <c r="C87" s="136">
        <f>D87*10</f>
        <v>46210</v>
      </c>
      <c r="D87" s="192">
        <f>C73</f>
        <v>4621</v>
      </c>
      <c r="F87" s="75"/>
      <c r="G87" s="75"/>
      <c r="H87" s="76"/>
    </row>
    <row r="88" spans="2:8" ht="14.5" hidden="1" outlineLevel="1" thickBot="1">
      <c r="B88" s="281" t="s">
        <v>83</v>
      </c>
      <c r="C88" s="331">
        <f>SUM(C82:C87)</f>
        <v>1655326.2115384615</v>
      </c>
      <c r="D88" s="197">
        <f>SUM(D82:D87)</f>
        <v>165532.62115384615</v>
      </c>
      <c r="F88" s="75"/>
      <c r="G88" s="75"/>
      <c r="H88" s="76"/>
    </row>
    <row r="89" spans="2:8" hidden="1" outlineLevel="1">
      <c r="B89" s="1251"/>
      <c r="F89" s="75"/>
      <c r="G89" s="75"/>
      <c r="H89" s="76"/>
    </row>
    <row r="90" spans="2:8" collapsed="1">
      <c r="B90" s="1251"/>
      <c r="F90" s="75"/>
      <c r="G90" s="75"/>
      <c r="H90" s="76"/>
    </row>
    <row r="91" spans="2:8" ht="18">
      <c r="B91" s="258" t="s">
        <v>3263</v>
      </c>
    </row>
    <row r="93" spans="2:8" hidden="1" outlineLevel="1">
      <c r="B93" s="1343" t="s">
        <v>3264</v>
      </c>
      <c r="C93" s="76"/>
    </row>
    <row r="94" spans="2:8" hidden="1" outlineLevel="1">
      <c r="B94" s="87" t="s">
        <v>3265</v>
      </c>
      <c r="C94" s="76"/>
      <c r="D94" s="87"/>
    </row>
    <row r="95" spans="2:8" ht="14.5" hidden="1" outlineLevel="1" thickBot="1">
      <c r="B95" s="1343" t="s">
        <v>3266</v>
      </c>
      <c r="C95" s="76"/>
      <c r="D95" s="76"/>
    </row>
    <row r="96" spans="2:8" ht="42" hidden="1" outlineLevel="1">
      <c r="B96" s="273" t="s">
        <v>3267</v>
      </c>
      <c r="C96" s="287" t="s">
        <v>3268</v>
      </c>
      <c r="D96" s="288" t="s">
        <v>3269</v>
      </c>
    </row>
    <row r="97" spans="2:6" hidden="1" outlineLevel="1">
      <c r="B97" s="276" t="s">
        <v>3227</v>
      </c>
      <c r="C97" s="81">
        <v>13009</v>
      </c>
      <c r="D97" s="270">
        <v>18000</v>
      </c>
    </row>
    <row r="98" spans="2:6" hidden="1" outlineLevel="1">
      <c r="B98" s="276" t="s">
        <v>3226</v>
      </c>
      <c r="C98" s="81">
        <v>80647</v>
      </c>
      <c r="D98" s="1627">
        <v>140000</v>
      </c>
    </row>
    <row r="99" spans="2:6" hidden="1" outlineLevel="1">
      <c r="B99" s="276" t="s">
        <v>3270</v>
      </c>
      <c r="C99" s="81">
        <v>449</v>
      </c>
      <c r="D99" s="1628"/>
    </row>
    <row r="100" spans="2:6" hidden="1" outlineLevel="1">
      <c r="B100" s="276" t="s">
        <v>3271</v>
      </c>
      <c r="C100" s="11">
        <f>(9898470/52)/5</f>
        <v>38071.038461538461</v>
      </c>
      <c r="D100" s="1629"/>
      <c r="F100" s="76"/>
    </row>
    <row r="101" spans="2:6" hidden="1" outlineLevel="1">
      <c r="B101" s="276" t="s">
        <v>3228</v>
      </c>
      <c r="C101" s="81">
        <v>90023</v>
      </c>
      <c r="D101" s="1626">
        <v>134000</v>
      </c>
    </row>
    <row r="102" spans="2:6" hidden="1" outlineLevel="1">
      <c r="B102" s="276" t="s">
        <v>3272</v>
      </c>
      <c r="C102" s="81">
        <v>964</v>
      </c>
      <c r="D102" s="1626"/>
    </row>
    <row r="103" spans="2:6" ht="14.5" hidden="1" outlineLevel="1" thickBot="1">
      <c r="B103" s="281" t="s">
        <v>3273</v>
      </c>
      <c r="C103" s="82">
        <v>2338</v>
      </c>
      <c r="D103" s="309"/>
    </row>
    <row r="104" spans="2:6" hidden="1" outlineLevel="1"/>
    <row r="105" spans="2:6" hidden="1" outlineLevel="1">
      <c r="B105" s="1343" t="s">
        <v>3274</v>
      </c>
    </row>
    <row r="106" spans="2:6" collapsed="1"/>
    <row r="107" spans="2:6" ht="18">
      <c r="B107" s="258" t="s">
        <v>3275</v>
      </c>
    </row>
    <row r="109" spans="2:6" hidden="1" outlineLevel="1">
      <c r="B109" s="1343" t="s">
        <v>3276</v>
      </c>
      <c r="C109" s="76"/>
    </row>
    <row r="110" spans="2:6" ht="14.5" hidden="1" outlineLevel="1" thickBot="1">
      <c r="B110" s="87" t="s">
        <v>3265</v>
      </c>
    </row>
    <row r="111" spans="2:6" ht="42" hidden="1" outlineLevel="1">
      <c r="B111" s="273" t="s">
        <v>3277</v>
      </c>
      <c r="C111" s="288" t="s">
        <v>3278</v>
      </c>
    </row>
    <row r="112" spans="2:6" hidden="1" outlineLevel="1">
      <c r="B112" s="276" t="s">
        <v>3279</v>
      </c>
      <c r="C112" s="12">
        <v>286000</v>
      </c>
    </row>
    <row r="113" spans="2:9" ht="28" hidden="1" outlineLevel="1">
      <c r="B113" s="276" t="s">
        <v>3280</v>
      </c>
      <c r="C113" s="12">
        <v>399000</v>
      </c>
    </row>
    <row r="114" spans="2:9" ht="28" hidden="1" outlineLevel="1">
      <c r="B114" s="276" t="s">
        <v>3281</v>
      </c>
      <c r="C114" s="1277">
        <v>3696000</v>
      </c>
    </row>
    <row r="115" spans="2:9" ht="14.5" hidden="1" outlineLevel="1" thickBot="1">
      <c r="B115" s="281" t="s">
        <v>3282</v>
      </c>
      <c r="C115" s="1422">
        <v>1548000</v>
      </c>
    </row>
    <row r="116" spans="2:9" hidden="1" outlineLevel="1"/>
    <row r="117" spans="2:9" hidden="1" outlineLevel="1">
      <c r="B117" s="1343" t="s">
        <v>3283</v>
      </c>
    </row>
    <row r="118" spans="2:9" ht="14.5" hidden="1" outlineLevel="1" thickBot="1"/>
    <row r="119" spans="2:9" ht="28" hidden="1" outlineLevel="1">
      <c r="B119" s="273" t="s">
        <v>3277</v>
      </c>
      <c r="C119" s="287" t="s">
        <v>3256</v>
      </c>
      <c r="D119" s="288" t="s">
        <v>3284</v>
      </c>
    </row>
    <row r="120" spans="2:9" hidden="1" outlineLevel="1">
      <c r="B120" s="276" t="s">
        <v>3279</v>
      </c>
      <c r="C120" s="1307">
        <v>108026</v>
      </c>
      <c r="D120" s="1277">
        <v>14974285.990000008</v>
      </c>
      <c r="E120" s="24"/>
      <c r="G120" s="24"/>
    </row>
    <row r="121" spans="2:9" hidden="1" outlineLevel="1">
      <c r="B121" s="276" t="s">
        <v>3285</v>
      </c>
      <c r="C121" s="1423">
        <v>7589</v>
      </c>
      <c r="D121" s="1329">
        <v>1714442.0899999992</v>
      </c>
      <c r="E121" s="24"/>
      <c r="G121" s="295"/>
      <c r="H121" s="274"/>
      <c r="I121" s="274"/>
    </row>
    <row r="122" spans="2:9" hidden="1" outlineLevel="1">
      <c r="B122" s="276" t="s">
        <v>3286</v>
      </c>
      <c r="C122" s="1423">
        <v>33208</v>
      </c>
      <c r="D122" s="1329">
        <v>767100.08999999904</v>
      </c>
      <c r="E122" s="24"/>
      <c r="G122" s="295"/>
      <c r="H122" s="274"/>
      <c r="I122" s="274"/>
    </row>
    <row r="123" spans="2:9" hidden="1" outlineLevel="1">
      <c r="B123" s="276" t="s">
        <v>3287</v>
      </c>
      <c r="C123" s="1423">
        <f>(4361226/52)/5</f>
        <v>16773.946153846155</v>
      </c>
      <c r="D123" s="1329">
        <v>44188598.979999997</v>
      </c>
      <c r="E123" s="24"/>
      <c r="G123" s="295"/>
      <c r="H123" s="274"/>
      <c r="I123" s="274"/>
    </row>
    <row r="124" spans="2:9" hidden="1" outlineLevel="1">
      <c r="B124" s="276" t="s">
        <v>3288</v>
      </c>
      <c r="C124" s="1423">
        <v>52272</v>
      </c>
      <c r="D124" s="1329">
        <v>8474000</v>
      </c>
      <c r="E124" s="24"/>
      <c r="G124" s="295"/>
      <c r="H124" s="274"/>
      <c r="I124" s="274"/>
    </row>
    <row r="125" spans="2:9" hidden="1" outlineLevel="1">
      <c r="B125" s="276" t="s">
        <v>3289</v>
      </c>
      <c r="C125" s="1423">
        <v>174070</v>
      </c>
      <c r="D125" s="1329">
        <v>16000000</v>
      </c>
      <c r="E125" s="24"/>
      <c r="G125" s="295"/>
      <c r="H125" s="274"/>
      <c r="I125" s="274"/>
    </row>
    <row r="126" spans="2:9" hidden="1" outlineLevel="1">
      <c r="B126" s="276" t="s">
        <v>3290</v>
      </c>
      <c r="C126" s="1423">
        <v>2218841</v>
      </c>
      <c r="D126" s="1329">
        <v>18068655.619999945</v>
      </c>
      <c r="E126" s="24"/>
      <c r="G126" s="295"/>
      <c r="H126" s="274"/>
      <c r="I126" s="274"/>
    </row>
    <row r="127" spans="2:9" hidden="1" outlineLevel="1">
      <c r="B127" s="276" t="s">
        <v>3291</v>
      </c>
      <c r="C127" s="1423">
        <v>114767</v>
      </c>
      <c r="D127" s="1329">
        <v>13480729.030000018</v>
      </c>
      <c r="E127" s="24"/>
      <c r="F127" s="39"/>
      <c r="G127" s="295"/>
      <c r="H127" s="274"/>
      <c r="I127" s="274"/>
    </row>
    <row r="128" spans="2:9" hidden="1" outlineLevel="1">
      <c r="B128" s="276" t="s">
        <v>3292</v>
      </c>
      <c r="C128" s="1423">
        <v>383658</v>
      </c>
      <c r="D128" s="1329">
        <v>16295365.260000017</v>
      </c>
      <c r="E128" s="39"/>
      <c r="F128" s="39"/>
      <c r="G128" s="295"/>
      <c r="H128" s="274"/>
      <c r="I128" s="274"/>
    </row>
    <row r="129" spans="2:6" hidden="1" outlineLevel="1">
      <c r="B129" s="276" t="s">
        <v>3293</v>
      </c>
      <c r="C129" s="1423">
        <v>55993</v>
      </c>
      <c r="D129" s="1329">
        <v>13602077.989999995</v>
      </c>
      <c r="E129" s="24"/>
      <c r="F129" s="39"/>
    </row>
    <row r="130" spans="2:6" hidden="1" outlineLevel="1">
      <c r="B130" s="276" t="s">
        <v>3294</v>
      </c>
      <c r="C130" s="1423">
        <v>11696</v>
      </c>
      <c r="D130" s="1329">
        <v>6215378.9699999997</v>
      </c>
      <c r="E130" s="24"/>
      <c r="F130" s="39"/>
    </row>
    <row r="131" spans="2:6" hidden="1" outlineLevel="1">
      <c r="B131" s="276" t="s">
        <v>3295</v>
      </c>
      <c r="C131" s="1423">
        <v>231119</v>
      </c>
      <c r="D131" s="1329">
        <v>17128286.899999969</v>
      </c>
      <c r="E131" s="24"/>
      <c r="F131" s="39"/>
    </row>
    <row r="132" spans="2:6" hidden="1" outlineLevel="1">
      <c r="B132" s="276" t="s">
        <v>3296</v>
      </c>
      <c r="C132" s="1423">
        <v>362621</v>
      </c>
      <c r="D132" s="1329">
        <v>73306362.529999986</v>
      </c>
      <c r="E132" s="24"/>
      <c r="F132" s="39"/>
    </row>
    <row r="133" spans="2:6" ht="28.5" hidden="1" outlineLevel="1" thickBot="1">
      <c r="B133" s="281" t="s">
        <v>3297</v>
      </c>
      <c r="C133" s="1424">
        <f>3844224/52/10</f>
        <v>7392.7384615384608</v>
      </c>
      <c r="D133" s="1425">
        <v>39691437.29999996</v>
      </c>
      <c r="E133" s="24"/>
      <c r="F133" s="39"/>
    </row>
    <row r="134" spans="2:6" hidden="1" outlineLevel="1">
      <c r="B134" s="295"/>
      <c r="C134" s="274"/>
      <c r="F134" s="39"/>
    </row>
    <row r="135" spans="2:6" hidden="1" outlineLevel="1">
      <c r="B135" s="1343" t="s">
        <v>3298</v>
      </c>
    </row>
    <row r="136" spans="2:6" hidden="1" outlineLevel="1"/>
    <row r="137" spans="2:6" collapsed="1"/>
    <row r="138" spans="2:6" ht="18">
      <c r="B138" s="258" t="s">
        <v>3299</v>
      </c>
    </row>
    <row r="140" spans="2:6" ht="14.5" hidden="1" outlineLevel="1" thickBot="1">
      <c r="B140" s="1251" t="s">
        <v>3300</v>
      </c>
    </row>
    <row r="141" spans="2:6" ht="28" hidden="1" outlineLevel="1">
      <c r="B141" s="273"/>
      <c r="C141" s="288" t="s">
        <v>3256</v>
      </c>
    </row>
    <row r="142" spans="2:6" hidden="1" outlineLevel="1">
      <c r="B142" s="276" t="s">
        <v>3224</v>
      </c>
      <c r="C142" s="1277">
        <f>D88</f>
        <v>165532.62115384615</v>
      </c>
    </row>
    <row r="143" spans="2:6" hidden="1" outlineLevel="1">
      <c r="B143" s="276" t="s">
        <v>3225</v>
      </c>
      <c r="C143" s="1329">
        <f>C132</f>
        <v>362621</v>
      </c>
    </row>
    <row r="144" spans="2:6" hidden="1" outlineLevel="1">
      <c r="B144" s="276" t="s">
        <v>3226</v>
      </c>
      <c r="C144" s="1329">
        <f>D98</f>
        <v>140000</v>
      </c>
    </row>
    <row r="145" spans="2:7" hidden="1" outlineLevel="1">
      <c r="B145" s="276" t="s">
        <v>3227</v>
      </c>
      <c r="C145" s="270">
        <f>D97</f>
        <v>18000</v>
      </c>
    </row>
    <row r="146" spans="2:7" hidden="1" outlineLevel="1">
      <c r="B146" s="276" t="s">
        <v>3228</v>
      </c>
      <c r="C146" s="270">
        <f>D101</f>
        <v>134000</v>
      </c>
    </row>
    <row r="147" spans="2:7" hidden="1" outlineLevel="1">
      <c r="B147" s="276" t="s">
        <v>3229</v>
      </c>
      <c r="C147" s="192">
        <f>C114</f>
        <v>3696000</v>
      </c>
    </row>
    <row r="148" spans="2:7" ht="14.5" hidden="1" outlineLevel="1" thickBot="1">
      <c r="B148" s="281" t="s">
        <v>3230</v>
      </c>
      <c r="C148" s="309">
        <f>C123+C121</f>
        <v>24362.946153846155</v>
      </c>
    </row>
    <row r="149" spans="2:7" hidden="1" outlineLevel="1"/>
    <row r="150" spans="2:7" collapsed="1"/>
    <row r="151" spans="2:7" ht="23.5">
      <c r="B151" s="2" t="s">
        <v>864</v>
      </c>
    </row>
    <row r="153" spans="2:7" ht="18">
      <c r="B153" s="258" t="s">
        <v>975</v>
      </c>
    </row>
    <row r="155" spans="2:7" hidden="1" outlineLevel="1">
      <c r="B155" s="1251" t="s">
        <v>3301</v>
      </c>
    </row>
    <row r="156" spans="2:7" hidden="1" outlineLevel="1"/>
    <row r="157" spans="2:7" hidden="1" outlineLevel="1">
      <c r="B157" t="s">
        <v>3302</v>
      </c>
    </row>
    <row r="158" spans="2:7" ht="14.5" hidden="1" outlineLevel="1" thickBot="1"/>
    <row r="159" spans="2:7" ht="14.5" hidden="1" outlineLevel="1" thickBot="1">
      <c r="B159" s="337"/>
      <c r="C159" s="338" t="s">
        <v>3303</v>
      </c>
      <c r="D159" s="338" t="s">
        <v>3304</v>
      </c>
      <c r="E159" s="338" t="s">
        <v>3305</v>
      </c>
      <c r="F159" s="338" t="s">
        <v>3306</v>
      </c>
      <c r="G159" s="339" t="s">
        <v>301</v>
      </c>
    </row>
    <row r="160" spans="2:7" ht="14.5" hidden="1" outlineLevel="1">
      <c r="B160" s="1615" t="s">
        <v>3307</v>
      </c>
      <c r="C160" s="343" t="s">
        <v>3308</v>
      </c>
      <c r="D160" s="343" t="s">
        <v>185</v>
      </c>
      <c r="E160" s="343" t="s">
        <v>131</v>
      </c>
      <c r="F160" s="344">
        <v>91.98</v>
      </c>
      <c r="G160" s="345" t="s">
        <v>2250</v>
      </c>
    </row>
    <row r="161" spans="2:7" ht="29" hidden="1" outlineLevel="1">
      <c r="B161" s="1616"/>
      <c r="C161" s="332" t="s">
        <v>3309</v>
      </c>
      <c r="D161" s="332" t="s">
        <v>185</v>
      </c>
      <c r="E161" s="332" t="s">
        <v>3310</v>
      </c>
      <c r="F161" s="333">
        <v>15.33</v>
      </c>
      <c r="G161" s="334" t="s">
        <v>2250</v>
      </c>
    </row>
    <row r="162" spans="2:7" ht="43.5" hidden="1" outlineLevel="1">
      <c r="B162" s="1616"/>
      <c r="C162" s="332" t="s">
        <v>3311</v>
      </c>
      <c r="D162" s="332" t="s">
        <v>185</v>
      </c>
      <c r="E162" s="332" t="s">
        <v>3310</v>
      </c>
      <c r="F162" s="333">
        <v>2.19</v>
      </c>
      <c r="G162" s="334" t="s">
        <v>2250</v>
      </c>
    </row>
    <row r="163" spans="2:7" ht="15" hidden="1" outlineLevel="1" thickBot="1">
      <c r="B163" s="1617" t="s">
        <v>83</v>
      </c>
      <c r="C163" s="1625"/>
      <c r="D163" s="1625"/>
      <c r="E163" s="1625"/>
      <c r="F163" s="335">
        <f>SUM(F160:F162)</f>
        <v>109.5</v>
      </c>
      <c r="G163" s="336" t="s">
        <v>2250</v>
      </c>
    </row>
    <row r="164" spans="2:7" ht="29" hidden="1" outlineLevel="1">
      <c r="B164" s="1615" t="s">
        <v>3312</v>
      </c>
      <c r="C164" s="343" t="s">
        <v>3313</v>
      </c>
      <c r="D164" s="343" t="s">
        <v>185</v>
      </c>
      <c r="E164" s="343" t="s">
        <v>132</v>
      </c>
      <c r="F164" s="344">
        <v>1.92</v>
      </c>
      <c r="G164" s="345" t="s">
        <v>2250</v>
      </c>
    </row>
    <row r="165" spans="2:7" ht="14.5" hidden="1" outlineLevel="1">
      <c r="B165" s="1616"/>
      <c r="C165" s="332" t="s">
        <v>3314</v>
      </c>
      <c r="D165" s="332" t="s">
        <v>185</v>
      </c>
      <c r="E165" s="332" t="s">
        <v>132</v>
      </c>
      <c r="F165" s="333">
        <v>8.41</v>
      </c>
      <c r="G165" s="334" t="s">
        <v>2250</v>
      </c>
    </row>
    <row r="166" spans="2:7" ht="14.5" hidden="1" outlineLevel="1">
      <c r="B166" s="1616"/>
      <c r="C166" s="332" t="s">
        <v>3315</v>
      </c>
      <c r="D166" s="332" t="s">
        <v>185</v>
      </c>
      <c r="E166" s="332" t="s">
        <v>132</v>
      </c>
      <c r="F166" s="333">
        <v>0.66</v>
      </c>
      <c r="G166" s="334" t="s">
        <v>2250</v>
      </c>
    </row>
    <row r="167" spans="2:7" ht="14.5" hidden="1" outlineLevel="1">
      <c r="B167" s="1616"/>
      <c r="C167" s="332" t="s">
        <v>3316</v>
      </c>
      <c r="D167" s="332" t="s">
        <v>185</v>
      </c>
      <c r="E167" s="332" t="s">
        <v>132</v>
      </c>
      <c r="F167" s="333">
        <v>0.66</v>
      </c>
      <c r="G167" s="334" t="s">
        <v>2250</v>
      </c>
    </row>
    <row r="168" spans="2:7" ht="14.5" hidden="1" outlineLevel="1">
      <c r="B168" s="1616"/>
      <c r="C168" s="332" t="s">
        <v>3317</v>
      </c>
      <c r="D168" s="332" t="s">
        <v>185</v>
      </c>
      <c r="E168" s="332" t="s">
        <v>132</v>
      </c>
      <c r="F168" s="333">
        <v>0.66</v>
      </c>
      <c r="G168" s="334" t="s">
        <v>2250</v>
      </c>
    </row>
    <row r="169" spans="2:7" ht="14.5" hidden="1" outlineLevel="1">
      <c r="B169" s="1616"/>
      <c r="C169" s="332" t="s">
        <v>3318</v>
      </c>
      <c r="D169" s="332" t="s">
        <v>185</v>
      </c>
      <c r="E169" s="332" t="s">
        <v>3319</v>
      </c>
      <c r="F169" s="333">
        <v>0.15</v>
      </c>
      <c r="G169" s="334" t="s">
        <v>2250</v>
      </c>
    </row>
    <row r="170" spans="2:7" ht="14.5" hidden="1" outlineLevel="1">
      <c r="B170" s="1616"/>
      <c r="C170" s="332" t="s">
        <v>3320</v>
      </c>
      <c r="D170" s="332" t="s">
        <v>185</v>
      </c>
      <c r="E170" s="332" t="s">
        <v>3319</v>
      </c>
      <c r="F170" s="333">
        <v>0.15</v>
      </c>
      <c r="G170" s="334" t="s">
        <v>2250</v>
      </c>
    </row>
    <row r="171" spans="2:7" ht="14.5" hidden="1" outlineLevel="1">
      <c r="B171" s="1616"/>
      <c r="C171" s="332" t="s">
        <v>3318</v>
      </c>
      <c r="D171" s="332" t="s">
        <v>185</v>
      </c>
      <c r="E171" s="332" t="s">
        <v>3321</v>
      </c>
      <c r="F171" s="333">
        <v>0.15</v>
      </c>
      <c r="G171" s="334" t="s">
        <v>2250</v>
      </c>
    </row>
    <row r="172" spans="2:7" ht="14.5" hidden="1" outlineLevel="1">
      <c r="B172" s="1616"/>
      <c r="C172" s="332" t="s">
        <v>3320</v>
      </c>
      <c r="D172" s="332" t="s">
        <v>185</v>
      </c>
      <c r="E172" s="332" t="s">
        <v>3321</v>
      </c>
      <c r="F172" s="333">
        <v>0.15</v>
      </c>
      <c r="G172" s="334" t="s">
        <v>2250</v>
      </c>
    </row>
    <row r="173" spans="2:7" ht="14.5" hidden="1" outlineLevel="1">
      <c r="B173" s="1616"/>
      <c r="C173" s="332" t="s">
        <v>3322</v>
      </c>
      <c r="D173" s="332" t="s">
        <v>185</v>
      </c>
      <c r="E173" s="332" t="s">
        <v>3310</v>
      </c>
      <c r="F173" s="333">
        <v>1.0900000000000001</v>
      </c>
      <c r="G173" s="334" t="s">
        <v>2250</v>
      </c>
    </row>
    <row r="174" spans="2:7" ht="14.5" hidden="1" outlineLevel="1">
      <c r="B174" s="1616"/>
      <c r="C174" s="332" t="s">
        <v>3323</v>
      </c>
      <c r="D174" s="332" t="s">
        <v>185</v>
      </c>
      <c r="E174" s="332" t="s">
        <v>3310</v>
      </c>
      <c r="F174" s="333">
        <v>1.0900000000000001</v>
      </c>
      <c r="G174" s="334" t="s">
        <v>2250</v>
      </c>
    </row>
    <row r="175" spans="2:7" ht="14.5" hidden="1" outlineLevel="1">
      <c r="B175" s="1616"/>
      <c r="C175" s="332" t="s">
        <v>3324</v>
      </c>
      <c r="D175" s="332" t="s">
        <v>185</v>
      </c>
      <c r="E175" s="332" t="s">
        <v>3310</v>
      </c>
      <c r="F175" s="333">
        <v>1.0900000000000001</v>
      </c>
      <c r="G175" s="334" t="s">
        <v>2250</v>
      </c>
    </row>
    <row r="176" spans="2:7" ht="14.5" hidden="1" outlineLevel="1">
      <c r="B176" s="1616"/>
      <c r="C176" s="332" t="s">
        <v>3316</v>
      </c>
      <c r="D176" s="332" t="s">
        <v>185</v>
      </c>
      <c r="E176" s="332" t="s">
        <v>3325</v>
      </c>
      <c r="F176" s="333">
        <v>0.05</v>
      </c>
      <c r="G176" s="334" t="s">
        <v>2250</v>
      </c>
    </row>
    <row r="177" spans="2:7" ht="29" hidden="1" outlineLevel="1">
      <c r="B177" s="1616"/>
      <c r="C177" s="332" t="s">
        <v>3313</v>
      </c>
      <c r="D177" s="332" t="s">
        <v>185</v>
      </c>
      <c r="E177" s="332" t="s">
        <v>3325</v>
      </c>
      <c r="F177" s="333">
        <v>0.05</v>
      </c>
      <c r="G177" s="334" t="s">
        <v>2250</v>
      </c>
    </row>
    <row r="178" spans="2:7" ht="15" hidden="1" outlineLevel="1" thickBot="1">
      <c r="B178" s="1617" t="s">
        <v>83</v>
      </c>
      <c r="C178" s="1625"/>
      <c r="D178" s="1625"/>
      <c r="E178" s="1625"/>
      <c r="F178" s="335">
        <f>SUM(F164:F177)</f>
        <v>16.280000000000005</v>
      </c>
      <c r="G178" s="336" t="s">
        <v>2250</v>
      </c>
    </row>
    <row r="179" spans="2:7" ht="29" hidden="1" outlineLevel="1">
      <c r="B179" s="1615" t="s">
        <v>3326</v>
      </c>
      <c r="C179" s="343" t="s">
        <v>3313</v>
      </c>
      <c r="D179" s="343" t="s">
        <v>185</v>
      </c>
      <c r="E179" s="343" t="s">
        <v>131</v>
      </c>
      <c r="F179" s="344">
        <v>1.92</v>
      </c>
      <c r="G179" s="345" t="s">
        <v>2250</v>
      </c>
    </row>
    <row r="180" spans="2:7" ht="14.5" hidden="1" outlineLevel="1">
      <c r="B180" s="1616"/>
      <c r="C180" s="332" t="s">
        <v>3314</v>
      </c>
      <c r="D180" s="332" t="s">
        <v>185</v>
      </c>
      <c r="E180" s="332" t="s">
        <v>131</v>
      </c>
      <c r="F180" s="333">
        <v>8.41</v>
      </c>
      <c r="G180" s="334" t="s">
        <v>2250</v>
      </c>
    </row>
    <row r="181" spans="2:7" ht="14.5" hidden="1" outlineLevel="1">
      <c r="B181" s="1616"/>
      <c r="C181" s="332" t="s">
        <v>3315</v>
      </c>
      <c r="D181" s="332" t="s">
        <v>185</v>
      </c>
      <c r="E181" s="332" t="s">
        <v>131</v>
      </c>
      <c r="F181" s="333">
        <v>0.66</v>
      </c>
      <c r="G181" s="334" t="s">
        <v>2250</v>
      </c>
    </row>
    <row r="182" spans="2:7" ht="14.5" hidden="1" outlineLevel="1">
      <c r="B182" s="1616"/>
      <c r="C182" s="332" t="s">
        <v>3316</v>
      </c>
      <c r="D182" s="332" t="s">
        <v>185</v>
      </c>
      <c r="E182" s="332" t="s">
        <v>131</v>
      </c>
      <c r="F182" s="333">
        <v>0.66</v>
      </c>
      <c r="G182" s="334" t="s">
        <v>2250</v>
      </c>
    </row>
    <row r="183" spans="2:7" ht="14.5" hidden="1" outlineLevel="1">
      <c r="B183" s="1616"/>
      <c r="C183" s="332" t="s">
        <v>3317</v>
      </c>
      <c r="D183" s="332" t="s">
        <v>185</v>
      </c>
      <c r="E183" s="332" t="s">
        <v>131</v>
      </c>
      <c r="F183" s="333">
        <v>0.66</v>
      </c>
      <c r="G183" s="334" t="s">
        <v>2250</v>
      </c>
    </row>
    <row r="184" spans="2:7" ht="14.5" hidden="1" outlineLevel="1">
      <c r="B184" s="1616"/>
      <c r="C184" s="332" t="s">
        <v>3318</v>
      </c>
      <c r="D184" s="332" t="s">
        <v>185</v>
      </c>
      <c r="E184" s="332" t="s">
        <v>3319</v>
      </c>
      <c r="F184" s="333">
        <v>0.15</v>
      </c>
      <c r="G184" s="334" t="s">
        <v>2250</v>
      </c>
    </row>
    <row r="185" spans="2:7" ht="14.5" hidden="1" outlineLevel="1">
      <c r="B185" s="1616"/>
      <c r="C185" s="332" t="s">
        <v>3320</v>
      </c>
      <c r="D185" s="332" t="s">
        <v>185</v>
      </c>
      <c r="E185" s="332" t="s">
        <v>3319</v>
      </c>
      <c r="F185" s="333">
        <v>0.15</v>
      </c>
      <c r="G185" s="334" t="s">
        <v>2250</v>
      </c>
    </row>
    <row r="186" spans="2:7" ht="14.5" hidden="1" outlineLevel="1">
      <c r="B186" s="1616"/>
      <c r="C186" s="332" t="s">
        <v>3318</v>
      </c>
      <c r="D186" s="332" t="s">
        <v>185</v>
      </c>
      <c r="E186" s="332" t="s">
        <v>3321</v>
      </c>
      <c r="F186" s="333">
        <v>0.15</v>
      </c>
      <c r="G186" s="334" t="s">
        <v>2250</v>
      </c>
    </row>
    <row r="187" spans="2:7" ht="14.5" hidden="1" outlineLevel="1">
      <c r="B187" s="1616"/>
      <c r="C187" s="332" t="s">
        <v>3320</v>
      </c>
      <c r="D187" s="332" t="s">
        <v>185</v>
      </c>
      <c r="E187" s="332" t="s">
        <v>3321</v>
      </c>
      <c r="F187" s="333">
        <v>0.15</v>
      </c>
      <c r="G187" s="334" t="s">
        <v>2250</v>
      </c>
    </row>
    <row r="188" spans="2:7" ht="14.5" hidden="1" outlineLevel="1">
      <c r="B188" s="1616"/>
      <c r="C188" s="332" t="s">
        <v>3322</v>
      </c>
      <c r="D188" s="332" t="s">
        <v>185</v>
      </c>
      <c r="E188" s="332" t="s">
        <v>3310</v>
      </c>
      <c r="F188" s="333">
        <v>1.0900000000000001</v>
      </c>
      <c r="G188" s="334" t="s">
        <v>2250</v>
      </c>
    </row>
    <row r="189" spans="2:7" ht="14.5" hidden="1" outlineLevel="1">
      <c r="B189" s="1616"/>
      <c r="C189" s="332" t="s">
        <v>3323</v>
      </c>
      <c r="D189" s="332" t="s">
        <v>185</v>
      </c>
      <c r="E189" s="332" t="s">
        <v>3310</v>
      </c>
      <c r="F189" s="333">
        <v>1.0900000000000001</v>
      </c>
      <c r="G189" s="334" t="s">
        <v>2250</v>
      </c>
    </row>
    <row r="190" spans="2:7" ht="14.5" hidden="1" outlineLevel="1">
      <c r="B190" s="1616"/>
      <c r="C190" s="332" t="s">
        <v>3324</v>
      </c>
      <c r="D190" s="332" t="s">
        <v>185</v>
      </c>
      <c r="E190" s="332" t="s">
        <v>3310</v>
      </c>
      <c r="F190" s="333">
        <v>1.0900000000000001</v>
      </c>
      <c r="G190" s="334" t="s">
        <v>2250</v>
      </c>
    </row>
    <row r="191" spans="2:7" ht="14.5" hidden="1" outlineLevel="1">
      <c r="B191" s="1616"/>
      <c r="C191" s="332" t="s">
        <v>3316</v>
      </c>
      <c r="D191" s="332" t="s">
        <v>185</v>
      </c>
      <c r="E191" s="332" t="s">
        <v>3325</v>
      </c>
      <c r="F191" s="333">
        <v>0.05</v>
      </c>
      <c r="G191" s="334" t="s">
        <v>2250</v>
      </c>
    </row>
    <row r="192" spans="2:7" ht="29" hidden="1" outlineLevel="1">
      <c r="B192" s="1616"/>
      <c r="C192" s="332" t="s">
        <v>3313</v>
      </c>
      <c r="D192" s="332" t="s">
        <v>185</v>
      </c>
      <c r="E192" s="332" t="s">
        <v>3319</v>
      </c>
      <c r="F192" s="333">
        <v>0.05</v>
      </c>
      <c r="G192" s="334" t="s">
        <v>2250</v>
      </c>
    </row>
    <row r="193" spans="2:7" ht="15" hidden="1" outlineLevel="1" thickBot="1">
      <c r="B193" s="1617" t="s">
        <v>83</v>
      </c>
      <c r="C193" s="1625"/>
      <c r="D193" s="1625"/>
      <c r="E193" s="1625"/>
      <c r="F193" s="335">
        <f>SUM(F179:F192)</f>
        <v>16.280000000000005</v>
      </c>
      <c r="G193" s="336" t="s">
        <v>2250</v>
      </c>
    </row>
    <row r="194" spans="2:7" ht="14.5" hidden="1" outlineLevel="1">
      <c r="B194" s="1615" t="s">
        <v>3327</v>
      </c>
      <c r="C194" s="343" t="s">
        <v>3328</v>
      </c>
      <c r="D194" s="343" t="s">
        <v>185</v>
      </c>
      <c r="E194" s="343" t="s">
        <v>132</v>
      </c>
      <c r="F194" s="344">
        <v>4.75</v>
      </c>
      <c r="G194" s="345" t="s">
        <v>2250</v>
      </c>
    </row>
    <row r="195" spans="2:7" ht="29" hidden="1" outlineLevel="1">
      <c r="B195" s="1616"/>
      <c r="C195" s="332" t="s">
        <v>3329</v>
      </c>
      <c r="D195" s="332" t="s">
        <v>185</v>
      </c>
      <c r="E195" s="332" t="s">
        <v>3310</v>
      </c>
      <c r="F195" s="333">
        <v>0.25</v>
      </c>
      <c r="G195" s="334" t="s">
        <v>2250</v>
      </c>
    </row>
    <row r="196" spans="2:7" ht="15" hidden="1" outlineLevel="1" thickBot="1">
      <c r="B196" s="1617" t="s">
        <v>83</v>
      </c>
      <c r="C196" s="1625"/>
      <c r="D196" s="1625"/>
      <c r="E196" s="1625"/>
      <c r="F196" s="335">
        <f>SUM(F194:F195)</f>
        <v>5</v>
      </c>
      <c r="G196" s="336" t="s">
        <v>2250</v>
      </c>
    </row>
    <row r="197" spans="2:7" ht="14.5" hidden="1" outlineLevel="1">
      <c r="B197" s="1623" t="s">
        <v>3330</v>
      </c>
      <c r="C197" s="340" t="s">
        <v>3328</v>
      </c>
      <c r="D197" s="340" t="s">
        <v>185</v>
      </c>
      <c r="E197" s="340" t="s">
        <v>131</v>
      </c>
      <c r="F197" s="341">
        <v>30.9</v>
      </c>
      <c r="G197" s="342" t="s">
        <v>2250</v>
      </c>
    </row>
    <row r="198" spans="2:7" ht="14.5" hidden="1" outlineLevel="1">
      <c r="B198" s="1616"/>
      <c r="C198" s="332" t="s">
        <v>3331</v>
      </c>
      <c r="D198" s="332" t="s">
        <v>185</v>
      </c>
      <c r="E198" s="332" t="s">
        <v>3325</v>
      </c>
      <c r="F198" s="333">
        <v>2.4</v>
      </c>
      <c r="G198" s="334" t="s">
        <v>2250</v>
      </c>
    </row>
    <row r="199" spans="2:7" ht="14.5" hidden="1" outlineLevel="1">
      <c r="B199" s="1616"/>
      <c r="C199" s="332" t="s">
        <v>3332</v>
      </c>
      <c r="D199" s="332" t="s">
        <v>185</v>
      </c>
      <c r="E199" s="332" t="s">
        <v>3310</v>
      </c>
      <c r="F199" s="333">
        <v>4.4000000000000004</v>
      </c>
      <c r="G199" s="334" t="s">
        <v>2250</v>
      </c>
    </row>
    <row r="200" spans="2:7" ht="15" hidden="1" outlineLevel="1" thickBot="1">
      <c r="B200" s="1617" t="s">
        <v>83</v>
      </c>
      <c r="C200" s="1625"/>
      <c r="D200" s="1625"/>
      <c r="E200" s="1625"/>
      <c r="F200" s="335">
        <f>SUM(F197:F199)</f>
        <v>37.699999999999996</v>
      </c>
      <c r="G200" s="336" t="s">
        <v>2250</v>
      </c>
    </row>
    <row r="201" spans="2:7" hidden="1" outlineLevel="1"/>
    <row r="202" spans="2:7" hidden="1" outlineLevel="1">
      <c r="B202" s="1251" t="s">
        <v>3333</v>
      </c>
    </row>
    <row r="203" spans="2:7" ht="14.5" hidden="1" outlineLevel="1" thickBot="1"/>
    <row r="204" spans="2:7" hidden="1" outlineLevel="1">
      <c r="B204" s="273"/>
      <c r="C204" s="285" t="s">
        <v>70</v>
      </c>
      <c r="D204" s="285" t="s">
        <v>3334</v>
      </c>
      <c r="E204" s="286" t="s">
        <v>301</v>
      </c>
    </row>
    <row r="205" spans="2:7" ht="14.5" hidden="1" outlineLevel="1">
      <c r="B205" s="1616" t="s">
        <v>3224</v>
      </c>
      <c r="C205" s="350" t="s">
        <v>3335</v>
      </c>
      <c r="D205" s="332">
        <v>100</v>
      </c>
      <c r="E205" s="334" t="s">
        <v>2250</v>
      </c>
    </row>
    <row r="206" spans="2:7" ht="15" hidden="1" outlineLevel="1" thickBot="1">
      <c r="B206" s="1624"/>
      <c r="C206" s="362" t="s">
        <v>3336</v>
      </c>
      <c r="D206" s="363">
        <v>100</v>
      </c>
      <c r="E206" s="361" t="s">
        <v>2250</v>
      </c>
    </row>
    <row r="207" spans="2:7" ht="14.5" hidden="1" outlineLevel="1">
      <c r="B207" s="1615" t="s">
        <v>3337</v>
      </c>
      <c r="C207" s="356" t="s">
        <v>3338</v>
      </c>
      <c r="D207" s="205">
        <v>11</v>
      </c>
      <c r="E207" s="345" t="s">
        <v>2250</v>
      </c>
    </row>
    <row r="208" spans="2:7" ht="14.5" hidden="1" outlineLevel="1">
      <c r="B208" s="1616"/>
      <c r="C208" s="113" t="s">
        <v>3339</v>
      </c>
      <c r="D208" s="21">
        <v>9.1999999999999993</v>
      </c>
      <c r="E208" s="334" t="s">
        <v>2250</v>
      </c>
    </row>
    <row r="209" spans="2:7" ht="14.5" hidden="1" outlineLevel="1">
      <c r="B209" s="1616"/>
      <c r="C209" s="113" t="s">
        <v>3340</v>
      </c>
      <c r="D209" s="21">
        <v>11.3</v>
      </c>
      <c r="E209" s="334" t="s">
        <v>2250</v>
      </c>
    </row>
    <row r="210" spans="2:7" ht="14.5" hidden="1" outlineLevel="1">
      <c r="B210" s="1616"/>
      <c r="C210" s="113" t="s">
        <v>3341</v>
      </c>
      <c r="D210" s="21">
        <v>14.2</v>
      </c>
      <c r="E210" s="334" t="s">
        <v>2250</v>
      </c>
    </row>
    <row r="211" spans="2:7" ht="14.5" hidden="1" outlineLevel="1">
      <c r="B211" s="1616"/>
      <c r="C211" s="113" t="s">
        <v>3342</v>
      </c>
      <c r="D211" s="21">
        <v>13.4</v>
      </c>
      <c r="E211" s="334" t="s">
        <v>2250</v>
      </c>
    </row>
    <row r="212" spans="2:7" ht="14.5" hidden="1" outlineLevel="1">
      <c r="B212" s="1616"/>
      <c r="C212" s="113" t="s">
        <v>3343</v>
      </c>
      <c r="D212" s="21">
        <v>17.5</v>
      </c>
      <c r="E212" s="334" t="s">
        <v>2250</v>
      </c>
    </row>
    <row r="213" spans="2:7" ht="14.5" hidden="1" outlineLevel="1">
      <c r="B213" s="1616"/>
      <c r="C213" s="113" t="s">
        <v>3344</v>
      </c>
      <c r="D213" s="21">
        <v>12.3</v>
      </c>
      <c r="E213" s="334" t="s">
        <v>2250</v>
      </c>
    </row>
    <row r="214" spans="2:7" ht="14.5" hidden="1" outlineLevel="1">
      <c r="B214" s="1616"/>
      <c r="C214" s="113" t="s">
        <v>3345</v>
      </c>
      <c r="D214" s="21">
        <v>14.5</v>
      </c>
      <c r="E214" s="334" t="s">
        <v>2250</v>
      </c>
    </row>
    <row r="215" spans="2:7" ht="15" hidden="1" outlineLevel="1" thickBot="1">
      <c r="B215" s="1617"/>
      <c r="C215" s="359" t="s">
        <v>144</v>
      </c>
      <c r="D215" s="203">
        <f>AVERAGE(D207:D214)</f>
        <v>12.924999999999999</v>
      </c>
      <c r="E215" s="336" t="s">
        <v>2250</v>
      </c>
    </row>
    <row r="216" spans="2:7" ht="14.5" hidden="1" outlineLevel="1">
      <c r="B216" s="1615" t="s">
        <v>3346</v>
      </c>
      <c r="C216" s="356" t="s">
        <v>3347</v>
      </c>
      <c r="D216" s="205">
        <v>17.100000000000001</v>
      </c>
      <c r="E216" s="345" t="s">
        <v>2250</v>
      </c>
    </row>
    <row r="217" spans="2:7" ht="14.5" hidden="1" outlineLevel="1">
      <c r="B217" s="1616"/>
      <c r="C217" s="113" t="s">
        <v>3348</v>
      </c>
      <c r="D217" s="21">
        <v>18.5</v>
      </c>
      <c r="E217" s="334" t="s">
        <v>2250</v>
      </c>
    </row>
    <row r="218" spans="2:7" ht="14.5" hidden="1" outlineLevel="1">
      <c r="B218" s="1616"/>
      <c r="C218" s="113" t="s">
        <v>3349</v>
      </c>
      <c r="D218" s="21">
        <v>18.100000000000001</v>
      </c>
      <c r="E218" s="334" t="s">
        <v>2250</v>
      </c>
    </row>
    <row r="219" spans="2:7" ht="15" hidden="1" outlineLevel="1" thickBot="1">
      <c r="B219" s="1617"/>
      <c r="C219" s="359" t="s">
        <v>144</v>
      </c>
      <c r="D219" s="203">
        <f>AVERAGE(D216:D218)</f>
        <v>17.900000000000002</v>
      </c>
      <c r="E219" s="336" t="s">
        <v>2250</v>
      </c>
    </row>
    <row r="220" spans="2:7" hidden="1" outlineLevel="1">
      <c r="B220" s="1623" t="s">
        <v>3350</v>
      </c>
      <c r="C220" s="358" t="s">
        <v>3351</v>
      </c>
      <c r="D220" s="352">
        <v>119.95</v>
      </c>
      <c r="E220" s="1362" t="s">
        <v>2250</v>
      </c>
    </row>
    <row r="221" spans="2:7" hidden="1" outlineLevel="1">
      <c r="B221" s="1616"/>
      <c r="C221" s="1621" t="s">
        <v>3352</v>
      </c>
      <c r="D221" s="21">
        <v>75</v>
      </c>
      <c r="E221" s="1283" t="s">
        <v>3353</v>
      </c>
    </row>
    <row r="222" spans="2:7" ht="14.5" hidden="1" outlineLevel="1" thickBot="1">
      <c r="B222" s="1624"/>
      <c r="C222" s="1622"/>
      <c r="D222" s="357">
        <v>20</v>
      </c>
      <c r="E222" s="1426" t="s">
        <v>2250</v>
      </c>
    </row>
    <row r="223" spans="2:7" hidden="1" outlineLevel="1">
      <c r="B223" s="1618" t="s">
        <v>3354</v>
      </c>
      <c r="C223" s="356" t="s">
        <v>3355</v>
      </c>
      <c r="D223" s="205">
        <v>35</v>
      </c>
      <c r="E223" s="1340" t="s">
        <v>2250</v>
      </c>
    </row>
    <row r="224" spans="2:7" ht="14.5" hidden="1" outlineLevel="1">
      <c r="B224" s="1619"/>
      <c r="C224" s="113" t="s">
        <v>3356</v>
      </c>
      <c r="D224" s="21">
        <v>37</v>
      </c>
      <c r="E224" s="1283" t="s">
        <v>2250</v>
      </c>
      <c r="G224" s="346"/>
    </row>
    <row r="225" spans="2:9" ht="14.5" hidden="1" outlineLevel="1">
      <c r="B225" s="1619"/>
      <c r="C225" s="351" t="s">
        <v>144</v>
      </c>
      <c r="D225" s="202">
        <f>AVERAGE(D223:D224)</f>
        <v>36</v>
      </c>
      <c r="E225" s="1283" t="s">
        <v>2250</v>
      </c>
      <c r="H225" s="87"/>
      <c r="I225" s="87"/>
    </row>
    <row r="226" spans="2:9" ht="29" hidden="1" outlineLevel="1">
      <c r="B226" s="1619"/>
      <c r="C226" s="353" t="s">
        <v>3357</v>
      </c>
      <c r="D226" s="1427">
        <f>60</f>
        <v>60</v>
      </c>
      <c r="E226" s="1283" t="s">
        <v>3358</v>
      </c>
      <c r="H226" s="87"/>
      <c r="I226" s="87"/>
    </row>
    <row r="227" spans="2:9" ht="29" hidden="1" outlineLevel="1">
      <c r="B227" s="1619"/>
      <c r="C227" s="353" t="s">
        <v>3359</v>
      </c>
      <c r="D227" s="360">
        <v>20</v>
      </c>
      <c r="E227" s="1426" t="s">
        <v>3358</v>
      </c>
      <c r="H227" s="87"/>
      <c r="I227" s="87"/>
    </row>
    <row r="228" spans="2:9" ht="29" hidden="1" outlineLevel="1">
      <c r="B228" s="1619"/>
      <c r="C228" s="353" t="s">
        <v>3360</v>
      </c>
      <c r="D228" s="360">
        <v>15</v>
      </c>
      <c r="E228" s="1426" t="s">
        <v>3358</v>
      </c>
      <c r="H228" s="87"/>
      <c r="I228" s="87"/>
    </row>
    <row r="229" spans="2:9" ht="29.5" hidden="1" outlineLevel="1" thickBot="1">
      <c r="B229" s="1620"/>
      <c r="C229" s="354" t="s">
        <v>3361</v>
      </c>
      <c r="D229" s="203">
        <v>5</v>
      </c>
      <c r="E229" s="1285" t="s">
        <v>3358</v>
      </c>
      <c r="H229" s="87"/>
      <c r="I229" s="87"/>
    </row>
    <row r="230" spans="2:9" ht="14.5" hidden="1" outlineLevel="1">
      <c r="B230" s="364"/>
      <c r="C230" s="365"/>
      <c r="D230" s="366"/>
      <c r="E230" s="1428"/>
      <c r="H230" s="87"/>
      <c r="I230" s="87"/>
    </row>
    <row r="231" spans="2:9" hidden="1" outlineLevel="1">
      <c r="B231" s="1623" t="s">
        <v>3362</v>
      </c>
      <c r="C231" s="358" t="s">
        <v>3363</v>
      </c>
      <c r="D231" s="352">
        <v>54</v>
      </c>
      <c r="E231" s="1362" t="s">
        <v>2250</v>
      </c>
      <c r="F231" s="1251" t="s">
        <v>3364</v>
      </c>
    </row>
    <row r="232" spans="2:9" hidden="1" outlineLevel="1">
      <c r="B232" s="1616"/>
      <c r="C232" s="1621" t="s">
        <v>3352</v>
      </c>
      <c r="D232" s="21">
        <v>72</v>
      </c>
      <c r="E232" s="1283" t="s">
        <v>2250</v>
      </c>
    </row>
    <row r="233" spans="2:9" hidden="1" outlineLevel="1">
      <c r="B233" s="1616"/>
      <c r="C233" s="1621"/>
      <c r="D233" s="21">
        <v>24</v>
      </c>
      <c r="E233" s="1283" t="s">
        <v>2250</v>
      </c>
      <c r="H233" s="347"/>
      <c r="I233" s="348"/>
    </row>
    <row r="234" spans="2:9" hidden="1" outlineLevel="1">
      <c r="B234" s="1616"/>
      <c r="C234" s="113" t="s">
        <v>3363</v>
      </c>
      <c r="D234" s="21">
        <v>59</v>
      </c>
      <c r="E234" s="1283" t="s">
        <v>2250</v>
      </c>
      <c r="H234" s="347"/>
      <c r="I234" s="347"/>
    </row>
    <row r="235" spans="2:9" hidden="1" outlineLevel="1">
      <c r="B235" s="1616"/>
      <c r="C235" s="1621" t="s">
        <v>3352</v>
      </c>
      <c r="D235" s="21">
        <v>72</v>
      </c>
      <c r="E235" s="1283" t="s">
        <v>2250</v>
      </c>
    </row>
    <row r="236" spans="2:9" ht="14.5" hidden="1" outlineLevel="1" thickBot="1">
      <c r="B236" s="1624"/>
      <c r="C236" s="1622"/>
      <c r="D236" s="357">
        <v>24</v>
      </c>
      <c r="E236" s="1426" t="s">
        <v>2250</v>
      </c>
      <c r="H236" s="87"/>
    </row>
    <row r="237" spans="2:9" hidden="1" outlineLevel="1">
      <c r="B237" s="1615" t="s">
        <v>3225</v>
      </c>
      <c r="C237" s="356" t="s">
        <v>3365</v>
      </c>
      <c r="D237" s="205">
        <v>34</v>
      </c>
      <c r="E237" s="1340" t="s">
        <v>2250</v>
      </c>
      <c r="H237" s="1274"/>
    </row>
    <row r="238" spans="2:9" ht="43.5" hidden="1" outlineLevel="1">
      <c r="B238" s="1616"/>
      <c r="C238" s="353" t="s">
        <v>3366</v>
      </c>
      <c r="D238" s="21">
        <f>D237*7/17</f>
        <v>14</v>
      </c>
      <c r="E238" s="1283" t="s">
        <v>2250</v>
      </c>
      <c r="H238" s="1251"/>
    </row>
    <row r="239" spans="2:9" ht="29" hidden="1" outlineLevel="1">
      <c r="B239" s="1616"/>
      <c r="C239" s="353" t="s">
        <v>3367</v>
      </c>
      <c r="D239" s="21">
        <f>D237*10/17</f>
        <v>20</v>
      </c>
      <c r="E239" s="1283" t="s">
        <v>2250</v>
      </c>
      <c r="G239" s="346"/>
      <c r="H239" s="1251"/>
    </row>
    <row r="240" spans="2:9" hidden="1" outlineLevel="1">
      <c r="B240" s="1616"/>
      <c r="C240" s="113" t="s">
        <v>3368</v>
      </c>
      <c r="D240" s="1266" t="s">
        <v>3105</v>
      </c>
      <c r="E240" s="1283"/>
      <c r="G240" s="1251"/>
    </row>
    <row r="241" spans="2:12" ht="14.5" hidden="1" outlineLevel="1">
      <c r="B241" s="1616"/>
      <c r="C241" s="113" t="s">
        <v>3369</v>
      </c>
      <c r="D241" s="1266" t="s">
        <v>620</v>
      </c>
      <c r="E241" s="1283"/>
      <c r="G241" s="346"/>
    </row>
    <row r="242" spans="2:12" ht="43.5" hidden="1" outlineLevel="1">
      <c r="B242" s="1616"/>
      <c r="C242" s="353" t="s">
        <v>3366</v>
      </c>
      <c r="D242" s="11">
        <v>50</v>
      </c>
      <c r="E242" s="1283" t="s">
        <v>3358</v>
      </c>
      <c r="G242" s="346"/>
    </row>
    <row r="243" spans="2:12" ht="29.5" hidden="1" outlineLevel="1" thickBot="1">
      <c r="B243" s="1617"/>
      <c r="C243" s="354" t="s">
        <v>3370</v>
      </c>
      <c r="D243" s="14">
        <v>50</v>
      </c>
      <c r="E243" s="1285" t="s">
        <v>3358</v>
      </c>
      <c r="G243" s="346"/>
    </row>
    <row r="244" spans="2:12" hidden="1" outlineLevel="1">
      <c r="B244" s="1615" t="s">
        <v>3371</v>
      </c>
      <c r="C244" s="356" t="s">
        <v>3372</v>
      </c>
      <c r="D244" s="205">
        <v>0.52</v>
      </c>
      <c r="E244" s="1340" t="s">
        <v>2250</v>
      </c>
      <c r="G244" s="1251"/>
    </row>
    <row r="245" spans="2:12" ht="14.5" hidden="1" outlineLevel="1">
      <c r="B245" s="1616"/>
      <c r="C245" s="113" t="s">
        <v>3373</v>
      </c>
      <c r="D245" s="21">
        <v>0.38</v>
      </c>
      <c r="E245" s="1283" t="s">
        <v>2250</v>
      </c>
      <c r="G245" s="346"/>
    </row>
    <row r="246" spans="2:12" hidden="1" outlineLevel="1">
      <c r="B246" s="1616"/>
      <c r="C246" s="113" t="s">
        <v>3374</v>
      </c>
      <c r="D246" s="21">
        <v>0.54</v>
      </c>
      <c r="E246" s="1283" t="s">
        <v>2250</v>
      </c>
    </row>
    <row r="247" spans="2:12" ht="14.5" hidden="1" outlineLevel="1">
      <c r="B247" s="1616" t="s">
        <v>3229</v>
      </c>
      <c r="C247" s="351" t="s">
        <v>144</v>
      </c>
      <c r="D247" s="202">
        <f>AVERAGE(D244:D246)</f>
        <v>0.48</v>
      </c>
      <c r="E247" s="1283" t="s">
        <v>2250</v>
      </c>
    </row>
    <row r="248" spans="2:12" ht="29" hidden="1" outlineLevel="1">
      <c r="B248" s="1616"/>
      <c r="C248" s="353" t="s">
        <v>3375</v>
      </c>
      <c r="D248" s="21">
        <v>80</v>
      </c>
      <c r="E248" s="1283" t="s">
        <v>3358</v>
      </c>
    </row>
    <row r="249" spans="2:12" ht="29.5" hidden="1" outlineLevel="1" thickBot="1">
      <c r="B249" s="1617"/>
      <c r="C249" s="354" t="s">
        <v>3376</v>
      </c>
      <c r="D249" s="22">
        <v>20</v>
      </c>
      <c r="E249" s="1285" t="s">
        <v>3358</v>
      </c>
    </row>
    <row r="250" spans="2:12" hidden="1" outlineLevel="1"/>
    <row r="251" spans="2:12" ht="14.5" hidden="1" outlineLevel="1" thickBot="1">
      <c r="B251" s="1251" t="s">
        <v>2436</v>
      </c>
    </row>
    <row r="252" spans="2:12" hidden="1" outlineLevel="1">
      <c r="B252" s="273" t="s">
        <v>3277</v>
      </c>
      <c r="C252" s="285" t="s">
        <v>3377</v>
      </c>
      <c r="D252" s="285" t="s">
        <v>3378</v>
      </c>
      <c r="E252" s="285" t="s">
        <v>3379</v>
      </c>
      <c r="F252" s="285" t="s">
        <v>3380</v>
      </c>
      <c r="G252" s="285" t="s">
        <v>3381</v>
      </c>
      <c r="H252" s="285" t="s">
        <v>3382</v>
      </c>
      <c r="I252" s="285" t="s">
        <v>3383</v>
      </c>
      <c r="J252" s="285" t="s">
        <v>3384</v>
      </c>
      <c r="K252" s="285" t="s">
        <v>3385</v>
      </c>
      <c r="L252" s="286" t="s">
        <v>3386</v>
      </c>
    </row>
    <row r="253" spans="2:12" hidden="1" outlineLevel="1">
      <c r="B253" s="276" t="s">
        <v>3224</v>
      </c>
      <c r="C253" s="21"/>
      <c r="D253" s="291">
        <f t="shared" ref="D253:D259" si="8">SUM(E253:L253)</f>
        <v>109.5</v>
      </c>
      <c r="E253" s="21"/>
      <c r="F253" s="21">
        <f>F160</f>
        <v>91.98</v>
      </c>
      <c r="G253" s="21">
        <f>F161+F162</f>
        <v>17.52</v>
      </c>
      <c r="H253" s="21"/>
      <c r="I253" s="21"/>
      <c r="J253" s="21"/>
      <c r="K253" s="21"/>
      <c r="L253" s="17"/>
    </row>
    <row r="254" spans="2:12" ht="14.5" hidden="1" outlineLevel="1">
      <c r="B254" s="276" t="s">
        <v>3225</v>
      </c>
      <c r="C254" s="368" t="s">
        <v>3387</v>
      </c>
      <c r="D254" s="291">
        <f t="shared" si="8"/>
        <v>34</v>
      </c>
      <c r="E254" s="21"/>
      <c r="F254" s="21"/>
      <c r="G254" s="21"/>
      <c r="H254" s="21"/>
      <c r="I254" s="21">
        <f>D237</f>
        <v>34</v>
      </c>
      <c r="J254" s="21"/>
      <c r="K254" s="21"/>
      <c r="L254" s="17"/>
    </row>
    <row r="255" spans="2:12" ht="14.5" hidden="1" outlineLevel="1">
      <c r="B255" s="276" t="s">
        <v>3226</v>
      </c>
      <c r="C255" s="368" t="s">
        <v>3388</v>
      </c>
      <c r="D255" s="290">
        <f t="shared" si="8"/>
        <v>15.624046375921376</v>
      </c>
      <c r="E255" s="180">
        <f>50%*SUM(F164:F168)*D215/F178</f>
        <v>4.8865709459459445</v>
      </c>
      <c r="F255" s="180">
        <f>50%*SUM(F179:F183)*D219/F193</f>
        <v>6.7674754299754296</v>
      </c>
      <c r="G255" s="21">
        <f>SUM(F173:F175)</f>
        <v>3.2700000000000005</v>
      </c>
      <c r="H255" s="21">
        <f>SUM(F191)</f>
        <v>0.05</v>
      </c>
      <c r="I255" s="21">
        <f>F184+F185+F192</f>
        <v>0.35</v>
      </c>
      <c r="J255" s="21">
        <f>F186+F187</f>
        <v>0.3</v>
      </c>
      <c r="K255" s="21"/>
      <c r="L255" s="17"/>
    </row>
    <row r="256" spans="2:12" ht="14.5" hidden="1" outlineLevel="1">
      <c r="B256" s="276" t="s">
        <v>3227</v>
      </c>
      <c r="C256" s="368" t="s">
        <v>3389</v>
      </c>
      <c r="D256" s="291">
        <f t="shared" si="8"/>
        <v>119.94999999999997</v>
      </c>
      <c r="E256" s="247">
        <f t="shared" ref="E256:J256" si="9">E255*($D220-$D222)/$D255</f>
        <v>31.260324905333281</v>
      </c>
      <c r="F256" s="247">
        <f t="shared" si="9"/>
        <v>43.292829075858094</v>
      </c>
      <c r="G256" s="247">
        <f t="shared" si="9"/>
        <v>20.918812715744128</v>
      </c>
      <c r="H256" s="247">
        <f t="shared" si="9"/>
        <v>0.31985952164746373</v>
      </c>
      <c r="I256" s="247">
        <f t="shared" si="9"/>
        <v>2.2390166515322458</v>
      </c>
      <c r="J256" s="247">
        <f t="shared" si="9"/>
        <v>1.919157129884782</v>
      </c>
      <c r="K256" s="21">
        <f>D222</f>
        <v>20</v>
      </c>
      <c r="L256" s="17"/>
    </row>
    <row r="257" spans="2:18" ht="14.5" hidden="1" outlineLevel="1">
      <c r="B257" s="276" t="s">
        <v>3228</v>
      </c>
      <c r="C257" s="368" t="s">
        <v>3390</v>
      </c>
      <c r="D257" s="291">
        <f t="shared" si="8"/>
        <v>36</v>
      </c>
      <c r="E257" s="21">
        <f>D226*D225/100</f>
        <v>21.6</v>
      </c>
      <c r="F257" s="21"/>
      <c r="G257" s="21">
        <f>D227*D225/100</f>
        <v>7.2</v>
      </c>
      <c r="H257" s="21"/>
      <c r="I257" s="21">
        <f>D228*D225/100</f>
        <v>5.4</v>
      </c>
      <c r="J257" s="21">
        <f>D229*D225/100</f>
        <v>1.8</v>
      </c>
      <c r="K257" s="21"/>
      <c r="L257" s="17"/>
    </row>
    <row r="258" spans="2:18" ht="14.5" hidden="1" outlineLevel="1">
      <c r="B258" s="276" t="s">
        <v>3229</v>
      </c>
      <c r="C258" s="368" t="s">
        <v>3391</v>
      </c>
      <c r="D258" s="291">
        <f t="shared" si="8"/>
        <v>1.0764</v>
      </c>
      <c r="E258" s="21">
        <f>85%*D248*D247/100 + 15%*F194</f>
        <v>1.0388999999999999</v>
      </c>
      <c r="F258" s="21"/>
      <c r="G258" s="21">
        <f>15%*F195</f>
        <v>3.7499999999999999E-2</v>
      </c>
      <c r="H258" s="21"/>
      <c r="I258" s="21"/>
      <c r="J258" s="21"/>
      <c r="K258" s="21"/>
      <c r="L258" s="17"/>
    </row>
    <row r="259" spans="2:18" ht="14.5" hidden="1" outlineLevel="1" thickBot="1">
      <c r="B259" s="281" t="s">
        <v>3230</v>
      </c>
      <c r="C259" s="22"/>
      <c r="D259" s="367">
        <f t="shared" si="8"/>
        <v>37.699999999999996</v>
      </c>
      <c r="E259" s="22"/>
      <c r="F259" s="22">
        <f>F197</f>
        <v>30.9</v>
      </c>
      <c r="G259" s="22">
        <f>F199</f>
        <v>4.4000000000000004</v>
      </c>
      <c r="H259" s="22">
        <f>F198</f>
        <v>2.4</v>
      </c>
      <c r="I259" s="22"/>
      <c r="J259" s="22"/>
      <c r="K259" s="22"/>
      <c r="L259" s="38"/>
    </row>
    <row r="260" spans="2:18" ht="14.5" hidden="1" outlineLevel="1" thickBot="1"/>
    <row r="261" spans="2:18" ht="14.5" hidden="1" outlineLevel="1" thickBot="1">
      <c r="B261" s="1251" t="s">
        <v>3392</v>
      </c>
      <c r="J261" s="273" t="s">
        <v>3393</v>
      </c>
      <c r="K261" s="285" t="s">
        <v>132</v>
      </c>
      <c r="L261" s="285" t="s">
        <v>131</v>
      </c>
      <c r="M261" s="285" t="s">
        <v>3310</v>
      </c>
      <c r="N261" s="285" t="s">
        <v>3325</v>
      </c>
      <c r="O261" s="285" t="s">
        <v>3105</v>
      </c>
      <c r="P261" s="285" t="s">
        <v>3321</v>
      </c>
      <c r="Q261" s="285" t="s">
        <v>3394</v>
      </c>
      <c r="R261" s="286" t="s">
        <v>3395</v>
      </c>
    </row>
    <row r="262" spans="2:18" ht="14.5" hidden="1" outlineLevel="1" thickBot="1">
      <c r="B262" s="1251" t="s">
        <v>3396</v>
      </c>
      <c r="J262" s="725" t="s">
        <v>3397</v>
      </c>
      <c r="K262" s="664">
        <v>7980.9801807284312</v>
      </c>
      <c r="L262" s="664">
        <v>17705.223013446623</v>
      </c>
      <c r="M262" s="664">
        <v>4945.0671145757015</v>
      </c>
      <c r="N262" s="664">
        <v>71.228542158885119</v>
      </c>
      <c r="O262" s="664">
        <v>13142.01629972758</v>
      </c>
      <c r="P262" s="664">
        <v>317.74482833792604</v>
      </c>
      <c r="Q262" s="664">
        <v>360</v>
      </c>
      <c r="R262" s="208">
        <v>0</v>
      </c>
    </row>
    <row r="263" spans="2:18" ht="28" hidden="1" outlineLevel="1">
      <c r="B263" s="259" t="s">
        <v>3277</v>
      </c>
      <c r="C263" s="287" t="s">
        <v>957</v>
      </c>
      <c r="D263" s="288" t="s">
        <v>363</v>
      </c>
    </row>
    <row r="264" spans="2:18" hidden="1" outlineLevel="1">
      <c r="B264" s="276" t="s">
        <v>3224</v>
      </c>
      <c r="C264" s="11">
        <v>360.87378318170073</v>
      </c>
      <c r="D264" s="1429">
        <f t="shared" ref="D264:D270" si="10">C264*C142/10^6</f>
        <v>59.736383235771683</v>
      </c>
      <c r="E264" s="23"/>
    </row>
    <row r="265" spans="2:18" hidden="1" outlineLevel="1">
      <c r="B265" s="276" t="s">
        <v>3225</v>
      </c>
      <c r="C265" s="11">
        <v>245.18644930794977</v>
      </c>
      <c r="D265" s="1429">
        <f t="shared" si="10"/>
        <v>88.909755434498052</v>
      </c>
    </row>
    <row r="266" spans="2:18" hidden="1" outlineLevel="1">
      <c r="B266" s="276" t="s">
        <v>3226</v>
      </c>
      <c r="C266" s="11">
        <v>147.73582451348437</v>
      </c>
      <c r="D266" s="1429">
        <f t="shared" si="10"/>
        <v>20.683015431887814</v>
      </c>
      <c r="F266" s="1251"/>
    </row>
    <row r="267" spans="2:18" hidden="1" outlineLevel="1">
      <c r="B267" s="276" t="s">
        <v>3227</v>
      </c>
      <c r="C267" s="11">
        <v>2171.3442031815348</v>
      </c>
      <c r="D267" s="1429">
        <f t="shared" si="10"/>
        <v>39.084195657267621</v>
      </c>
      <c r="E267" s="39"/>
    </row>
    <row r="268" spans="2:18" hidden="1" outlineLevel="1">
      <c r="B268" s="276" t="s">
        <v>3228</v>
      </c>
      <c r="C268" s="11">
        <v>565.50367933897826</v>
      </c>
      <c r="D268" s="1429">
        <f t="shared" si="10"/>
        <v>75.777493031423091</v>
      </c>
    </row>
    <row r="269" spans="2:18" hidden="1" outlineLevel="1">
      <c r="B269" s="276" t="s">
        <v>3229</v>
      </c>
      <c r="C269" s="11">
        <v>23.027715730053181</v>
      </c>
      <c r="D269" s="1429">
        <f t="shared" si="10"/>
        <v>85.110437338276569</v>
      </c>
    </row>
    <row r="270" spans="2:18" ht="14.5" hidden="1" outlineLevel="1" thickBot="1">
      <c r="B270" s="281" t="s">
        <v>3230</v>
      </c>
      <c r="C270" s="14">
        <v>124.65307536657735</v>
      </c>
      <c r="D270" s="1430">
        <f t="shared" si="10"/>
        <v>3.0369161630672505</v>
      </c>
    </row>
    <row r="271" spans="2:18" ht="14.5" hidden="1" outlineLevel="1" thickBot="1">
      <c r="C271" s="282" t="s">
        <v>83</v>
      </c>
      <c r="D271" s="369">
        <f>SUM(D264:D270)</f>
        <v>372.33819629219209</v>
      </c>
    </row>
    <row r="272" spans="2:18" hidden="1" outlineLevel="1"/>
    <row r="273" spans="2:7" collapsed="1"/>
    <row r="274" spans="2:7" ht="18">
      <c r="B274" s="258" t="s">
        <v>2428</v>
      </c>
    </row>
    <row r="275" spans="2:7">
      <c r="B275" s="1251"/>
      <c r="C275" s="1251"/>
    </row>
    <row r="276" spans="2:7" hidden="1" outlineLevel="1">
      <c r="B276" s="1251" t="s">
        <v>3398</v>
      </c>
    </row>
    <row r="277" spans="2:7" hidden="1" outlineLevel="1"/>
    <row r="278" spans="2:7" ht="14.5" hidden="1" outlineLevel="1" thickBot="1">
      <c r="B278" s="1251" t="s">
        <v>3399</v>
      </c>
    </row>
    <row r="279" spans="2:7" ht="42" hidden="1" outlineLevel="1">
      <c r="B279" s="259" t="s">
        <v>3277</v>
      </c>
      <c r="C279" s="287" t="s">
        <v>3400</v>
      </c>
      <c r="D279" s="287" t="s">
        <v>3401</v>
      </c>
      <c r="E279" s="287" t="s">
        <v>3402</v>
      </c>
      <c r="F279" s="287" t="s">
        <v>3403</v>
      </c>
      <c r="G279" s="288" t="s">
        <v>363</v>
      </c>
    </row>
    <row r="280" spans="2:7" hidden="1" outlineLevel="1">
      <c r="B280" s="276" t="s">
        <v>3224</v>
      </c>
      <c r="C280" s="180">
        <f t="shared" ref="C280:C286" si="11">D253</f>
        <v>109.5</v>
      </c>
      <c r="D280" s="229">
        <f>C345*2</f>
        <v>0.52271485834712061</v>
      </c>
      <c r="E280" s="11">
        <v>203.44333074351491</v>
      </c>
      <c r="F280" s="1431">
        <v>272.72903967781576</v>
      </c>
      <c r="G280" s="192">
        <f>(D280*E280+(1-D280)*F280)*C142/10^6</f>
        <v>39.150512565699017</v>
      </c>
    </row>
    <row r="281" spans="2:7" hidden="1" outlineLevel="1">
      <c r="B281" s="276" t="s">
        <v>3225</v>
      </c>
      <c r="C281" s="606">
        <f t="shared" si="11"/>
        <v>34</v>
      </c>
      <c r="D281" s="848">
        <f>C348*2</f>
        <v>0.66555577683425637</v>
      </c>
      <c r="E281" s="257"/>
      <c r="F281" s="1432"/>
      <c r="G281" s="392"/>
    </row>
    <row r="282" spans="2:7" hidden="1" outlineLevel="1">
      <c r="B282" s="276" t="s">
        <v>3226</v>
      </c>
      <c r="C282" s="180">
        <f t="shared" si="11"/>
        <v>15.624046375921376</v>
      </c>
      <c r="D282" s="229">
        <f>C346*2</f>
        <v>0.39048169927828252</v>
      </c>
      <c r="E282" s="11">
        <v>29.028383875877516</v>
      </c>
      <c r="F282" s="1431">
        <v>38.914439853759767</v>
      </c>
      <c r="G282" s="192">
        <f>(D282*E282+(1-D282)*F282)*C144/10^6</f>
        <v>4.9075762282898516</v>
      </c>
    </row>
    <row r="283" spans="2:7" hidden="1" outlineLevel="1">
      <c r="B283" s="276" t="s">
        <v>3227</v>
      </c>
      <c r="C283" s="180">
        <f t="shared" si="11"/>
        <v>119.94999999999997</v>
      </c>
      <c r="D283" s="229">
        <f>C347*2</f>
        <v>0.52420901092356498</v>
      </c>
      <c r="E283" s="11">
        <v>222.85869883730237</v>
      </c>
      <c r="F283" s="1431">
        <v>298.75660556487668</v>
      </c>
      <c r="G283" s="192">
        <f>(D283*E283+(1-D283)*F283)*C145/10^6</f>
        <v>4.6614643010648278</v>
      </c>
    </row>
    <row r="284" spans="2:7" hidden="1" outlineLevel="1">
      <c r="B284" s="276" t="s">
        <v>3228</v>
      </c>
      <c r="C284" s="180">
        <f t="shared" si="11"/>
        <v>36</v>
      </c>
      <c r="D284" s="229">
        <f>C346*2</f>
        <v>0.39048169927828252</v>
      </c>
      <c r="E284" s="11">
        <v>66.885478600607641</v>
      </c>
      <c r="F284" s="1431">
        <v>89.66434181188464</v>
      </c>
      <c r="G284" s="192">
        <f>(D284*E284+(1-D284)*F284)*C146/10^6</f>
        <v>10.823128088067364</v>
      </c>
    </row>
    <row r="285" spans="2:7" hidden="1" outlineLevel="1">
      <c r="B285" s="276" t="s">
        <v>3229</v>
      </c>
      <c r="C285" s="180">
        <f t="shared" si="11"/>
        <v>1.0764</v>
      </c>
      <c r="D285" s="229">
        <f>C349*2</f>
        <v>0.2018913274864651</v>
      </c>
      <c r="E285" s="180">
        <v>1.9998758101581684</v>
      </c>
      <c r="F285" s="1433">
        <v>2.680963820175351</v>
      </c>
      <c r="G285" s="192">
        <f>(D285*E285+(1-D285)*F285)*C147/10^6</f>
        <v>9.4006209812513166</v>
      </c>
    </row>
    <row r="286" spans="2:7" ht="14.5" hidden="1" outlineLevel="1" thickBot="1">
      <c r="B286" s="281" t="s">
        <v>3230</v>
      </c>
      <c r="C286" s="18">
        <f t="shared" si="11"/>
        <v>37.699999999999996</v>
      </c>
      <c r="D286" s="376">
        <f>C345*2</f>
        <v>0.52271485834712061</v>
      </c>
      <c r="E286" s="14">
        <v>70.043959534525214</v>
      </c>
      <c r="F286" s="1434">
        <v>93.898491286334746</v>
      </c>
      <c r="G286" s="195">
        <f>(D286*E286+(1-D286)*F286)*C148/10^6</f>
        <v>1.9838594321950387</v>
      </c>
    </row>
    <row r="287" spans="2:7" ht="14.5" hidden="1" outlineLevel="1" thickBot="1">
      <c r="F287" s="330" t="s">
        <v>83</v>
      </c>
      <c r="G287" s="391">
        <f>SUM(G280:G286)</f>
        <v>70.927161596567416</v>
      </c>
    </row>
    <row r="288" spans="2:7" hidden="1" outlineLevel="1"/>
    <row r="289" spans="2:6" collapsed="1">
      <c r="B289" s="1251"/>
    </row>
    <row r="290" spans="2:6" ht="18">
      <c r="B290" s="258" t="s">
        <v>2888</v>
      </c>
    </row>
    <row r="292" spans="2:6" hidden="1" outlineLevel="1">
      <c r="B292" s="1251" t="s">
        <v>3404</v>
      </c>
    </row>
    <row r="293" spans="2:6" hidden="1" outlineLevel="1">
      <c r="B293" s="1251" t="s">
        <v>2890</v>
      </c>
    </row>
    <row r="294" spans="2:6" ht="14.5" hidden="1" outlineLevel="1" thickBot="1"/>
    <row r="295" spans="2:6" ht="28" hidden="1" outlineLevel="1">
      <c r="B295" s="273"/>
      <c r="C295" s="285" t="s">
        <v>70</v>
      </c>
      <c r="D295" s="285" t="s">
        <v>2892</v>
      </c>
      <c r="E295" s="285" t="s">
        <v>301</v>
      </c>
      <c r="F295" s="288" t="s">
        <v>2893</v>
      </c>
    </row>
    <row r="296" spans="2:6" ht="14.5" hidden="1" outlineLevel="1">
      <c r="B296" s="349" t="s">
        <v>3405</v>
      </c>
      <c r="C296" s="113" t="s">
        <v>3406</v>
      </c>
      <c r="D296" s="1321">
        <v>240</v>
      </c>
      <c r="E296" s="332" t="s">
        <v>2895</v>
      </c>
      <c r="F296" s="12">
        <f>240*365/1000</f>
        <v>87.6</v>
      </c>
    </row>
    <row r="297" spans="2:6" ht="14.5" hidden="1" outlineLevel="1" thickBot="1">
      <c r="B297" s="370" t="s">
        <v>3224</v>
      </c>
      <c r="C297" s="144" t="s">
        <v>3407</v>
      </c>
      <c r="D297" s="22">
        <v>15.8</v>
      </c>
      <c r="E297" s="1267" t="s">
        <v>2898</v>
      </c>
      <c r="F297" s="38">
        <v>15.8</v>
      </c>
    </row>
    <row r="298" spans="2:6" hidden="1" outlineLevel="1"/>
    <row r="299" spans="2:6" ht="14.5" hidden="1" outlineLevel="1" thickBot="1">
      <c r="B299" s="1251" t="s">
        <v>3408</v>
      </c>
    </row>
    <row r="300" spans="2:6" ht="28" hidden="1" outlineLevel="1">
      <c r="B300" s="259"/>
      <c r="C300" s="287" t="s">
        <v>3255</v>
      </c>
      <c r="D300" s="287" t="s">
        <v>957</v>
      </c>
      <c r="E300" s="288" t="s">
        <v>363</v>
      </c>
    </row>
    <row r="301" spans="2:6" hidden="1" outlineLevel="1">
      <c r="B301" s="349" t="s">
        <v>3405</v>
      </c>
      <c r="C301" s="81">
        <f>C145</f>
        <v>18000</v>
      </c>
      <c r="D301" s="180">
        <v>7.6790473292671182</v>
      </c>
      <c r="E301" s="132">
        <f>D301*C301/10^6</f>
        <v>0.13822285192680814</v>
      </c>
    </row>
    <row r="302" spans="2:6" ht="14.5" hidden="1" outlineLevel="1" thickBot="1">
      <c r="B302" s="370" t="s">
        <v>3224</v>
      </c>
      <c r="C302" s="37">
        <f>C142</f>
        <v>165532.62115384615</v>
      </c>
      <c r="D302" s="18">
        <v>1.3850336507125627</v>
      </c>
      <c r="E302" s="209">
        <f>D302*C302/10^6</f>
        <v>0.22926825058873113</v>
      </c>
    </row>
    <row r="303" spans="2:6" ht="14.5" hidden="1" outlineLevel="1" thickBot="1"/>
    <row r="304" spans="2:6" ht="15" hidden="1" outlineLevel="1" thickBot="1">
      <c r="B304" s="20" t="s">
        <v>2903</v>
      </c>
      <c r="C304" s="371">
        <f>E301+E302</f>
        <v>0.36749110251553929</v>
      </c>
      <c r="D304" s="142" t="s">
        <v>661</v>
      </c>
    </row>
    <row r="305" spans="2:11" hidden="1" outlineLevel="1"/>
    <row r="306" spans="2:11" collapsed="1"/>
    <row r="307" spans="2:11" ht="18">
      <c r="B307" s="258" t="s">
        <v>3409</v>
      </c>
    </row>
    <row r="309" spans="2:11" hidden="1" outlineLevel="1">
      <c r="B309" s="1251" t="s">
        <v>3410</v>
      </c>
    </row>
    <row r="310" spans="2:11" hidden="1" outlineLevel="1"/>
    <row r="311" spans="2:11" hidden="1" outlineLevel="1">
      <c r="B311" s="1251" t="s">
        <v>3411</v>
      </c>
    </row>
    <row r="312" spans="2:11" hidden="1" outlineLevel="1">
      <c r="B312" s="1251" t="s">
        <v>3412</v>
      </c>
    </row>
    <row r="313" spans="2:11" hidden="1" outlineLevel="1">
      <c r="K313" s="1251"/>
    </row>
    <row r="314" spans="2:11" ht="14.5" hidden="1" outlineLevel="1" thickBot="1">
      <c r="B314" s="1251" t="s">
        <v>3413</v>
      </c>
    </row>
    <row r="315" spans="2:11" ht="29" hidden="1" outlineLevel="1">
      <c r="B315" s="123"/>
      <c r="C315" s="158" t="s">
        <v>3414</v>
      </c>
      <c r="D315" s="158" t="s">
        <v>3415</v>
      </c>
      <c r="E315" s="158" t="s">
        <v>957</v>
      </c>
      <c r="F315" s="159" t="s">
        <v>363</v>
      </c>
      <c r="K315" s="1251"/>
    </row>
    <row r="316" spans="2:11" hidden="1" outlineLevel="1">
      <c r="B316" s="276" t="s">
        <v>3224</v>
      </c>
      <c r="C316" s="11">
        <f t="shared" ref="C316:C322" si="12">5%*D253*70%*1000</f>
        <v>3832.5</v>
      </c>
      <c r="D316" s="11">
        <f t="shared" ref="D316:D322" si="13">5%*D253*30%*1000</f>
        <v>1642.5</v>
      </c>
      <c r="E316" s="180">
        <v>11.28761791798588</v>
      </c>
      <c r="F316" s="132">
        <f t="shared" ref="F316:F322" si="14">E316*C142/10^6</f>
        <v>1.8684689805473225</v>
      </c>
      <c r="K316" s="1251"/>
    </row>
    <row r="317" spans="2:11" hidden="1" outlineLevel="1">
      <c r="B317" s="276" t="s">
        <v>3225</v>
      </c>
      <c r="C317" s="11">
        <f t="shared" si="12"/>
        <v>1190</v>
      </c>
      <c r="D317" s="11">
        <f t="shared" si="13"/>
        <v>510</v>
      </c>
      <c r="E317" s="180">
        <v>3.5048311343517802</v>
      </c>
      <c r="F317" s="132">
        <f t="shared" si="14"/>
        <v>1.270925370769777</v>
      </c>
      <c r="K317" s="1251"/>
    </row>
    <row r="318" spans="2:11" hidden="1" outlineLevel="1">
      <c r="B318" s="276" t="s">
        <v>3226</v>
      </c>
      <c r="C318" s="11">
        <f t="shared" si="12"/>
        <v>546.84162315724814</v>
      </c>
      <c r="D318" s="11">
        <f t="shared" si="13"/>
        <v>234.36069563882063</v>
      </c>
      <c r="E318" s="180">
        <v>1.6105777700848629</v>
      </c>
      <c r="F318" s="132">
        <f t="shared" si="14"/>
        <v>0.22548088781188083</v>
      </c>
    </row>
    <row r="319" spans="2:11" hidden="1" outlineLevel="1">
      <c r="B319" s="276" t="s">
        <v>3227</v>
      </c>
      <c r="C319" s="11">
        <f t="shared" si="12"/>
        <v>4198.2499999999991</v>
      </c>
      <c r="D319" s="11">
        <f t="shared" si="13"/>
        <v>1799.2499999999995</v>
      </c>
      <c r="E319" s="180">
        <v>12.364838075455763</v>
      </c>
      <c r="F319" s="132">
        <f t="shared" si="14"/>
        <v>0.22256708535820374</v>
      </c>
    </row>
    <row r="320" spans="2:11" hidden="1" outlineLevel="1">
      <c r="B320" s="276" t="s">
        <v>3228</v>
      </c>
      <c r="C320" s="11">
        <f t="shared" si="12"/>
        <v>1260</v>
      </c>
      <c r="D320" s="11">
        <f t="shared" si="13"/>
        <v>540</v>
      </c>
      <c r="E320" s="180">
        <v>3.7109976716665907</v>
      </c>
      <c r="F320" s="132">
        <f t="shared" si="14"/>
        <v>0.49727368800332317</v>
      </c>
    </row>
    <row r="321" spans="2:17" hidden="1" outlineLevel="1">
      <c r="B321" s="276" t="s">
        <v>3229</v>
      </c>
      <c r="C321" s="11">
        <f t="shared" si="12"/>
        <v>37.673999999999999</v>
      </c>
      <c r="D321" s="11">
        <f t="shared" si="13"/>
        <v>16.146000000000001</v>
      </c>
      <c r="E321" s="180">
        <v>0.11095883038283105</v>
      </c>
      <c r="F321" s="132">
        <f t="shared" si="14"/>
        <v>0.41010383709494358</v>
      </c>
    </row>
    <row r="322" spans="2:17" ht="14.5" hidden="1" outlineLevel="1" thickBot="1">
      <c r="B322" s="281" t="s">
        <v>3230</v>
      </c>
      <c r="C322" s="14">
        <f t="shared" si="12"/>
        <v>1319.4999999999998</v>
      </c>
      <c r="D322" s="14">
        <f t="shared" si="13"/>
        <v>565.49999999999989</v>
      </c>
      <c r="E322" s="383">
        <v>3.8862392283841793</v>
      </c>
      <c r="F322" s="389">
        <f t="shared" si="14"/>
        <v>9.468023706208839E-2</v>
      </c>
    </row>
    <row r="323" spans="2:17" ht="14.5" hidden="1" outlineLevel="1" thickBot="1">
      <c r="C323" s="200"/>
      <c r="D323" s="200"/>
      <c r="E323" s="281" t="s">
        <v>83</v>
      </c>
      <c r="F323" s="390">
        <f>SUM(F316:F322)</f>
        <v>4.5895000866475399</v>
      </c>
    </row>
    <row r="324" spans="2:17" hidden="1" outlineLevel="1">
      <c r="C324" s="200"/>
      <c r="D324" s="200"/>
      <c r="E324" s="388"/>
      <c r="F324" s="166"/>
    </row>
    <row r="325" spans="2:17" collapsed="1"/>
    <row r="326" spans="2:17" ht="18">
      <c r="B326" s="258" t="s">
        <v>3416</v>
      </c>
    </row>
    <row r="328" spans="2:17" hidden="1" outlineLevel="1"/>
    <row r="329" spans="2:17" hidden="1" outlineLevel="1">
      <c r="B329" s="3" t="s">
        <v>523</v>
      </c>
    </row>
    <row r="330" spans="2:17" hidden="1" outlineLevel="1">
      <c r="B330" s="1251" t="s">
        <v>2508</v>
      </c>
    </row>
    <row r="331" spans="2:17" ht="14.5" hidden="1" outlineLevel="1" thickBot="1"/>
    <row r="332" spans="2:17" ht="14.5" hidden="1" outlineLevel="1">
      <c r="B332" s="123" t="s">
        <v>525</v>
      </c>
      <c r="C332" s="155" t="s">
        <v>526</v>
      </c>
      <c r="D332" s="155" t="s">
        <v>87</v>
      </c>
      <c r="E332" s="374" t="s">
        <v>165</v>
      </c>
      <c r="F332" s="375" t="s">
        <v>175</v>
      </c>
      <c r="G332" s="375" t="s">
        <v>163</v>
      </c>
      <c r="H332" s="375" t="s">
        <v>169</v>
      </c>
      <c r="I332" s="375" t="s">
        <v>161</v>
      </c>
      <c r="J332" s="375" t="s">
        <v>153</v>
      </c>
      <c r="K332" s="375" t="s">
        <v>171</v>
      </c>
      <c r="L332" s="375" t="s">
        <v>527</v>
      </c>
      <c r="M332" s="375" t="s">
        <v>167</v>
      </c>
      <c r="N332" s="375" t="s">
        <v>173</v>
      </c>
      <c r="O332" s="375" t="s">
        <v>159</v>
      </c>
      <c r="P332" s="375" t="s">
        <v>154</v>
      </c>
      <c r="Q332" s="378" t="s">
        <v>157</v>
      </c>
    </row>
    <row r="333" spans="2:17" ht="42" hidden="1" customHeight="1" outlineLevel="1">
      <c r="B333" s="10" t="s">
        <v>3417</v>
      </c>
      <c r="C333" s="11">
        <v>94029000</v>
      </c>
      <c r="D333" s="1435" t="s">
        <v>3418</v>
      </c>
      <c r="E333" s="229">
        <v>4.2164209487338053E-3</v>
      </c>
      <c r="F333" s="297">
        <v>9.1532814227860642E-6</v>
      </c>
      <c r="G333" s="297">
        <v>1.4475056450002775E-2</v>
      </c>
      <c r="H333" s="297">
        <v>2.8099906541182808E-2</v>
      </c>
      <c r="I333" s="297">
        <v>2.2417911751306868E-3</v>
      </c>
      <c r="J333" s="297">
        <v>0.37176472024044144</v>
      </c>
      <c r="K333" s="297">
        <v>3.0948388650617532E-2</v>
      </c>
      <c r="L333" s="297">
        <v>9.7024783081532283E-4</v>
      </c>
      <c r="M333" s="297">
        <v>1.0844445512327277E-2</v>
      </c>
      <c r="N333" s="297">
        <v>1.2023216535555445E-4</v>
      </c>
      <c r="O333" s="297">
        <v>4.031057465254239E-2</v>
      </c>
      <c r="P333" s="297">
        <v>0.35383477678674435</v>
      </c>
      <c r="Q333" s="380">
        <v>0.14216428576468323</v>
      </c>
    </row>
    <row r="334" spans="2:17" ht="29" hidden="1" outlineLevel="1">
      <c r="B334" s="10" t="s">
        <v>3419</v>
      </c>
      <c r="C334" s="11">
        <v>87131000</v>
      </c>
      <c r="D334" s="1435" t="s">
        <v>3420</v>
      </c>
      <c r="E334" s="229">
        <v>3.7074679279307781E-6</v>
      </c>
      <c r="F334" s="297">
        <v>0</v>
      </c>
      <c r="G334" s="297">
        <v>1.265482386067039E-4</v>
      </c>
      <c r="H334" s="297">
        <v>2.7435262666687758E-5</v>
      </c>
      <c r="I334" s="297">
        <v>4.7738840027207873E-2</v>
      </c>
      <c r="J334" s="297">
        <v>0.29044748643561069</v>
      </c>
      <c r="K334" s="297">
        <v>0.39852240101554959</v>
      </c>
      <c r="L334" s="297">
        <v>7.7856826486546337E-5</v>
      </c>
      <c r="M334" s="297">
        <v>5.1224848537576913E-3</v>
      </c>
      <c r="N334" s="297">
        <v>1.1122403783792334E-5</v>
      </c>
      <c r="O334" s="297">
        <v>4.3038759352705758E-3</v>
      </c>
      <c r="P334" s="297">
        <v>0.24260780328076309</v>
      </c>
      <c r="Q334" s="380">
        <v>1.1010438252368825E-2</v>
      </c>
    </row>
    <row r="335" spans="2:17" ht="29" hidden="1" outlineLevel="1">
      <c r="B335" s="10" t="s">
        <v>3421</v>
      </c>
      <c r="C335" s="11">
        <v>87139000</v>
      </c>
      <c r="D335" s="1435" t="s">
        <v>3405</v>
      </c>
      <c r="E335" s="229">
        <v>0</v>
      </c>
      <c r="F335" s="297">
        <v>1.4516253122808953E-6</v>
      </c>
      <c r="G335" s="297">
        <v>0</v>
      </c>
      <c r="H335" s="297">
        <v>4.9645585680006615E-4</v>
      </c>
      <c r="I335" s="297">
        <v>6.5323139052640287E-6</v>
      </c>
      <c r="J335" s="297">
        <v>0.35021476796495193</v>
      </c>
      <c r="K335" s="297">
        <v>0</v>
      </c>
      <c r="L335" s="297">
        <v>2.4024398918248818E-4</v>
      </c>
      <c r="M335" s="297">
        <v>4.5394500952992016E-2</v>
      </c>
      <c r="N335" s="297">
        <v>1.2266233888773566E-4</v>
      </c>
      <c r="O335" s="297">
        <v>5.2977065771691277E-3</v>
      </c>
      <c r="P335" s="297">
        <v>0.35520545578857365</v>
      </c>
      <c r="Q335" s="380">
        <v>0.24302022259222539</v>
      </c>
    </row>
    <row r="336" spans="2:17" ht="14.5" hidden="1" outlineLevel="1">
      <c r="B336" s="10" t="s">
        <v>3422</v>
      </c>
      <c r="C336" s="11">
        <v>94042190</v>
      </c>
      <c r="D336" s="1435" t="s">
        <v>3423</v>
      </c>
      <c r="E336" s="229">
        <v>7.0622244393244932E-3</v>
      </c>
      <c r="F336" s="297">
        <v>8.8450339583009854E-4</v>
      </c>
      <c r="G336" s="297">
        <v>1.5393376189176795E-7</v>
      </c>
      <c r="H336" s="297">
        <v>5.4006121022107867E-3</v>
      </c>
      <c r="I336" s="297">
        <v>1.1147369923662194E-3</v>
      </c>
      <c r="J336" s="297">
        <v>0.14539608234471085</v>
      </c>
      <c r="K336" s="297">
        <v>1.0210939538820606E-5</v>
      </c>
      <c r="L336" s="297">
        <v>1.0627586921007658E-3</v>
      </c>
      <c r="M336" s="297">
        <v>3.643099031438508E-6</v>
      </c>
      <c r="N336" s="297">
        <v>5.1311253963922647E-8</v>
      </c>
      <c r="O336" s="297">
        <v>2.6430426916816555E-4</v>
      </c>
      <c r="P336" s="297">
        <v>0.49875128932353396</v>
      </c>
      <c r="Q336" s="380">
        <v>0.34004942915716851</v>
      </c>
    </row>
    <row r="337" spans="2:17" ht="29.5" hidden="1" outlineLevel="1" thickBot="1">
      <c r="B337" s="13" t="s">
        <v>3424</v>
      </c>
      <c r="C337" s="14">
        <v>66020000</v>
      </c>
      <c r="D337" s="1436" t="s">
        <v>3229</v>
      </c>
      <c r="E337" s="376">
        <v>8.3632278645994959E-4</v>
      </c>
      <c r="F337" s="298">
        <v>4.6548578096101092E-6</v>
      </c>
      <c r="G337" s="298">
        <v>1.0861334889090254E-5</v>
      </c>
      <c r="H337" s="298">
        <v>4.4081503457007731E-3</v>
      </c>
      <c r="I337" s="298">
        <v>2.4003550104889464E-3</v>
      </c>
      <c r="J337" s="298">
        <v>0.76417249041099289</v>
      </c>
      <c r="K337" s="298">
        <v>3.540795173843423E-3</v>
      </c>
      <c r="L337" s="298">
        <v>2.4562133042042677E-3</v>
      </c>
      <c r="M337" s="298">
        <v>9.9660505703752442E-2</v>
      </c>
      <c r="N337" s="298">
        <v>1.2412954158960292E-5</v>
      </c>
      <c r="O337" s="298">
        <v>5.3686026737503256E-3</v>
      </c>
      <c r="P337" s="298">
        <v>0.11227982522560544</v>
      </c>
      <c r="Q337" s="381">
        <v>4.8488102183438632E-3</v>
      </c>
    </row>
    <row r="338" spans="2:17" hidden="1" outlineLevel="1"/>
    <row r="339" spans="2:17" hidden="1" outlineLevel="1">
      <c r="B339" s="1251" t="s">
        <v>530</v>
      </c>
    </row>
    <row r="340" spans="2:17" hidden="1" outlineLevel="1">
      <c r="B340" s="1251" t="s">
        <v>3425</v>
      </c>
      <c r="C340" s="1251"/>
      <c r="D340" s="1251"/>
    </row>
    <row r="341" spans="2:17" hidden="1" outlineLevel="1">
      <c r="B341" s="1251" t="s">
        <v>3426</v>
      </c>
      <c r="C341" s="1251"/>
      <c r="D341" s="1251"/>
    </row>
    <row r="342" spans="2:17" hidden="1" outlineLevel="1">
      <c r="B342" s="1251"/>
      <c r="C342" s="1251"/>
      <c r="D342" s="1251"/>
    </row>
    <row r="343" spans="2:17" ht="29.5" hidden="1" outlineLevel="1" thickBot="1">
      <c r="B343" s="1251" t="s">
        <v>533</v>
      </c>
      <c r="C343" s="1251"/>
      <c r="D343" s="1251"/>
      <c r="F343" s="167"/>
      <c r="G343" s="167" t="s">
        <v>3427</v>
      </c>
      <c r="H343" s="167" t="s">
        <v>3428</v>
      </c>
    </row>
    <row r="344" spans="2:17" ht="29" hidden="1" outlineLevel="1">
      <c r="B344" s="123" t="s">
        <v>41</v>
      </c>
      <c r="C344" s="379" t="s">
        <v>534</v>
      </c>
      <c r="D344" s="1251"/>
      <c r="F344" s="727" t="s">
        <v>3224</v>
      </c>
      <c r="G344" s="136">
        <f t="shared" ref="G344:G350" si="15">D253*C142/1000</f>
        <v>18125.822016346152</v>
      </c>
      <c r="H344" s="536">
        <f>C345</f>
        <v>0.26135742917356031</v>
      </c>
    </row>
    <row r="345" spans="2:17" ht="14.5" hidden="1" outlineLevel="1">
      <c r="B345" s="10" t="s">
        <v>3418</v>
      </c>
      <c r="C345" s="311">
        <f>P333/(1+P333)</f>
        <v>0.26135742917356031</v>
      </c>
      <c r="F345" s="727" t="s">
        <v>3225</v>
      </c>
      <c r="G345" s="136">
        <f t="shared" si="15"/>
        <v>12329.114</v>
      </c>
      <c r="H345" s="536">
        <f>C348</f>
        <v>0.33277788841712819</v>
      </c>
    </row>
    <row r="346" spans="2:17" ht="28.5" hidden="1" outlineLevel="1">
      <c r="B346" s="10" t="s">
        <v>3420</v>
      </c>
      <c r="C346" s="311">
        <f>P334/(1+P334)</f>
        <v>0.19524084963914126</v>
      </c>
      <c r="F346" s="727" t="s">
        <v>3226</v>
      </c>
      <c r="G346" s="136">
        <f t="shared" si="15"/>
        <v>2187.3664926289925</v>
      </c>
      <c r="H346" s="536">
        <f>C346</f>
        <v>0.19524084963914126</v>
      </c>
    </row>
    <row r="347" spans="2:17" ht="28.5" hidden="1" outlineLevel="1">
      <c r="B347" s="10" t="s">
        <v>3405</v>
      </c>
      <c r="C347" s="311">
        <f>P335/(1+P335)</f>
        <v>0.26210450546178249</v>
      </c>
      <c r="F347" s="727" t="s">
        <v>3227</v>
      </c>
      <c r="G347" s="136">
        <f t="shared" si="15"/>
        <v>2159.0999999999995</v>
      </c>
      <c r="H347" s="536">
        <f>C347</f>
        <v>0.26210450546178249</v>
      </c>
    </row>
    <row r="348" spans="2:17" ht="42.5" hidden="1" outlineLevel="1">
      <c r="B348" s="25" t="s">
        <v>3423</v>
      </c>
      <c r="C348" s="377">
        <f>P336/(1+P336)</f>
        <v>0.33277788841712819</v>
      </c>
      <c r="F348" s="727" t="s">
        <v>3228</v>
      </c>
      <c r="G348" s="136">
        <f t="shared" si="15"/>
        <v>4824</v>
      </c>
      <c r="H348" s="536">
        <f>C346</f>
        <v>0.19524084963914126</v>
      </c>
    </row>
    <row r="349" spans="2:17" ht="29" hidden="1" outlineLevel="1" thickBot="1">
      <c r="B349" s="13" t="s">
        <v>3229</v>
      </c>
      <c r="C349" s="313">
        <f>P337/(1+P337)</f>
        <v>0.10094566374323255</v>
      </c>
      <c r="F349" s="727" t="s">
        <v>3229</v>
      </c>
      <c r="G349" s="136">
        <f t="shared" si="15"/>
        <v>3978.3743999999997</v>
      </c>
      <c r="H349" s="536">
        <f>C349</f>
        <v>0.10094566374323255</v>
      </c>
      <c r="O349" s="41"/>
    </row>
    <row r="350" spans="2:17" ht="28" hidden="1" outlineLevel="1">
      <c r="B350" s="1251"/>
      <c r="C350" s="1251"/>
      <c r="D350" s="1251"/>
      <c r="F350" s="727" t="s">
        <v>3230</v>
      </c>
      <c r="G350" s="136">
        <f t="shared" si="15"/>
        <v>918.48307</v>
      </c>
      <c r="H350" s="536">
        <f>C345</f>
        <v>0.26135742917356031</v>
      </c>
    </row>
    <row r="351" spans="2:17" ht="14.5" hidden="1" outlineLevel="1" thickBot="1">
      <c r="B351" s="1251" t="s">
        <v>540</v>
      </c>
      <c r="G351" s="1251"/>
      <c r="H351" s="1251"/>
    </row>
    <row r="352" spans="2:17" ht="43.5" hidden="1" outlineLevel="1">
      <c r="B352" s="123" t="s">
        <v>525</v>
      </c>
      <c r="C352" s="158" t="s">
        <v>541</v>
      </c>
      <c r="D352" s="158" t="s">
        <v>542</v>
      </c>
      <c r="E352" s="159" t="s">
        <v>543</v>
      </c>
      <c r="G352" s="1251"/>
      <c r="H352" s="1251"/>
    </row>
    <row r="353" spans="2:9" ht="14.5" hidden="1" outlineLevel="1">
      <c r="B353" s="10" t="s">
        <v>3418</v>
      </c>
      <c r="C353" s="11">
        <f>(1-C345)*SUMPRODUCT(E333:Q333,'Annexe - Logistique'!$D$12:$P$12) + C345*'Annexe - Logistique'!Q$12</f>
        <v>932.32644152337798</v>
      </c>
      <c r="D353" s="11">
        <f>(1-C345)*SUMPRODUCT(E333:O333,'Annexe - Logistique'!$D$13:$N$13)</f>
        <v>6128.1730890714307</v>
      </c>
      <c r="E353" s="17">
        <f>500</f>
        <v>500</v>
      </c>
      <c r="G353" s="1251"/>
      <c r="H353" s="1251"/>
    </row>
    <row r="354" spans="2:9" ht="14.5" hidden="1" outlineLevel="1">
      <c r="B354" s="10" t="s">
        <v>3420</v>
      </c>
      <c r="C354" s="11">
        <f>(1-C346)*SUMPRODUCT(E334:Q334,'Annexe - Logistique'!$D$12:$P$12) + C346*'Annexe - Logistique'!Q$12</f>
        <v>907.69602574027567</v>
      </c>
      <c r="D354" s="11">
        <f>(1-C346)*SUMPRODUCT(E334:O334,'Annexe - Logistique'!$D$13:$N$13)</f>
        <v>8898.8334584089534</v>
      </c>
      <c r="E354" s="17">
        <f>500</f>
        <v>500</v>
      </c>
      <c r="G354" s="1251"/>
      <c r="H354" s="1251"/>
    </row>
    <row r="355" spans="2:9" ht="14.5" hidden="1" outlineLevel="1">
      <c r="B355" s="10" t="s">
        <v>3405</v>
      </c>
      <c r="C355" s="11">
        <f>(1-C347)*SUMPRODUCT(E335:Q335,'Annexe - Logistique'!$D$12:$P$12) + C347*'Annexe - Logistique'!Q$12</f>
        <v>976.54186366859528</v>
      </c>
      <c r="D355" s="11">
        <f>(1-C347)*SUMPRODUCT(E335:O335,'Annexe - Logistique'!$D$13:$N$13)</f>
        <v>5578.5815359321869</v>
      </c>
      <c r="E355" s="17">
        <f>500</f>
        <v>500</v>
      </c>
      <c r="G355" s="1251"/>
      <c r="H355" s="1251"/>
    </row>
    <row r="356" spans="2:9" ht="14.5" hidden="1" outlineLevel="1">
      <c r="B356" s="25" t="s">
        <v>3423</v>
      </c>
      <c r="C356" s="11">
        <f>(1-C348)*SUMPRODUCT(E336:Q336,'Annexe - Logistique'!$D$12:$P$12) + C348*'Annexe - Logistique'!Q$12</f>
        <v>969.74415469031362</v>
      </c>
      <c r="D356" s="11">
        <f>(1-C348)*SUMPRODUCT(E336:O336,'Annexe - Logistique'!$D$13:$N$13)</f>
        <v>1885.2204556948968</v>
      </c>
      <c r="E356" s="17">
        <f>500</f>
        <v>500</v>
      </c>
      <c r="G356" s="1251"/>
      <c r="H356" s="1251"/>
    </row>
    <row r="357" spans="2:9" ht="15" hidden="1" outlineLevel="1" thickBot="1">
      <c r="B357" s="13" t="s">
        <v>3229</v>
      </c>
      <c r="C357" s="14">
        <f>(1-C349)*SUMPRODUCT(E337:Q337,'Annexe - Logistique'!$D$12:$P$12) + C349*'Annexe - Logistique'!Q$12</f>
        <v>952.14277443987646</v>
      </c>
      <c r="D357" s="14">
        <f>(1-C349)*SUMPRODUCT(E337:O337,'Annexe - Logistique'!$D$13:$N$13)</f>
        <v>14898.528420529508</v>
      </c>
      <c r="E357" s="38">
        <f>500</f>
        <v>500</v>
      </c>
      <c r="G357" s="1251"/>
      <c r="H357" s="1251"/>
    </row>
    <row r="358" spans="2:9" hidden="1" outlineLevel="1">
      <c r="B358" s="1251"/>
      <c r="C358" s="1251"/>
      <c r="D358" s="1251"/>
      <c r="G358" s="1251"/>
      <c r="H358" s="1251"/>
    </row>
    <row r="359" spans="2:9" ht="14.5" hidden="1" outlineLevel="1" thickBot="1">
      <c r="B359" s="1251" t="s">
        <v>546</v>
      </c>
      <c r="D359" s="1251"/>
      <c r="G359" s="1251"/>
      <c r="H359" s="1251"/>
    </row>
    <row r="360" spans="2:9" ht="14.5" hidden="1" outlineLevel="1">
      <c r="B360" s="123"/>
      <c r="C360" s="1554" t="s">
        <v>957</v>
      </c>
      <c r="D360" s="1554"/>
      <c r="E360" s="1554"/>
      <c r="F360" s="1554" t="s">
        <v>363</v>
      </c>
      <c r="G360" s="1554"/>
      <c r="H360" s="1554"/>
      <c r="I360" s="1613" t="s">
        <v>2922</v>
      </c>
    </row>
    <row r="361" spans="2:9" ht="29" hidden="1" outlineLevel="1">
      <c r="B361" s="382"/>
      <c r="C361" s="167" t="s">
        <v>550</v>
      </c>
      <c r="D361" s="167" t="s">
        <v>551</v>
      </c>
      <c r="E361" s="167" t="s">
        <v>552</v>
      </c>
      <c r="F361" s="167" t="s">
        <v>550</v>
      </c>
      <c r="G361" s="167" t="s">
        <v>551</v>
      </c>
      <c r="H361" s="167" t="s">
        <v>552</v>
      </c>
      <c r="I361" s="1614"/>
    </row>
    <row r="362" spans="2:9" hidden="1" outlineLevel="1">
      <c r="B362" s="276" t="s">
        <v>3224</v>
      </c>
      <c r="C362" s="11">
        <f>D253*1.05*C353*'Annexe - Logistique'!D$29/10^3</f>
        <v>21.760429220672531</v>
      </c>
      <c r="D362" s="11">
        <f>D253*1.05*D353*'Annexe - Logistique'!D$28/10^3</f>
        <v>31.917777551494247</v>
      </c>
      <c r="E362" s="11">
        <f>D253*1.05*E353*'Annexe - Logistique'!D$30/10^3</f>
        <v>8.9105625000000011</v>
      </c>
      <c r="F362" s="180">
        <f t="shared" ref="F362:H368" si="16">C362*$C142/10^6</f>
        <v>3.6020608863306696</v>
      </c>
      <c r="G362" s="180">
        <f t="shared" si="16"/>
        <v>5.283433379504233</v>
      </c>
      <c r="H362" s="180">
        <f t="shared" si="16"/>
        <v>1.4749887665801684</v>
      </c>
      <c r="I362" s="385">
        <f>SUM(F362:H362)</f>
        <v>10.36048303241507</v>
      </c>
    </row>
    <row r="363" spans="2:9" hidden="1" outlineLevel="1">
      <c r="B363" s="276" t="s">
        <v>3225</v>
      </c>
      <c r="C363" s="11">
        <f>D254*1.05*C357*'Annexe - Logistique'!D$29/10^3</f>
        <v>6.9002739006432305</v>
      </c>
      <c r="D363" s="11">
        <f>D254*1.05*D357*'Annexe - Logistique'!D$28/10^3</f>
        <v>24.094049146964529</v>
      </c>
      <c r="E363" s="11">
        <f>D254*1.05*E357*'Annexe - Logistique'!D$30/10^3</f>
        <v>2.76675</v>
      </c>
      <c r="F363" s="180">
        <f t="shared" si="16"/>
        <v>2.5021842221251487</v>
      </c>
      <c r="G363" s="180">
        <f t="shared" si="16"/>
        <v>8.7370081957214243</v>
      </c>
      <c r="H363" s="180">
        <f t="shared" si="16"/>
        <v>1.0032816517500001</v>
      </c>
      <c r="I363" s="385">
        <f t="shared" ref="I363:I368" si="17">SUM(F363:H363)</f>
        <v>12.242474069596572</v>
      </c>
    </row>
    <row r="364" spans="2:9" hidden="1" outlineLevel="1">
      <c r="B364" s="276" t="s">
        <v>3226</v>
      </c>
      <c r="C364" s="11">
        <f>D255*1.05*C354*'Annexe - Logistique'!D$29/10^3</f>
        <v>3.0228687454196019</v>
      </c>
      <c r="D364" s="11">
        <f>D255*1.05*D354*'Annexe - Logistique'!D$28/10^3</f>
        <v>6.6132371918066353</v>
      </c>
      <c r="E364" s="11">
        <f>D255*1.05*E354*'Annexe - Logistique'!D$30/10^3</f>
        <v>1.2714067738406023</v>
      </c>
      <c r="F364" s="180">
        <f t="shared" si="16"/>
        <v>0.42320162435874425</v>
      </c>
      <c r="G364" s="180">
        <f t="shared" si="16"/>
        <v>0.92585320685292893</v>
      </c>
      <c r="H364" s="180">
        <f t="shared" si="16"/>
        <v>0.17799694833768434</v>
      </c>
      <c r="I364" s="385">
        <f t="shared" si="17"/>
        <v>1.5270517795493577</v>
      </c>
    </row>
    <row r="365" spans="2:9" hidden="1" outlineLevel="1">
      <c r="B365" s="276" t="s">
        <v>3227</v>
      </c>
      <c r="C365" s="11">
        <f>D256*1.05*C355*'Annexe - Logistique'!D$29/10^3</f>
        <v>24.96758029400328</v>
      </c>
      <c r="D365" s="11">
        <f>D256*1.05*D355*'Annexe - Logistique'!D$28/10^3</f>
        <v>31.828160429255902</v>
      </c>
      <c r="E365" s="11">
        <f>D256*1.05*E354*'Annexe - Logistique'!D$30/10^3</f>
        <v>9.760931249999997</v>
      </c>
      <c r="F365" s="180">
        <f t="shared" si="16"/>
        <v>0.44941644529205904</v>
      </c>
      <c r="G365" s="180">
        <f t="shared" si="16"/>
        <v>0.57290688772660625</v>
      </c>
      <c r="H365" s="180">
        <f t="shared" si="16"/>
        <v>0.17569676249999996</v>
      </c>
      <c r="I365" s="385">
        <f t="shared" si="17"/>
        <v>1.1980200955186651</v>
      </c>
    </row>
    <row r="366" spans="2:9" hidden="1" outlineLevel="1">
      <c r="B366" s="276" t="s">
        <v>3228</v>
      </c>
      <c r="C366" s="11">
        <f>D257*1.05*C354*'Annexe - Logistique'!D$29/10^3</f>
        <v>6.9651146839154316</v>
      </c>
      <c r="D366" s="11">
        <f>D257*1.05*D354*'Annexe - Logistique'!D$28/10^3</f>
        <v>15.237828484171988</v>
      </c>
      <c r="E366" s="11">
        <f>D257*1.05*E357*'Annexe - Logistique'!D$30/10^3</f>
        <v>2.9295000000000004</v>
      </c>
      <c r="F366" s="180">
        <f t="shared" si="16"/>
        <v>0.93332536764466789</v>
      </c>
      <c r="G366" s="180">
        <f t="shared" si="16"/>
        <v>2.0418690168790463</v>
      </c>
      <c r="H366" s="180">
        <f t="shared" si="16"/>
        <v>0.39255300000000004</v>
      </c>
      <c r="I366" s="385">
        <f t="shared" si="17"/>
        <v>3.3677473845237142</v>
      </c>
    </row>
    <row r="367" spans="2:9" hidden="1" outlineLevel="1">
      <c r="B367" s="276" t="s">
        <v>3229</v>
      </c>
      <c r="C367" s="180">
        <f>D258*1.05*C357*'Annexe - Logistique'!D$29/10^3</f>
        <v>0.21845455372506978</v>
      </c>
      <c r="D367" s="180">
        <f>D258*1.05*D357*'Annexe - Logistique'!D$28/10^3</f>
        <v>0.76278925005272402</v>
      </c>
      <c r="E367" s="180">
        <f>D258*1.05*E357*'Annexe - Logistique'!D$30/10^3</f>
        <v>8.7592050000000005E-2</v>
      </c>
      <c r="F367" s="180">
        <f t="shared" si="16"/>
        <v>0.80740803056785793</v>
      </c>
      <c r="G367" s="180">
        <f t="shared" si="16"/>
        <v>2.8192690681948682</v>
      </c>
      <c r="H367" s="180">
        <f t="shared" si="16"/>
        <v>0.32374021679999998</v>
      </c>
      <c r="I367" s="385">
        <f t="shared" si="17"/>
        <v>3.950417315562726</v>
      </c>
    </row>
    <row r="368" spans="2:9" ht="14.5" hidden="1" outlineLevel="1" thickBot="1">
      <c r="B368" s="281" t="s">
        <v>3230</v>
      </c>
      <c r="C368" s="14">
        <f>D259*1.05*C353*'Annexe - Logistique'!D$29/10^3</f>
        <v>7.4919468641036921</v>
      </c>
      <c r="D368" s="14">
        <f>D259*1.05*D353*'Annexe - Logistique'!D$28/10^3</f>
        <v>10.989043047409432</v>
      </c>
      <c r="E368" s="355">
        <f>D259*1.05*E353*'Annexe - Logistique'!D$30/10^3</f>
        <v>3.0678374999999996</v>
      </c>
      <c r="F368" s="383">
        <f t="shared" si="16"/>
        <v>0.18252589803763483</v>
      </c>
      <c r="G368" s="383">
        <f t="shared" si="16"/>
        <v>0.26772546404633346</v>
      </c>
      <c r="H368" s="383">
        <f t="shared" si="16"/>
        <v>7.4741559821249984E-2</v>
      </c>
      <c r="I368" s="386">
        <f t="shared" si="17"/>
        <v>0.52499292190521829</v>
      </c>
    </row>
    <row r="369" spans="2:9" ht="14.5" hidden="1" outlineLevel="1" thickBot="1">
      <c r="C369" s="373"/>
      <c r="D369" s="373"/>
      <c r="E369" s="282" t="s">
        <v>83</v>
      </c>
      <c r="F369" s="384">
        <f>SUM(F362:F368)</f>
        <v>8.9001224743567811</v>
      </c>
      <c r="G369" s="384">
        <f>SUM(G362:G368)</f>
        <v>20.648065218925439</v>
      </c>
      <c r="H369" s="384">
        <f>SUM(H362:H368)</f>
        <v>3.6229989057891028</v>
      </c>
      <c r="I369" s="187">
        <f>SUM(I362:I368)</f>
        <v>33.171186599071319</v>
      </c>
    </row>
    <row r="370" spans="2:9" hidden="1" outlineLevel="1">
      <c r="B370" s="1251"/>
    </row>
    <row r="371" spans="2:9" collapsed="1">
      <c r="B371" s="1251"/>
    </row>
    <row r="372" spans="2:9" ht="18">
      <c r="B372" s="258" t="s">
        <v>3429</v>
      </c>
    </row>
    <row r="374" spans="2:9" ht="14.5" hidden="1" outlineLevel="1" thickBot="1">
      <c r="B374" s="1251" t="s">
        <v>3430</v>
      </c>
    </row>
    <row r="375" spans="2:9" ht="29" hidden="1" outlineLevel="1">
      <c r="B375" s="123" t="s">
        <v>3431</v>
      </c>
      <c r="C375" s="158" t="s">
        <v>957</v>
      </c>
      <c r="D375" s="159" t="s">
        <v>363</v>
      </c>
    </row>
    <row r="376" spans="2:9" hidden="1" outlineLevel="1">
      <c r="B376" s="276" t="s">
        <v>3224</v>
      </c>
      <c r="C376" s="11">
        <f>D253*1.05*'Annexe - Logistique'!C$42</f>
        <v>29.318625000000004</v>
      </c>
      <c r="D376" s="131">
        <f t="shared" ref="D376:D382" si="18">C376*$C142/10^6</f>
        <v>4.8531888448766836</v>
      </c>
    </row>
    <row r="377" spans="2:9" hidden="1" outlineLevel="1">
      <c r="B377" s="276" t="s">
        <v>3225</v>
      </c>
      <c r="C377" s="180">
        <f>D254*1.05*'Annexe - Logistique'!C$42</f>
        <v>9.1035000000000004</v>
      </c>
      <c r="D377" s="131">
        <f t="shared" si="18"/>
        <v>3.3011202735</v>
      </c>
    </row>
    <row r="378" spans="2:9" hidden="1" outlineLevel="1">
      <c r="B378" s="276" t="s">
        <v>3226</v>
      </c>
      <c r="C378" s="180">
        <f>D255*1.05*'Annexe - Logistique'!C$42</f>
        <v>4.1833384171529486</v>
      </c>
      <c r="D378" s="131">
        <f t="shared" si="18"/>
        <v>0.58566737840141281</v>
      </c>
    </row>
    <row r="379" spans="2:9" hidden="1" outlineLevel="1">
      <c r="B379" s="276" t="s">
        <v>3227</v>
      </c>
      <c r="C379" s="11">
        <f>D256*1.05*'Annexe - Logistique'!C$42</f>
        <v>32.116612499999995</v>
      </c>
      <c r="D379" s="131">
        <f t="shared" si="18"/>
        <v>0.57809902499999988</v>
      </c>
    </row>
    <row r="380" spans="2:9" hidden="1" outlineLevel="1">
      <c r="B380" s="276" t="s">
        <v>3228</v>
      </c>
      <c r="C380" s="11">
        <f>D257*1.05*'Annexe - Logistique'!C$42</f>
        <v>9.6390000000000011</v>
      </c>
      <c r="D380" s="131">
        <f t="shared" si="18"/>
        <v>1.2916260000000002</v>
      </c>
    </row>
    <row r="381" spans="2:9" hidden="1" outlineLevel="1">
      <c r="B381" s="276" t="s">
        <v>3229</v>
      </c>
      <c r="C381" s="180">
        <f>D258*1.05*'Annexe - Logistique'!C$42</f>
        <v>0.28820610000000002</v>
      </c>
      <c r="D381" s="131">
        <f t="shared" si="18"/>
        <v>1.0652097456</v>
      </c>
    </row>
    <row r="382" spans="2:9" ht="14.5" hidden="1" outlineLevel="1" thickBot="1">
      <c r="B382" s="281" t="s">
        <v>3230</v>
      </c>
      <c r="C382" s="14">
        <f>D259*1.05*'Annexe - Logistique'!C$42</f>
        <v>10.094174999999998</v>
      </c>
      <c r="D382" s="19">
        <f t="shared" si="18"/>
        <v>0.24592384199249998</v>
      </c>
    </row>
    <row r="383" spans="2:9" ht="14.5" hidden="1" outlineLevel="1" thickBot="1">
      <c r="C383" s="330" t="s">
        <v>83</v>
      </c>
      <c r="D383" s="880">
        <f>SUM(D376:D382)</f>
        <v>11.920835109370598</v>
      </c>
    </row>
    <row r="384" spans="2:9" hidden="1" outlineLevel="1"/>
    <row r="385" spans="2:4" collapsed="1"/>
    <row r="386" spans="2:4" ht="18">
      <c r="B386" s="258" t="s">
        <v>3432</v>
      </c>
    </row>
    <row r="388" spans="2:4" hidden="1" outlineLevel="1">
      <c r="B388" s="1251" t="s">
        <v>3433</v>
      </c>
    </row>
    <row r="389" spans="2:4" hidden="1" outlineLevel="1">
      <c r="B389" s="1251" t="s">
        <v>3434</v>
      </c>
    </row>
    <row r="390" spans="2:4" hidden="1" outlineLevel="1">
      <c r="B390" s="1251"/>
    </row>
    <row r="391" spans="2:4" hidden="1" outlineLevel="1">
      <c r="B391" s="1251" t="s">
        <v>3435</v>
      </c>
    </row>
    <row r="392" spans="2:4" hidden="1" outlineLevel="1">
      <c r="B392" s="87" t="s">
        <v>3436</v>
      </c>
    </row>
    <row r="393" spans="2:4" ht="14.5" hidden="1" outlineLevel="1" thickBot="1">
      <c r="B393" s="1251" t="s">
        <v>3437</v>
      </c>
    </row>
    <row r="394" spans="2:4" ht="15" hidden="1" outlineLevel="1" thickBot="1">
      <c r="B394" s="123"/>
      <c r="C394" s="6" t="s">
        <v>69</v>
      </c>
      <c r="D394" s="6" t="s">
        <v>301</v>
      </c>
    </row>
    <row r="395" spans="2:4" ht="14.5" hidden="1" outlineLevel="1">
      <c r="B395" s="10" t="s">
        <v>3438</v>
      </c>
      <c r="C395" s="136">
        <v>40</v>
      </c>
      <c r="D395" s="1437" t="s">
        <v>2113</v>
      </c>
    </row>
    <row r="396" spans="2:4" ht="15" hidden="1" outlineLevel="1" thickBot="1">
      <c r="B396" s="13" t="s">
        <v>73</v>
      </c>
      <c r="C396" s="37">
        <v>250</v>
      </c>
      <c r="D396" s="1438" t="s">
        <v>3439</v>
      </c>
    </row>
    <row r="397" spans="2:4" hidden="1" outlineLevel="1">
      <c r="B397" s="1251"/>
    </row>
    <row r="398" spans="2:4" ht="14.5" hidden="1" outlineLevel="1" thickBot="1">
      <c r="B398" s="1251" t="s">
        <v>3440</v>
      </c>
    </row>
    <row r="399" spans="2:4" ht="14.5" hidden="1" outlineLevel="1">
      <c r="B399" s="123"/>
      <c r="C399" s="6" t="s">
        <v>69</v>
      </c>
      <c r="D399" s="6" t="s">
        <v>301</v>
      </c>
    </row>
    <row r="400" spans="2:4" ht="14.5" hidden="1" outlineLevel="1">
      <c r="B400" s="10" t="s">
        <v>3441</v>
      </c>
      <c r="C400" s="136">
        <f>C86+C87</f>
        <v>519567.21153846156</v>
      </c>
      <c r="D400" s="234"/>
    </row>
    <row r="401" spans="2:11" ht="15" hidden="1" outlineLevel="1" thickBot="1">
      <c r="B401" s="13" t="s">
        <v>83</v>
      </c>
      <c r="C401" s="372">
        <f>C395*C400*C396/10^9</f>
        <v>5.1956721153846157</v>
      </c>
      <c r="D401" s="1285" t="s">
        <v>661</v>
      </c>
    </row>
    <row r="402" spans="2:11" hidden="1" outlineLevel="1"/>
    <row r="403" spans="2:11" collapsed="1"/>
    <row r="404" spans="2:11" ht="18">
      <c r="B404" s="258" t="s">
        <v>2586</v>
      </c>
    </row>
    <row r="406" spans="2:11" ht="14.5" hidden="1" outlineLevel="1" thickBot="1">
      <c r="B406" s="1251" t="s">
        <v>3442</v>
      </c>
    </row>
    <row r="407" spans="2:11" ht="14.5" hidden="1" outlineLevel="1">
      <c r="B407" s="123"/>
      <c r="C407" s="5" t="s">
        <v>73</v>
      </c>
      <c r="D407" s="5" t="s">
        <v>301</v>
      </c>
      <c r="E407" s="6" t="s">
        <v>70</v>
      </c>
    </row>
    <row r="408" spans="2:11" ht="15" hidden="1" outlineLevel="1" thickBot="1">
      <c r="B408" s="13" t="s">
        <v>3443</v>
      </c>
      <c r="C408" s="37">
        <v>661</v>
      </c>
      <c r="D408" s="1267" t="s">
        <v>3444</v>
      </c>
      <c r="E408" s="1285" t="s">
        <v>449</v>
      </c>
    </row>
    <row r="409" spans="2:11" hidden="1" outlineLevel="1"/>
    <row r="410" spans="2:11" ht="14.5" hidden="1" outlineLevel="1" thickBot="1">
      <c r="B410" s="1251" t="s">
        <v>3445</v>
      </c>
      <c r="K410" s="1251"/>
    </row>
    <row r="411" spans="2:11" ht="29" hidden="1" outlineLevel="1">
      <c r="B411" s="123"/>
      <c r="C411" s="158" t="s">
        <v>3446</v>
      </c>
      <c r="D411" s="158" t="s">
        <v>957</v>
      </c>
      <c r="E411" s="159" t="s">
        <v>363</v>
      </c>
      <c r="K411" s="1251"/>
    </row>
    <row r="412" spans="2:11" hidden="1" outlineLevel="1">
      <c r="B412" s="276" t="s">
        <v>3224</v>
      </c>
      <c r="C412" s="11">
        <f t="shared" ref="C412:C418" si="19">D253</f>
        <v>109.5</v>
      </c>
      <c r="D412" s="180">
        <f>C412*C$408/10^3</f>
        <v>72.379499999999993</v>
      </c>
      <c r="E412" s="132">
        <f t="shared" ref="E412:E418" si="20">D412*$C142/10^6</f>
        <v>11.981168352804806</v>
      </c>
      <c r="K412" s="1251"/>
    </row>
    <row r="413" spans="2:11" hidden="1" outlineLevel="1">
      <c r="B413" s="276" t="s">
        <v>3225</v>
      </c>
      <c r="C413" s="11">
        <f t="shared" si="19"/>
        <v>34</v>
      </c>
      <c r="D413" s="180">
        <f t="shared" ref="D413:D418" si="21">C413*C$408/10^3</f>
        <v>22.474</v>
      </c>
      <c r="E413" s="132">
        <f t="shared" si="20"/>
        <v>8.1495443539999997</v>
      </c>
      <c r="K413" s="1251"/>
    </row>
    <row r="414" spans="2:11" hidden="1" outlineLevel="1">
      <c r="B414" s="276" t="s">
        <v>3226</v>
      </c>
      <c r="C414" s="11">
        <f t="shared" si="19"/>
        <v>15.624046375921376</v>
      </c>
      <c r="D414" s="180">
        <f t="shared" si="21"/>
        <v>10.327494654484029</v>
      </c>
      <c r="E414" s="132">
        <f t="shared" si="20"/>
        <v>1.4458492516277641</v>
      </c>
    </row>
    <row r="415" spans="2:11" hidden="1" outlineLevel="1">
      <c r="B415" s="276" t="s">
        <v>3227</v>
      </c>
      <c r="C415" s="11">
        <f t="shared" si="19"/>
        <v>119.94999999999997</v>
      </c>
      <c r="D415" s="180">
        <f t="shared" si="21"/>
        <v>79.286949999999976</v>
      </c>
      <c r="E415" s="132">
        <f t="shared" si="20"/>
        <v>1.4271650999999996</v>
      </c>
    </row>
    <row r="416" spans="2:11" hidden="1" outlineLevel="1">
      <c r="B416" s="276" t="s">
        <v>3228</v>
      </c>
      <c r="C416" s="11">
        <f t="shared" si="19"/>
        <v>36</v>
      </c>
      <c r="D416" s="180">
        <f t="shared" si="21"/>
        <v>23.795999999999999</v>
      </c>
      <c r="E416" s="132">
        <f t="shared" si="20"/>
        <v>3.1886640000000002</v>
      </c>
    </row>
    <row r="417" spans="2:5" hidden="1" outlineLevel="1">
      <c r="B417" s="276" t="s">
        <v>3229</v>
      </c>
      <c r="C417" s="11">
        <f t="shared" si="19"/>
        <v>1.0764</v>
      </c>
      <c r="D417" s="180">
        <f t="shared" si="21"/>
        <v>0.71150040000000003</v>
      </c>
      <c r="E417" s="132">
        <f t="shared" si="20"/>
        <v>2.6297054784</v>
      </c>
    </row>
    <row r="418" spans="2:5" ht="14.5" hidden="1" outlineLevel="1" thickBot="1">
      <c r="B418" s="281" t="s">
        <v>3230</v>
      </c>
      <c r="C418" s="14">
        <f t="shared" si="19"/>
        <v>37.699999999999996</v>
      </c>
      <c r="D418" s="18">
        <f t="shared" si="21"/>
        <v>24.919699999999999</v>
      </c>
      <c r="E418" s="209">
        <f t="shared" si="20"/>
        <v>0.60711730926999996</v>
      </c>
    </row>
    <row r="419" spans="2:5" ht="14.5" hidden="1" outlineLevel="1" thickBot="1">
      <c r="C419" s="200"/>
      <c r="D419" s="330" t="s">
        <v>83</v>
      </c>
      <c r="E419" s="721">
        <f>SUM(E412:E418)</f>
        <v>29.429213846102567</v>
      </c>
    </row>
    <row r="420" spans="2:5" hidden="1" outlineLevel="1"/>
    <row r="421" spans="2:5" collapsed="1"/>
  </sheetData>
  <mergeCells count="27">
    <mergeCell ref="D101:D102"/>
    <mergeCell ref="D98:D100"/>
    <mergeCell ref="B160:B162"/>
    <mergeCell ref="B164:B177"/>
    <mergeCell ref="B179:B192"/>
    <mergeCell ref="B194:B195"/>
    <mergeCell ref="B197:B199"/>
    <mergeCell ref="B163:E163"/>
    <mergeCell ref="B178:E178"/>
    <mergeCell ref="B193:E193"/>
    <mergeCell ref="B196:E196"/>
    <mergeCell ref="A1:XFD2"/>
    <mergeCell ref="C360:E360"/>
    <mergeCell ref="F360:H360"/>
    <mergeCell ref="I360:I361"/>
    <mergeCell ref="B244:B249"/>
    <mergeCell ref="B223:B229"/>
    <mergeCell ref="C232:C233"/>
    <mergeCell ref="C235:C236"/>
    <mergeCell ref="B231:B236"/>
    <mergeCell ref="B237:B243"/>
    <mergeCell ref="B216:B219"/>
    <mergeCell ref="C221:C222"/>
    <mergeCell ref="B220:B222"/>
    <mergeCell ref="B200:E200"/>
    <mergeCell ref="B205:B206"/>
    <mergeCell ref="B207:B215"/>
  </mergeCells>
  <phoneticPr fontId="61" type="noConversion"/>
  <conditionalFormatting sqref="A1:XFD2">
    <cfRule type="containsBlanks" dxfId="11" priority="1">
      <formula>LEN(TRIM(A1))=0</formula>
    </cfRule>
  </conditionalFormatting>
  <conditionalFormatting sqref="D333:D335 F333:Q335">
    <cfRule type="colorScale" priority="84">
      <colorScale>
        <cfvo type="min"/>
        <cfvo type="percentile" val="50"/>
        <cfvo type="max"/>
        <color rgb="FFFCFCFF"/>
        <color rgb="FFDDF0C8"/>
        <color rgb="FF63BE7B"/>
      </colorScale>
    </cfRule>
  </conditionalFormatting>
  <conditionalFormatting sqref="D336">
    <cfRule type="colorScale" priority="8">
      <colorScale>
        <cfvo type="min"/>
        <cfvo type="percentile" val="50"/>
        <cfvo type="max"/>
        <color rgb="FFFCFCFF"/>
        <color rgb="FFDDF0C8"/>
        <color rgb="FF63BE7B"/>
      </colorScale>
    </cfRule>
  </conditionalFormatting>
  <conditionalFormatting sqref="D337">
    <cfRule type="colorScale" priority="2">
      <colorScale>
        <cfvo type="min"/>
        <cfvo type="percentile" val="50"/>
        <cfvo type="max"/>
        <color rgb="FFFCFCFF"/>
        <color rgb="FFDDF0C8"/>
        <color rgb="FF63BE7B"/>
      </colorScale>
    </cfRule>
  </conditionalFormatting>
  <conditionalFormatting sqref="F336:Q336">
    <cfRule type="colorScale" priority="6">
      <colorScale>
        <cfvo type="min"/>
        <cfvo type="percentile" val="50"/>
        <cfvo type="max"/>
        <color rgb="FFFCFCFF"/>
        <color rgb="FFDDF0C8"/>
        <color rgb="FF63BE7B"/>
      </colorScale>
    </cfRule>
  </conditionalFormatting>
  <conditionalFormatting sqref="F337:Q337">
    <cfRule type="colorScale" priority="5">
      <colorScale>
        <cfvo type="min"/>
        <cfvo type="percentile" val="50"/>
        <cfvo type="max"/>
        <color rgb="FFFCFCFF"/>
        <color rgb="FFDDF0C8"/>
        <color rgb="FF63BE7B"/>
      </colorScale>
    </cfRule>
  </conditionalFormatting>
  <hyperlinks>
    <hyperlink ref="B53" r:id="rId1" display="https://drees.solidarites-sante.gouv.fr/sites/default/files/2023-12/ER1289.pdf" xr:uid="{E7B60555-9E93-45C5-AFCA-3DFE376E814C}"/>
    <hyperlink ref="D62" r:id="rId2" display="https://drees.solidarites-sante.gouv.fr/sites/default/files/panorama/telechargement.htm" xr:uid="{FACB00A4-5307-4170-A6A7-733459816C5C}"/>
    <hyperlink ref="D63" r:id="rId3" display="https://drees.solidarites-sante.gouv.fr/sites/default/files/panorama/telechargement.htm" xr:uid="{1EB853BD-4C5A-4942-9EC7-A67340FCD0AF}"/>
    <hyperlink ref="D64" r:id="rId4" display="https://drees.solidarites-sante.gouv.fr/sites/default/files/panorama/telechargement.htm" xr:uid="{270DDEFA-35A2-4A5B-9D38-86B8B074F5A4}"/>
    <hyperlink ref="B94" r:id="rId5" display="https://anfe.fr/wp-content/uploads/2024/03/Prefiguration-Filiere-REP-Aides-Techniques-Synthese-2024.pdf" xr:uid="{12AA4A56-C491-4518-9374-59FED1DEEB5B}"/>
    <hyperlink ref="B110" r:id="rId6" display="https://anfe.fr/wp-content/uploads/2024/03/Prefiguration-Filiere-REP-Aides-Techniques-Synthese-2024.pdf" xr:uid="{AF8666D1-5F41-48EE-B021-2BCAF938B3ED}"/>
    <hyperlink ref="C207" r:id="rId7" display="https://handicat.com/at-num-20282.html" xr:uid="{D11BFF7E-DD78-46A7-A239-E832FA559120}"/>
    <hyperlink ref="C208" r:id="rId8" display="https://handicat.com/at-num-29472.html" xr:uid="{4E6BC48C-10BF-4CA7-95C1-80958BACFAAE}"/>
    <hyperlink ref="C209" r:id="rId9" display="https://handicat.com/at-num-30090.html" xr:uid="{867AB30E-ECE3-4C0D-BFDD-4868FF8ADCB6}"/>
    <hyperlink ref="C210" r:id="rId10" display="https://handicat.com/at-num-22975.html" xr:uid="{31DE84CD-F88D-4451-A10F-5790488FAAFA}"/>
    <hyperlink ref="C211" r:id="rId11" display="https://handicat.com/at-num-30648.html" xr:uid="{F6688C99-76A7-4653-84B2-8911F4734026}"/>
    <hyperlink ref="C212" r:id="rId12" display="https://handicat.com/at-num-26208.html" xr:uid="{EC62B8B2-D461-4C40-AA66-781DEF431EF4}"/>
    <hyperlink ref="C213" r:id="rId13" display="https://handicat.com/at-num-29734.html" xr:uid="{CB45E5B0-3B65-428B-950C-92C553C89B78}"/>
    <hyperlink ref="C214" r:id="rId14" display="https://handicat.com/at-num-14297.html" xr:uid="{0F2037C4-8D5B-4F4E-88F5-822F284883B5}"/>
    <hyperlink ref="C216" r:id="rId15" display="https://www.medicalexpo.fr/prod/drive-devilbiss-usa/product-89641-1129528.html" xr:uid="{057DAA3B-E588-4530-A436-25B4BB186784}"/>
    <hyperlink ref="C217" r:id="rId16" display="https://www.medicalexpo.fr/prod/chinesport/product-68032-1138682.html" xr:uid="{880674C7-23A3-4B2D-A49F-2ADF1C73294F}"/>
    <hyperlink ref="C218" r:id="rId17" display="https://www.medicalexpo.fr/prod/karman-healthcare/product-122512-863434.html" xr:uid="{12FBE66B-808D-48B7-BBC9-A707126D8E08}"/>
    <hyperlink ref="C205" r:id="rId18" xr:uid="{022EA0ED-1BAC-4CE5-AA73-0E8E86294105}"/>
    <hyperlink ref="C206" r:id="rId19" display="https://be.thuasne.com/sites/thuasne_be/files/imports/notice_HAYDN.pdf" xr:uid="{F98AB375-F572-45B2-A945-17CEEF6750CC}"/>
    <hyperlink ref="C297" r:id="rId20" location=":~:text=Elles%20sont%20t%C3%A9lescopiques%20et%20permettent,15%2C8%20kWh%2FAnn%C3%A9e." display="https://www.hellopro.fr/lit-medicalise-releveur-formidable-echo-2007180-8078051-produit.html - :~:text=Elles%20sont%20t%C3%A9lescopiques%20et%20permettent,15%2C8%20kWh%2FAnn%C3%A9e." xr:uid="{AD89392F-9E60-4E65-BD91-F96E6F1C7B77}"/>
    <hyperlink ref="C220" r:id="rId21" display="https://handicat.com/docs/28771docb.pdf" xr:uid="{A9183AD8-620A-4706-BA04-57F37D3AB915}"/>
    <hyperlink ref="C223" r:id="rId22" location=":~:text=La%20largeur%20d%27assise%20est%20%C3%A0%20choisir%20avec%20attention.&amp;text=Poids%20du%20fauteuil%20%3A,37%20kg" display="https://www.jeanneetjean.fr/fauteuils-coquilles-et-accessoires/liberty-ii-manuel.html - :~:text=La%20largeur%20d%27assise%20est%20%C3%A0%20choisir%20avec%20attention.&amp;text=Poids%20du%20fauteuil%20%3A,37%20kg" xr:uid="{66547D5B-F735-4BEB-A45E-2906DAF0FEC7}"/>
    <hyperlink ref="C224" r:id="rId23" display="https://www.tousergo.com/fauteuil-roulant/12785-fauteuil-coquille-releveur-starlev.html" xr:uid="{37E9AAA4-5E6A-4055-A439-610D119BA6F3}"/>
    <hyperlink ref="C231" r:id="rId24" location="specifications" display="https://www.invacare.fr/fr/fauteuil-electrique-scooter-alber/scooter-electrique-handicape/scooter-senior-invacare-leo - specifications" xr:uid="{C913E062-FB5D-45A6-8454-9596E44DDD5C}"/>
    <hyperlink ref="C234" r:id="rId25" location="specifications" display="https://www.invacare.fr/fr/fauteuil-electrique-scooter-alber/scooter-electrique-handicape/scooter-senior-invacare-leo - specifications" xr:uid="{C46D8C41-D995-43F0-927B-80541257FB0E}"/>
    <hyperlink ref="C237" r:id="rId26" display="https://handicat.com/docs/20060doc.pdf" xr:uid="{25640985-5111-4FE1-91C0-9FADA0BCF332}"/>
    <hyperlink ref="C240" r:id="rId27" display="https://handicat.com/docs/19466doc.pdf" xr:uid="{36C62787-6120-44EE-ABAE-2AD06AA7111A}"/>
    <hyperlink ref="C241" r:id="rId28" display="https://handicat.com/docs/19566doc.pdf" xr:uid="{0CC47175-C824-41DA-BBCF-CA3A0472C3F7}"/>
    <hyperlink ref="C244" r:id="rId29" display="https://www.atpmservices.com/mobilite/cannes-anglaises-avec-appui-brachial-reglable-429.html?srsltid=AfmBOorJRWCI_2saR7edOQxc5k0qPgQPCoHLtIYByZiiaPV6BDZ-LGbk" xr:uid="{30A52C3B-E1F6-4DC8-92EA-23169013F5CD}"/>
    <hyperlink ref="C246" r:id="rId30" display="https://pharmacie-alliance.toopharma.com/produit/canne-anglaise-style-bi-matiere-bleu-hms-vilgo-29877?srsltid=AfmBOoo6vMpax27YlZ7zDnMfDXzewUtveYDwBtClo57Dxpfy5roO5g1f" xr:uid="{129A9264-1DB4-4BA3-83CB-51A632633607}"/>
    <hyperlink ref="C245" r:id="rId31" display="https://www.universsante-catalogue.com/canne-metal-poignee-derby-cashmere-pastel-herdegen-28044.html" xr:uid="{A3BF7536-22CD-4F80-B2F0-5E36DAA25E5D}"/>
    <hyperlink ref="B392" r:id="rId32" display="http://www.codage.ext.cnamts.fr/cgi/tips/cgi-fiche?p_code_tips=1202473&amp;p_date_jo_arrete=%25&amp;p_menu=FICHE&amp;p_site=AMELI" xr:uid="{5BAB2EA1-243D-4FB5-81C5-EC2B5A08C0F0}"/>
    <hyperlink ref="C296" r:id="rId33" display="http://dspace.lagh-univ.dz/server/api/core/bitstreams/237f99f4-2de5-402b-be51-3deb697e03e6/content" xr:uid="{F0C68B1D-C886-41A2-A152-7DEEEEB9F9A7}"/>
  </hyperlinks>
  <pageMargins left="0.7" right="0.7" top="0.75" bottom="0.75" header="0.3" footer="0.3"/>
  <pageSetup paperSize="9" orientation="portrait" r:id="rId34"/>
  <drawing r:id="rId35"/>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C84B0E-7B48-4118-A22A-387C4761A76B}">
  <sheetPr>
    <tabColor theme="7"/>
  </sheetPr>
  <dimension ref="A1:S478"/>
  <sheetViews>
    <sheetView zoomScale="60" zoomScaleNormal="60" workbookViewId="0">
      <selection sqref="A1:XFD2"/>
    </sheetView>
  </sheetViews>
  <sheetFormatPr baseColWidth="10" defaultColWidth="11" defaultRowHeight="14" outlineLevelRow="1"/>
  <cols>
    <col min="2" max="2" width="49.6640625" customWidth="1"/>
    <col min="3" max="3" width="25.5" customWidth="1"/>
    <col min="4" max="4" width="17.1640625" customWidth="1"/>
    <col min="5" max="5" width="14.83203125" customWidth="1"/>
    <col min="6" max="6" width="17.83203125" customWidth="1"/>
    <col min="7" max="7" width="14.6640625" customWidth="1"/>
    <col min="8" max="8" width="29.6640625" customWidth="1"/>
    <col min="9" max="9" width="20.6640625" customWidth="1"/>
    <col min="10" max="10" width="12.6640625" customWidth="1"/>
    <col min="11" max="11" width="14.33203125" customWidth="1"/>
    <col min="12" max="12" width="45.83203125" customWidth="1"/>
    <col min="13" max="13" width="22.5" customWidth="1"/>
    <col min="14" max="14" width="15.6640625" customWidth="1"/>
    <col min="15" max="15" width="11.1640625" bestFit="1" customWidth="1"/>
    <col min="17" max="17" width="22.33203125" customWidth="1"/>
  </cols>
  <sheetData>
    <row r="1" spans="1:13" s="1505" customFormat="1">
      <c r="A1" s="1505" t="s">
        <v>44</v>
      </c>
    </row>
    <row r="2" spans="1:13" s="1505" customFormat="1"/>
    <row r="5" spans="1:13">
      <c r="B5" s="1251" t="s">
        <v>45</v>
      </c>
    </row>
    <row r="6" spans="1:13">
      <c r="B6" s="1251"/>
    </row>
    <row r="8" spans="1:13" ht="23.5">
      <c r="B8" s="2" t="s">
        <v>180</v>
      </c>
    </row>
    <row r="10" spans="1:13" ht="14.5" hidden="1" outlineLevel="1" thickBot="1">
      <c r="B10" s="3" t="s">
        <v>3447</v>
      </c>
    </row>
    <row r="11" spans="1:13" ht="15" hidden="1" outlineLevel="1" thickBot="1">
      <c r="B11" s="218"/>
      <c r="C11" s="123" t="s">
        <v>84</v>
      </c>
      <c r="D11" s="105" t="s">
        <v>187</v>
      </c>
      <c r="E11" s="5" t="s">
        <v>86</v>
      </c>
      <c r="F11" s="105" t="s">
        <v>3448</v>
      </c>
      <c r="G11" s="105" t="s">
        <v>2432</v>
      </c>
      <c r="H11" s="105" t="s">
        <v>3223</v>
      </c>
      <c r="I11" s="124" t="s">
        <v>89</v>
      </c>
      <c r="J11" s="219" t="s">
        <v>2922</v>
      </c>
    </row>
    <row r="12" spans="1:13" ht="14.5" hidden="1" outlineLevel="1">
      <c r="B12" s="28" t="s">
        <v>3449</v>
      </c>
      <c r="C12" s="213">
        <f>I230</f>
        <v>8.9572815469360219</v>
      </c>
      <c r="D12" s="180">
        <f>J230</f>
        <v>1.2009762967958912</v>
      </c>
      <c r="E12" s="180">
        <v>6.5746080189358791E-2</v>
      </c>
      <c r="F12" s="180">
        <f>(H406*'Annexe - Logistique'!D$29+'Equipements d''imagerie'!I406*'Annexe - Logistique'!D$26+'Equipements d''imagerie'!J406*'Annexe - Logistique'!D$30)/10^3</f>
        <v>6.5203597953345165</v>
      </c>
      <c r="G12" s="180">
        <v>9.748141645179345</v>
      </c>
      <c r="H12" s="180">
        <f t="shared" ref="H12:H23" si="0">G434*C$450*C$451/10^9</f>
        <v>0.17924999999999999</v>
      </c>
      <c r="I12" s="211">
        <f t="shared" ref="I12:I23" si="1">E464</f>
        <v>1.4684786885245902</v>
      </c>
      <c r="J12" s="220">
        <f t="shared" ref="J12:J24" si="2">SUM(C12:I12)</f>
        <v>28.140234052959723</v>
      </c>
      <c r="L12" s="74"/>
      <c r="M12" s="1251"/>
    </row>
    <row r="13" spans="1:13" ht="14.5" hidden="1" outlineLevel="1">
      <c r="B13" s="28" t="s">
        <v>3450</v>
      </c>
      <c r="C13" s="213">
        <f>I231+K231</f>
        <v>52.841688376427484</v>
      </c>
      <c r="D13" s="180">
        <f t="shared" ref="D13:D23" si="3">J231</f>
        <v>4.4796060337477916</v>
      </c>
      <c r="E13" s="180">
        <v>0.41402661888537401</v>
      </c>
      <c r="F13" s="180">
        <f>(H407*'Annexe - Logistique'!D$29+'Equipements d''imagerie'!I407*'Annexe - Logistique'!D$26+'Equipements d''imagerie'!J407*'Annexe - Logistique'!D$30)/10^3</f>
        <v>12.617388359868006</v>
      </c>
      <c r="G13" s="180">
        <v>14.736463680100709</v>
      </c>
      <c r="H13" s="180">
        <f t="shared" si="0"/>
        <v>0.22977500000000001</v>
      </c>
      <c r="I13" s="211">
        <f t="shared" si="1"/>
        <v>3.4439344262295082</v>
      </c>
      <c r="J13" s="221">
        <f t="shared" si="2"/>
        <v>88.762882495258879</v>
      </c>
    </row>
    <row r="14" spans="1:13" ht="14.5" hidden="1" outlineLevel="1">
      <c r="B14" s="28" t="s">
        <v>3451</v>
      </c>
      <c r="C14" s="213">
        <f t="shared" ref="C14:C23" si="4">I232</f>
        <v>4.6023204318279713</v>
      </c>
      <c r="D14" s="180">
        <f t="shared" si="3"/>
        <v>0.61707089588754926</v>
      </c>
      <c r="E14" s="180">
        <v>2.9288847366729837E-2</v>
      </c>
      <c r="F14" s="180">
        <f>(H408*'Annexe - Logistique'!D$29+'Equipements d''imagerie'!I408*'Annexe - Logistique'!D$26+'Equipements d''imagerie'!J408*'Annexe - Logistique'!D$30)/10^3</f>
        <v>3.5744590459747383</v>
      </c>
      <c r="G14" s="180">
        <v>1.0118215123530947</v>
      </c>
      <c r="H14" s="180">
        <f t="shared" si="0"/>
        <v>6.0124999999999998E-2</v>
      </c>
      <c r="I14" s="211">
        <f t="shared" si="1"/>
        <v>1.1811309836065575</v>
      </c>
      <c r="J14" s="221">
        <f t="shared" si="2"/>
        <v>11.07621671701664</v>
      </c>
    </row>
    <row r="15" spans="1:13" ht="14.5" hidden="1" outlineLevel="1">
      <c r="B15" s="28" t="s">
        <v>3452</v>
      </c>
      <c r="C15" s="213">
        <f t="shared" si="4"/>
        <v>2.2293984628189549</v>
      </c>
      <c r="D15" s="180">
        <f t="shared" si="3"/>
        <v>0.29891376037796047</v>
      </c>
      <c r="E15" s="180">
        <v>1.5613022146017952E-2</v>
      </c>
      <c r="F15" s="180">
        <f>(H409*'Annexe - Logistique'!D$29+'Equipements d''imagerie'!I409*'Annexe - Logistique'!D$26+'Equipements d''imagerie'!J409*'Annexe - Logistique'!D$30)/10^3</f>
        <v>2.9922652779168906</v>
      </c>
      <c r="G15" s="180">
        <v>0.4901339134683389</v>
      </c>
      <c r="H15" s="180">
        <f t="shared" si="0"/>
        <v>2.9125000000000002E-2</v>
      </c>
      <c r="I15" s="211">
        <f t="shared" si="1"/>
        <v>0.57214868852459022</v>
      </c>
      <c r="J15" s="221">
        <f t="shared" si="2"/>
        <v>6.6275981252527538</v>
      </c>
    </row>
    <row r="16" spans="1:13" ht="14.5" hidden="1" outlineLevel="1">
      <c r="B16" s="28" t="s">
        <v>3453</v>
      </c>
      <c r="C16" s="213">
        <f t="shared" si="4"/>
        <v>18.35170690684037</v>
      </c>
      <c r="D16" s="180">
        <f t="shared" si="3"/>
        <v>2.4605640545484295</v>
      </c>
      <c r="E16" s="180">
        <v>0.26081375986090127</v>
      </c>
      <c r="F16" s="180">
        <f>(H410*'Annexe - Logistique'!D$29+'Equipements d''imagerie'!I410*'Annexe - Logistique'!D$26+'Equipements d''imagerie'!J410*'Annexe - Logistique'!D$30)/10^3</f>
        <v>13.278461700743046</v>
      </c>
      <c r="G16" s="180">
        <v>5.7784785191431913</v>
      </c>
      <c r="H16" s="180">
        <f t="shared" si="0"/>
        <v>1.002874601686973</v>
      </c>
      <c r="I16" s="211">
        <f t="shared" si="1"/>
        <v>3.0086238050609189</v>
      </c>
      <c r="J16" s="221">
        <f t="shared" si="2"/>
        <v>44.141523347883833</v>
      </c>
    </row>
    <row r="17" spans="2:15" ht="14.5" hidden="1" outlineLevel="1">
      <c r="B17" s="28" t="s">
        <v>3454</v>
      </c>
      <c r="C17" s="213">
        <f t="shared" si="4"/>
        <v>0.65510793289583336</v>
      </c>
      <c r="D17" s="180">
        <f t="shared" si="3"/>
        <v>8.7835700500000002E-2</v>
      </c>
      <c r="E17" s="180">
        <v>9.3103690005848436E-3</v>
      </c>
      <c r="F17" s="180">
        <f>(H411*'Annexe - Logistique'!D$29+'Equipements d''imagerie'!I411*'Annexe - Logistique'!D$26+'Equipements d''imagerie'!J411*'Annexe - Logistique'!D$30)/10^3</f>
        <v>0.47400634943487951</v>
      </c>
      <c r="G17" s="180">
        <v>0.20627656801492752</v>
      </c>
      <c r="H17" s="180">
        <f t="shared" si="0"/>
        <v>3.5799999999999998E-2</v>
      </c>
      <c r="I17" s="211">
        <f t="shared" si="1"/>
        <v>0.10739999999999998</v>
      </c>
      <c r="J17" s="221">
        <f t="shared" si="2"/>
        <v>1.5757369198462252</v>
      </c>
    </row>
    <row r="18" spans="2:15" ht="14.5" hidden="1" outlineLevel="1">
      <c r="B18" s="28" t="s">
        <v>3455</v>
      </c>
      <c r="C18" s="213">
        <f t="shared" si="4"/>
        <v>0.25769804608440328</v>
      </c>
      <c r="D18" s="180">
        <f t="shared" si="3"/>
        <v>3.4551693329752393E-2</v>
      </c>
      <c r="E18" s="180">
        <v>5.2514566928993665E-2</v>
      </c>
      <c r="F18" s="180">
        <f>(H412*'Annexe - Logistique'!D$29+'Equipements d''imagerie'!I412*'Annexe - Logistique'!D$26+'Equipements d''imagerie'!J412*'Annexe - Logistique'!D$30)/10^3</f>
        <v>0.52392422428568219</v>
      </c>
      <c r="G18" s="180">
        <v>0.15866174091415886</v>
      </c>
      <c r="H18" s="180">
        <f t="shared" si="0"/>
        <v>2.2624499999999999</v>
      </c>
      <c r="I18" s="211">
        <f t="shared" si="1"/>
        <v>9.7263630479999988E-2</v>
      </c>
      <c r="J18" s="221">
        <f t="shared" si="2"/>
        <v>3.3870639020229905</v>
      </c>
    </row>
    <row r="19" spans="2:15" ht="14.5" hidden="1" outlineLevel="1">
      <c r="B19" s="28" t="s">
        <v>3456</v>
      </c>
      <c r="C19" s="213">
        <f t="shared" si="4"/>
        <v>4.0572792288395938</v>
      </c>
      <c r="D19" s="180">
        <f t="shared" si="3"/>
        <v>0.5439927457662026</v>
      </c>
      <c r="E19" s="180">
        <v>8.3098951302379431E-2</v>
      </c>
      <c r="F19" s="180">
        <f>(H413*'Annexe - Logistique'!D$29+'Equipements d''imagerie'!I413*'Annexe - Logistique'!D$26+'Equipements d''imagerie'!J413*'Annexe - Logistique'!D$30)/10^3</f>
        <v>2.7721297781959593</v>
      </c>
      <c r="G19" s="180">
        <v>15.64325434543149</v>
      </c>
      <c r="H19" s="180">
        <f t="shared" si="0"/>
        <v>2.7149399999999999</v>
      </c>
      <c r="I19" s="211">
        <f t="shared" si="1"/>
        <v>0.66516029999999993</v>
      </c>
      <c r="J19" s="221">
        <f t="shared" si="2"/>
        <v>26.479855349535622</v>
      </c>
    </row>
    <row r="20" spans="2:15" ht="14.5" hidden="1" outlineLevel="1">
      <c r="B20" s="28" t="s">
        <v>3457</v>
      </c>
      <c r="C20" s="213">
        <f t="shared" si="4"/>
        <v>5.6065747218401255E-2</v>
      </c>
      <c r="D20" s="180">
        <f t="shared" si="3"/>
        <v>7.5171951577744697E-3</v>
      </c>
      <c r="E20" s="180">
        <v>6.3706740403208133E-3</v>
      </c>
      <c r="F20" s="180">
        <f>(H414*'Annexe - Logistique'!D$29+'Equipements d''imagerie'!I414*'Annexe - Logistique'!D$26+'Equipements d''imagerie'!J414*'Annexe - Logistique'!D$30)/10^3</f>
        <v>3.1645707399160838E-2</v>
      </c>
      <c r="G20" s="180">
        <v>0</v>
      </c>
      <c r="H20" s="180">
        <f t="shared" si="0"/>
        <v>0</v>
      </c>
      <c r="I20" s="211">
        <f t="shared" si="1"/>
        <v>9.191556E-3</v>
      </c>
      <c r="J20" s="221">
        <f t="shared" si="2"/>
        <v>0.11079087981565737</v>
      </c>
    </row>
    <row r="21" spans="2:15" ht="14.5" hidden="1" outlineLevel="1">
      <c r="B21" s="28" t="s">
        <v>3458</v>
      </c>
      <c r="C21" s="213">
        <f t="shared" si="4"/>
        <v>9.2921147806666688</v>
      </c>
      <c r="D21" s="180">
        <f t="shared" si="3"/>
        <v>1.2458701381899444</v>
      </c>
      <c r="E21" s="180">
        <v>9.8982447225448383E-2</v>
      </c>
      <c r="F21" s="180">
        <f>(H415*'Annexe - Logistique'!D$29+'Equipements d''imagerie'!I415*'Annexe - Logistique'!D$26+'Equipements d''imagerie'!J415*'Annexe - Logistique'!D$30)/10^3</f>
        <v>1.5773420122088329</v>
      </c>
      <c r="G21" s="180">
        <v>2.9966616671377051</v>
      </c>
      <c r="H21" s="180">
        <f t="shared" si="0"/>
        <v>0.52120312624196963</v>
      </c>
      <c r="I21" s="211">
        <f t="shared" si="1"/>
        <v>0.62128000000000005</v>
      </c>
      <c r="J21" s="221">
        <f t="shared" si="2"/>
        <v>16.35345417167057</v>
      </c>
    </row>
    <row r="22" spans="2:15" ht="14.5" hidden="1" outlineLevel="1">
      <c r="B22" s="28" t="s">
        <v>3459</v>
      </c>
      <c r="C22" s="213">
        <f t="shared" si="4"/>
        <v>0.15549437062200003</v>
      </c>
      <c r="D22" s="180">
        <f t="shared" si="3"/>
        <v>2.0848407234234638E-2</v>
      </c>
      <c r="E22" s="180">
        <v>3.354853634288953E-3</v>
      </c>
      <c r="F22" s="180">
        <f>(H416*'Annexe - Logistique'!D$29+'Equipements d''imagerie'!I416*'Annexe - Logistique'!D$26+'Equipements d''imagerie'!J416*'Annexe - Logistique'!D$30)/10^3</f>
        <v>0.23187597914479718</v>
      </c>
      <c r="G22" s="180">
        <v>7.4328707469066072E-2</v>
      </c>
      <c r="H22" s="180">
        <f t="shared" si="0"/>
        <v>1.29E-2</v>
      </c>
      <c r="I22" s="211">
        <f t="shared" si="1"/>
        <v>5.6553600000000002E-2</v>
      </c>
      <c r="J22" s="221">
        <f t="shared" si="2"/>
        <v>0.55535591810438689</v>
      </c>
      <c r="L22" s="39"/>
    </row>
    <row r="23" spans="2:15" ht="15" hidden="1" outlineLevel="1" thickBot="1">
      <c r="B23" s="30" t="s">
        <v>3460</v>
      </c>
      <c r="C23" s="214">
        <f t="shared" si="4"/>
        <v>0.11571674092799999</v>
      </c>
      <c r="D23" s="18">
        <f t="shared" si="3"/>
        <v>1.5515093755709496E-2</v>
      </c>
      <c r="E23" s="18">
        <v>1.0001782813971644E-2</v>
      </c>
      <c r="F23" s="18">
        <f>(H417*'Annexe - Logistique'!D$29+'Equipements d''imagerie'!I417*'Annexe - Logistique'!D$26+'Equipements d''imagerie'!J417*'Annexe - Logistique'!D$30)/10^3</f>
        <v>0.25252887993990791</v>
      </c>
      <c r="G23" s="18">
        <v>0.1770043551730488</v>
      </c>
      <c r="H23" s="18">
        <f t="shared" si="0"/>
        <v>9.5999999999999992E-3</v>
      </c>
      <c r="I23" s="186">
        <f t="shared" si="1"/>
        <v>4.2086400000000003E-2</v>
      </c>
      <c r="J23" s="222">
        <f t="shared" si="2"/>
        <v>0.62245325261063789</v>
      </c>
    </row>
    <row r="24" spans="2:15" ht="15" hidden="1" outlineLevel="1" thickBot="1">
      <c r="B24" s="20" t="s">
        <v>83</v>
      </c>
      <c r="C24" s="517">
        <f t="shared" ref="C24:I24" si="5">SUM(C12:C23)</f>
        <v>101.57187257210566</v>
      </c>
      <c r="D24" s="517">
        <f t="shared" si="5"/>
        <v>11.013262015291239</v>
      </c>
      <c r="E24" s="517">
        <f t="shared" si="5"/>
        <v>1.0491219733943693</v>
      </c>
      <c r="F24" s="517">
        <f t="shared" si="5"/>
        <v>44.846387110446415</v>
      </c>
      <c r="G24" s="517">
        <f t="shared" si="5"/>
        <v>51.021226654385075</v>
      </c>
      <c r="H24" s="1167">
        <f t="shared" si="5"/>
        <v>7.0580427279289424</v>
      </c>
      <c r="I24" s="1039">
        <f t="shared" si="5"/>
        <v>11.273252078426168</v>
      </c>
      <c r="J24" s="763">
        <f t="shared" si="2"/>
        <v>227.83316513197786</v>
      </c>
    </row>
    <row r="25" spans="2:15" ht="14.5" hidden="1" outlineLevel="1" thickBot="1"/>
    <row r="26" spans="2:15" ht="14.5" hidden="1" outlineLevel="1">
      <c r="G26" s="123"/>
      <c r="H26" s="105" t="s">
        <v>84</v>
      </c>
      <c r="I26" s="105" t="s">
        <v>187</v>
      </c>
      <c r="J26" s="5" t="s">
        <v>86</v>
      </c>
      <c r="K26" s="105" t="s">
        <v>3448</v>
      </c>
      <c r="L26" s="105" t="s">
        <v>2432</v>
      </c>
      <c r="M26" s="105" t="s">
        <v>3223</v>
      </c>
      <c r="N26" s="105" t="s">
        <v>89</v>
      </c>
      <c r="O26" s="124" t="s">
        <v>3461</v>
      </c>
    </row>
    <row r="27" spans="2:15" ht="14.5" hidden="1" outlineLevel="1">
      <c r="G27" s="110" t="s">
        <v>3449</v>
      </c>
      <c r="H27" s="1164">
        <f t="shared" ref="H27:O28" si="6">C12</f>
        <v>8.9572815469360219</v>
      </c>
      <c r="I27" s="1164">
        <f t="shared" si="6"/>
        <v>1.2009762967958912</v>
      </c>
      <c r="J27" s="1164">
        <f t="shared" si="6"/>
        <v>6.5746080189358791E-2</v>
      </c>
      <c r="K27" s="1164">
        <f t="shared" si="6"/>
        <v>6.5203597953345165</v>
      </c>
      <c r="L27" s="1164">
        <f t="shared" si="6"/>
        <v>9.748141645179345</v>
      </c>
      <c r="M27" s="1164">
        <f t="shared" si="6"/>
        <v>0.17924999999999999</v>
      </c>
      <c r="N27" s="1164">
        <f t="shared" si="6"/>
        <v>1.4684786885245902</v>
      </c>
      <c r="O27" s="1165">
        <f t="shared" si="6"/>
        <v>28.140234052959723</v>
      </c>
    </row>
    <row r="28" spans="2:15" ht="14.5" hidden="1" outlineLevel="1">
      <c r="G28" s="110" t="s">
        <v>3450</v>
      </c>
      <c r="H28" s="1164">
        <f t="shared" si="6"/>
        <v>52.841688376427484</v>
      </c>
      <c r="I28" s="1164">
        <f t="shared" si="6"/>
        <v>4.4796060337477916</v>
      </c>
      <c r="J28" s="1164">
        <f t="shared" si="6"/>
        <v>0.41402661888537401</v>
      </c>
      <c r="K28" s="1164">
        <f t="shared" si="6"/>
        <v>12.617388359868006</v>
      </c>
      <c r="L28" s="1164">
        <f t="shared" si="6"/>
        <v>14.736463680100709</v>
      </c>
      <c r="M28" s="1164">
        <f t="shared" si="6"/>
        <v>0.22977500000000001</v>
      </c>
      <c r="N28" s="1164">
        <f t="shared" si="6"/>
        <v>3.4439344262295082</v>
      </c>
      <c r="O28" s="1165">
        <f t="shared" si="6"/>
        <v>88.762882495258879</v>
      </c>
    </row>
    <row r="29" spans="2:15" ht="58" hidden="1" outlineLevel="1">
      <c r="G29" s="10" t="s">
        <v>3462</v>
      </c>
      <c r="H29" s="1164">
        <f t="shared" ref="H29:O29" si="7">C14+C15</f>
        <v>6.8317188946469258</v>
      </c>
      <c r="I29" s="1164">
        <f t="shared" si="7"/>
        <v>0.91598465626550973</v>
      </c>
      <c r="J29" s="1164">
        <f t="shared" si="7"/>
        <v>4.4901869512747786E-2</v>
      </c>
      <c r="K29" s="1164">
        <f t="shared" si="7"/>
        <v>6.5667243238916289</v>
      </c>
      <c r="L29" s="1164">
        <f t="shared" si="7"/>
        <v>1.5019554258214336</v>
      </c>
      <c r="M29" s="1164">
        <f t="shared" si="7"/>
        <v>8.9249999999999996E-2</v>
      </c>
      <c r="N29" s="1164">
        <f t="shared" si="7"/>
        <v>1.7532796721311477</v>
      </c>
      <c r="O29" s="1165">
        <f t="shared" si="7"/>
        <v>17.703814842269395</v>
      </c>
    </row>
    <row r="30" spans="2:15" ht="14.5" hidden="1" outlineLevel="1">
      <c r="G30" s="110" t="s">
        <v>3463</v>
      </c>
      <c r="H30" s="1164">
        <f t="shared" ref="H30:O30" si="8">C16+C17</f>
        <v>19.006814839736204</v>
      </c>
      <c r="I30" s="1164">
        <f t="shared" si="8"/>
        <v>2.5483997550484294</v>
      </c>
      <c r="J30" s="1164">
        <f t="shared" si="8"/>
        <v>0.27012412886148612</v>
      </c>
      <c r="K30" s="1164">
        <f t="shared" si="8"/>
        <v>13.752468050177926</v>
      </c>
      <c r="L30" s="1164">
        <f t="shared" si="8"/>
        <v>5.9847550871581188</v>
      </c>
      <c r="M30" s="1164">
        <f t="shared" si="8"/>
        <v>1.038674601686973</v>
      </c>
      <c r="N30" s="1164">
        <f t="shared" si="8"/>
        <v>3.116023805060919</v>
      </c>
      <c r="O30" s="1165">
        <f t="shared" si="8"/>
        <v>45.717260267730062</v>
      </c>
    </row>
    <row r="31" spans="2:15" ht="14.5" hidden="1" outlineLevel="1">
      <c r="G31" s="110" t="s">
        <v>3464</v>
      </c>
      <c r="H31" s="1164">
        <f t="shared" ref="H31:O31" si="9">C19+C18</f>
        <v>4.3149772749239972</v>
      </c>
      <c r="I31" s="1164">
        <f t="shared" si="9"/>
        <v>0.57854443909595499</v>
      </c>
      <c r="J31" s="1164">
        <f t="shared" si="9"/>
        <v>0.1356135182313731</v>
      </c>
      <c r="K31" s="1164">
        <f t="shared" si="9"/>
        <v>3.2960540024816414</v>
      </c>
      <c r="L31" s="1164">
        <f t="shared" si="9"/>
        <v>15.801916086345649</v>
      </c>
      <c r="M31" s="1164">
        <f t="shared" si="9"/>
        <v>4.9773899999999998</v>
      </c>
      <c r="N31" s="1164">
        <f t="shared" si="9"/>
        <v>0.7624239304799999</v>
      </c>
      <c r="O31" s="1165">
        <f t="shared" si="9"/>
        <v>29.866919251558613</v>
      </c>
    </row>
    <row r="32" spans="2:15" ht="14.5" hidden="1" outlineLevel="1">
      <c r="G32" s="110" t="s">
        <v>3458</v>
      </c>
      <c r="H32" s="1164">
        <f t="shared" ref="H32:O32" si="10">C21</f>
        <v>9.2921147806666688</v>
      </c>
      <c r="I32" s="1164">
        <f t="shared" si="10"/>
        <v>1.2458701381899444</v>
      </c>
      <c r="J32" s="1164">
        <f t="shared" si="10"/>
        <v>9.8982447225448383E-2</v>
      </c>
      <c r="K32" s="1164">
        <f t="shared" si="10"/>
        <v>1.5773420122088329</v>
      </c>
      <c r="L32" s="1164">
        <f t="shared" si="10"/>
        <v>2.9966616671377051</v>
      </c>
      <c r="M32" s="1164">
        <f t="shared" si="10"/>
        <v>0.52120312624196963</v>
      </c>
      <c r="N32" s="1164">
        <f t="shared" si="10"/>
        <v>0.62128000000000005</v>
      </c>
      <c r="O32" s="1165">
        <f t="shared" si="10"/>
        <v>16.35345417167057</v>
      </c>
    </row>
    <row r="33" spans="2:15" ht="15" hidden="1" outlineLevel="1" thickBot="1">
      <c r="G33" s="111" t="s">
        <v>3465</v>
      </c>
      <c r="H33" s="249">
        <f t="shared" ref="H33:O33" si="11">C22+C23</f>
        <v>0.27121111154999999</v>
      </c>
      <c r="I33" s="249">
        <f t="shared" si="11"/>
        <v>3.6363500989944134E-2</v>
      </c>
      <c r="J33" s="249">
        <f t="shared" si="11"/>
        <v>1.3356636448260597E-2</v>
      </c>
      <c r="K33" s="249">
        <f t="shared" si="11"/>
        <v>0.4844048590847051</v>
      </c>
      <c r="L33" s="249">
        <f t="shared" si="11"/>
        <v>0.25133306264211486</v>
      </c>
      <c r="M33" s="249">
        <f t="shared" si="11"/>
        <v>2.2499999999999999E-2</v>
      </c>
      <c r="N33" s="249">
        <f t="shared" si="11"/>
        <v>9.8640000000000005E-2</v>
      </c>
      <c r="O33" s="1166">
        <f t="shared" si="11"/>
        <v>1.1778091707150247</v>
      </c>
    </row>
    <row r="34" spans="2:15" hidden="1" outlineLevel="1"/>
    <row r="35" spans="2:15" ht="14.5" hidden="1" outlineLevel="1" thickBot="1">
      <c r="G35" s="3" t="s">
        <v>3466</v>
      </c>
    </row>
    <row r="36" spans="2:15" ht="14.5" hidden="1" outlineLevel="1">
      <c r="G36" s="123"/>
      <c r="H36" s="105" t="s">
        <v>84</v>
      </c>
      <c r="I36" s="105" t="s">
        <v>187</v>
      </c>
      <c r="J36" s="5" t="s">
        <v>86</v>
      </c>
      <c r="K36" s="105" t="s">
        <v>3448</v>
      </c>
      <c r="L36" s="105" t="s">
        <v>2432</v>
      </c>
      <c r="M36" s="105" t="s">
        <v>3223</v>
      </c>
      <c r="N36" s="105" t="s">
        <v>89</v>
      </c>
      <c r="O36" s="124" t="s">
        <v>3461</v>
      </c>
    </row>
    <row r="37" spans="2:15" ht="14.5" hidden="1" outlineLevel="1">
      <c r="G37" s="110" t="s">
        <v>3449</v>
      </c>
      <c r="H37" s="1164">
        <f t="shared" ref="H37:O43" si="12">1000*H27/$M146</f>
        <v>6.2463609113919256</v>
      </c>
      <c r="I37" s="1164">
        <f t="shared" si="12"/>
        <v>0.83750090432070512</v>
      </c>
      <c r="J37" s="1164">
        <f t="shared" si="12"/>
        <v>4.5848033604852713E-2</v>
      </c>
      <c r="K37" s="1164">
        <f t="shared" si="12"/>
        <v>4.5469733579738607</v>
      </c>
      <c r="L37" s="1164">
        <f t="shared" si="12"/>
        <v>6.7978672560525419</v>
      </c>
      <c r="M37" s="1164">
        <f t="shared" si="12"/>
        <v>0.125</v>
      </c>
      <c r="N37" s="1164">
        <f t="shared" si="12"/>
        <v>1.0240437158469944</v>
      </c>
      <c r="O37" s="1165">
        <f t="shared" si="12"/>
        <v>19.623594179190881</v>
      </c>
    </row>
    <row r="38" spans="2:15" ht="14.5" hidden="1" outlineLevel="1">
      <c r="G38" s="110" t="s">
        <v>3450</v>
      </c>
      <c r="H38" s="1164">
        <f t="shared" si="12"/>
        <v>40.245002571536546</v>
      </c>
      <c r="I38" s="1164">
        <f t="shared" si="12"/>
        <v>3.4117334605847618</v>
      </c>
      <c r="J38" s="1164">
        <f t="shared" si="12"/>
        <v>0.31532872725466415</v>
      </c>
      <c r="K38" s="1164">
        <f t="shared" si="12"/>
        <v>9.6095874789550688</v>
      </c>
      <c r="L38" s="1164">
        <f t="shared" si="12"/>
        <v>11.223506230084318</v>
      </c>
      <c r="M38" s="1164">
        <f t="shared" si="12"/>
        <v>0.17500000000000002</v>
      </c>
      <c r="N38" s="1164">
        <f t="shared" si="12"/>
        <v>2.622950819672131</v>
      </c>
      <c r="O38" s="1165">
        <f t="shared" si="12"/>
        <v>67.603109288087495</v>
      </c>
    </row>
    <row r="39" spans="2:15" ht="58" hidden="1" outlineLevel="1">
      <c r="G39" s="10" t="s">
        <v>3467</v>
      </c>
      <c r="H39" s="1164">
        <f t="shared" si="12"/>
        <v>9.5682337460040987</v>
      </c>
      <c r="I39" s="1164">
        <f t="shared" si="12"/>
        <v>1.2828916754418904</v>
      </c>
      <c r="J39" s="1164">
        <f t="shared" si="12"/>
        <v>6.2887772426817631E-2</v>
      </c>
      <c r="K39" s="1164">
        <f t="shared" si="12"/>
        <v>9.1970928906045231</v>
      </c>
      <c r="L39" s="1164">
        <f t="shared" si="12"/>
        <v>2.1035790277611115</v>
      </c>
      <c r="M39" s="1164">
        <f t="shared" si="12"/>
        <v>0.125</v>
      </c>
      <c r="N39" s="1164">
        <f t="shared" si="12"/>
        <v>2.4555737704918035</v>
      </c>
      <c r="O39" s="1165">
        <f t="shared" si="12"/>
        <v>24.795258882730245</v>
      </c>
    </row>
    <row r="40" spans="2:15" ht="14.5" hidden="1" outlineLevel="1">
      <c r="G40" s="110" t="s">
        <v>3463</v>
      </c>
      <c r="H40" s="1164">
        <f t="shared" si="12"/>
        <v>1.8299104270833342</v>
      </c>
      <c r="I40" s="1164">
        <f t="shared" si="12"/>
        <v>0.24535111871508389</v>
      </c>
      <c r="J40" s="1164">
        <f t="shared" si="12"/>
        <v>2.6006617320069397E-2</v>
      </c>
      <c r="K40" s="1164">
        <f t="shared" si="12"/>
        <v>1.3240400822203342</v>
      </c>
      <c r="L40" s="1164">
        <f t="shared" si="12"/>
        <v>0.57619153076795404</v>
      </c>
      <c r="M40" s="1164">
        <f t="shared" si="12"/>
        <v>0.10000000000000002</v>
      </c>
      <c r="N40" s="1164">
        <f t="shared" si="12"/>
        <v>0.30000000000000004</v>
      </c>
      <c r="O40" s="1165">
        <f t="shared" si="12"/>
        <v>4.4014997761067765</v>
      </c>
    </row>
    <row r="41" spans="2:15" ht="14.5" hidden="1" outlineLevel="1">
      <c r="G41" s="110" t="s">
        <v>3464</v>
      </c>
      <c r="H41" s="1164">
        <f t="shared" si="12"/>
        <v>5.960045076858049E-2</v>
      </c>
      <c r="I41" s="1164">
        <f t="shared" si="12"/>
        <v>7.9911218907593954E-3</v>
      </c>
      <c r="J41" s="1164">
        <f t="shared" si="12"/>
        <v>1.8731562884176046E-3</v>
      </c>
      <c r="K41" s="1164">
        <f t="shared" si="12"/>
        <v>4.5526613882097416E-2</v>
      </c>
      <c r="L41" s="1164">
        <f t="shared" si="12"/>
        <v>0.21826333297898365</v>
      </c>
      <c r="M41" s="1164">
        <f t="shared" si="12"/>
        <v>6.8749999999999992E-2</v>
      </c>
      <c r="N41" s="1164">
        <f t="shared" si="12"/>
        <v>1.0530949999999999E-2</v>
      </c>
      <c r="O41" s="1165">
        <f t="shared" si="12"/>
        <v>0.41253562580883857</v>
      </c>
    </row>
    <row r="42" spans="2:15" ht="14.5" hidden="1" outlineLevel="1">
      <c r="B42" s="1251" t="s">
        <v>3468</v>
      </c>
      <c r="G42" s="110" t="s">
        <v>3458</v>
      </c>
      <c r="H42" s="1164">
        <f t="shared" si="12"/>
        <v>0.89141011563625827</v>
      </c>
      <c r="I42" s="1164">
        <f t="shared" si="12"/>
        <v>0.11951867472217988</v>
      </c>
      <c r="J42" s="1164">
        <f t="shared" si="12"/>
        <v>9.4955730541316421E-3</v>
      </c>
      <c r="K42" s="1164">
        <f t="shared" si="12"/>
        <v>0.15131739745902337</v>
      </c>
      <c r="L42" s="1164">
        <f t="shared" si="12"/>
        <v>0.28747541181732084</v>
      </c>
      <c r="M42" s="1164">
        <f t="shared" si="12"/>
        <v>0.05</v>
      </c>
      <c r="N42" s="1164">
        <f t="shared" si="12"/>
        <v>5.9600563457822546E-2</v>
      </c>
      <c r="O42" s="1165">
        <f t="shared" si="12"/>
        <v>1.5688177361467366</v>
      </c>
    </row>
    <row r="43" spans="2:15" ht="15" hidden="1" outlineLevel="1" thickBot="1">
      <c r="B43" s="1251" t="s">
        <v>4937</v>
      </c>
      <c r="G43" s="111" t="s">
        <v>3465</v>
      </c>
      <c r="H43" s="249">
        <f t="shared" si="12"/>
        <v>1.2053827180000001</v>
      </c>
      <c r="I43" s="249">
        <f t="shared" si="12"/>
        <v>0.16161555995530727</v>
      </c>
      <c r="J43" s="249">
        <f t="shared" si="12"/>
        <v>5.9362828658935982E-2</v>
      </c>
      <c r="K43" s="249">
        <f t="shared" si="12"/>
        <v>2.1529104848209117</v>
      </c>
      <c r="L43" s="249">
        <f t="shared" si="12"/>
        <v>1.1170358339649549</v>
      </c>
      <c r="M43" s="249">
        <f t="shared" si="12"/>
        <v>0.1</v>
      </c>
      <c r="N43" s="249">
        <f t="shared" si="12"/>
        <v>0.43840000000000001</v>
      </c>
      <c r="O43" s="1166">
        <f t="shared" si="12"/>
        <v>5.23470742540011</v>
      </c>
    </row>
    <row r="44" spans="2:15" hidden="1" outlineLevel="1">
      <c r="B44" s="1251" t="s">
        <v>3469</v>
      </c>
    </row>
    <row r="45" spans="2:15" collapsed="1">
      <c r="B45" s="1251"/>
    </row>
    <row r="46" spans="2:15" ht="23.5">
      <c r="B46" s="2" t="s">
        <v>3470</v>
      </c>
      <c r="O46" s="1"/>
    </row>
    <row r="48" spans="2:15" ht="18" hidden="1" outlineLevel="1">
      <c r="B48" s="106" t="s">
        <v>3471</v>
      </c>
    </row>
    <row r="49" spans="2:10" hidden="1" outlineLevel="1"/>
    <row r="50" spans="2:10" hidden="1" outlineLevel="1">
      <c r="B50" s="109" t="s">
        <v>3472</v>
      </c>
    </row>
    <row r="51" spans="2:10" hidden="1" outlineLevel="1"/>
    <row r="52" spans="2:10" hidden="1" outlineLevel="1"/>
    <row r="53" spans="2:10" hidden="1" outlineLevel="1">
      <c r="B53" s="1251" t="s">
        <v>3473</v>
      </c>
    </row>
    <row r="54" spans="2:10" ht="29.5" hidden="1" customHeight="1" outlineLevel="1" thickBot="1">
      <c r="B54" s="87" t="s">
        <v>3474</v>
      </c>
      <c r="F54" s="1251" t="s">
        <v>3475</v>
      </c>
    </row>
    <row r="55" spans="2:10" ht="15" hidden="1" customHeight="1" outlineLevel="1" thickBot="1">
      <c r="F55" s="4"/>
      <c r="G55" s="1650" t="s">
        <v>3476</v>
      </c>
      <c r="H55" s="1651"/>
      <c r="I55" s="1652"/>
      <c r="J55" s="1251" t="s">
        <v>3477</v>
      </c>
    </row>
    <row r="56" spans="2:10" ht="43.5" hidden="1" outlineLevel="1">
      <c r="B56" s="4"/>
      <c r="C56" s="6" t="s">
        <v>3478</v>
      </c>
      <c r="D56" s="1251"/>
      <c r="F56" s="7"/>
      <c r="G56" s="8" t="s">
        <v>3479</v>
      </c>
      <c r="H56" s="8" t="s">
        <v>3480</v>
      </c>
      <c r="I56" s="9" t="s">
        <v>83</v>
      </c>
    </row>
    <row r="57" spans="2:10" ht="14.5" hidden="1" outlineLevel="1">
      <c r="B57" s="10" t="s">
        <v>3449</v>
      </c>
      <c r="C57" s="17">
        <v>1434</v>
      </c>
      <c r="D57" s="87"/>
      <c r="F57" s="10" t="s">
        <v>3449</v>
      </c>
      <c r="G57" s="21">
        <v>801</v>
      </c>
      <c r="H57" s="21">
        <v>233</v>
      </c>
      <c r="I57" s="107">
        <f>G57+H57</f>
        <v>1034</v>
      </c>
    </row>
    <row r="58" spans="2:10" ht="14.5" hidden="1" outlineLevel="1">
      <c r="B58" s="10" t="s">
        <v>3450</v>
      </c>
      <c r="C58" s="17">
        <v>1313</v>
      </c>
      <c r="D58" s="87"/>
      <c r="F58" s="10" t="s">
        <v>3450</v>
      </c>
      <c r="G58" s="21">
        <v>637</v>
      </c>
      <c r="H58" s="21">
        <v>196</v>
      </c>
      <c r="I58" s="107">
        <f>G58+H58</f>
        <v>833</v>
      </c>
    </row>
    <row r="59" spans="2:10" ht="29" hidden="1" outlineLevel="1">
      <c r="B59" s="10" t="s">
        <v>3451</v>
      </c>
      <c r="C59" s="17">
        <f>465+16</f>
        <v>481</v>
      </c>
      <c r="D59" s="87"/>
      <c r="F59" s="10" t="s">
        <v>3451</v>
      </c>
      <c r="G59" s="21">
        <v>283</v>
      </c>
      <c r="H59" s="21">
        <v>68</v>
      </c>
      <c r="I59" s="107">
        <f>G59+H59</f>
        <v>351</v>
      </c>
    </row>
    <row r="60" spans="2:10" ht="44" hidden="1" outlineLevel="1" thickBot="1">
      <c r="B60" s="13" t="s">
        <v>3452</v>
      </c>
      <c r="C60" s="38">
        <f>1+232</f>
        <v>233</v>
      </c>
      <c r="D60" s="87"/>
      <c r="F60" s="13" t="s">
        <v>3452</v>
      </c>
      <c r="G60" s="22">
        <v>124</v>
      </c>
      <c r="H60" s="22">
        <v>19</v>
      </c>
      <c r="I60" s="108">
        <f>G60+H60</f>
        <v>143</v>
      </c>
    </row>
    <row r="61" spans="2:10" hidden="1" outlineLevel="1"/>
    <row r="62" spans="2:10" ht="18" hidden="1" outlineLevel="1">
      <c r="B62" s="106" t="s">
        <v>3481</v>
      </c>
    </row>
    <row r="63" spans="2:10" hidden="1" outlineLevel="1"/>
    <row r="64" spans="2:10" hidden="1" outlineLevel="1">
      <c r="B64" s="3" t="s">
        <v>3482</v>
      </c>
    </row>
    <row r="65" spans="2:6" hidden="1" outlineLevel="1"/>
    <row r="66" spans="2:6" hidden="1" outlineLevel="1">
      <c r="B66" s="1251" t="s">
        <v>3483</v>
      </c>
    </row>
    <row r="67" spans="2:6" ht="14.5" hidden="1" outlineLevel="1" thickBot="1"/>
    <row r="68" spans="2:6" ht="14.5" hidden="1" outlineLevel="1">
      <c r="B68" s="4"/>
      <c r="C68" s="1597" t="s">
        <v>3484</v>
      </c>
      <c r="D68" s="1597"/>
      <c r="E68" s="1649"/>
    </row>
    <row r="69" spans="2:6" ht="29" hidden="1" outlineLevel="1">
      <c r="B69" s="7"/>
      <c r="C69" s="8" t="s">
        <v>3479</v>
      </c>
      <c r="D69" s="8" t="s">
        <v>3480</v>
      </c>
      <c r="E69" s="9" t="s">
        <v>83</v>
      </c>
    </row>
    <row r="70" spans="2:6" ht="29" hidden="1" outlineLevel="1">
      <c r="B70" s="10" t="s">
        <v>3485</v>
      </c>
      <c r="C70" s="21">
        <v>2235</v>
      </c>
      <c r="D70" s="21">
        <v>587</v>
      </c>
      <c r="E70" s="112">
        <f>C70+D70</f>
        <v>2822</v>
      </c>
      <c r="F70" s="1251"/>
    </row>
    <row r="71" spans="2:6" ht="15" hidden="1" outlineLevel="1" thickBot="1">
      <c r="B71" s="13" t="s">
        <v>3486</v>
      </c>
      <c r="C71" s="22">
        <v>348</v>
      </c>
      <c r="D71" s="22">
        <v>146</v>
      </c>
      <c r="E71" s="108">
        <f>C71+D71</f>
        <v>494</v>
      </c>
    </row>
    <row r="72" spans="2:6" hidden="1" outlineLevel="1"/>
    <row r="73" spans="2:6" ht="14.5" hidden="1" outlineLevel="1" thickBot="1">
      <c r="B73" s="1251" t="s">
        <v>3487</v>
      </c>
    </row>
    <row r="74" spans="2:6" ht="14.5" hidden="1" outlineLevel="1">
      <c r="B74" s="4"/>
      <c r="C74" s="5" t="s">
        <v>69</v>
      </c>
      <c r="D74" s="6" t="s">
        <v>70</v>
      </c>
    </row>
    <row r="75" spans="2:6" ht="14.5" hidden="1" outlineLevel="1">
      <c r="B75" s="10" t="s">
        <v>3488</v>
      </c>
      <c r="C75" s="11">
        <f>57.3 * 10^6</f>
        <v>57300000</v>
      </c>
      <c r="D75" s="100" t="s">
        <v>3489</v>
      </c>
    </row>
    <row r="76" spans="2:6" ht="14.5" hidden="1" outlineLevel="1">
      <c r="B76" s="10" t="s">
        <v>3490</v>
      </c>
      <c r="C76" s="11">
        <v>8536</v>
      </c>
      <c r="D76" s="100" t="s">
        <v>3491</v>
      </c>
    </row>
    <row r="77" spans="2:6" ht="15" hidden="1" outlineLevel="1" thickBot="1">
      <c r="B77" s="13" t="s">
        <v>3492</v>
      </c>
      <c r="C77" s="116">
        <f>C75/C76</f>
        <v>6712.746016869728</v>
      </c>
      <c r="D77" s="38"/>
    </row>
    <row r="78" spans="2:6" hidden="1" outlineLevel="1"/>
    <row r="79" spans="2:6" ht="14.5" hidden="1" outlineLevel="1" thickBot="1">
      <c r="B79" s="1251" t="s">
        <v>3493</v>
      </c>
    </row>
    <row r="80" spans="2:6" ht="14.5" hidden="1" outlineLevel="1">
      <c r="B80" s="4"/>
      <c r="C80" s="5" t="s">
        <v>3494</v>
      </c>
      <c r="D80" s="6" t="s">
        <v>70</v>
      </c>
    </row>
    <row r="81" spans="2:8" ht="15" hidden="1" outlineLevel="1" thickBot="1">
      <c r="B81" s="13" t="s">
        <v>3454</v>
      </c>
      <c r="C81" s="1267">
        <v>358</v>
      </c>
      <c r="D81" s="114" t="s">
        <v>3495</v>
      </c>
    </row>
    <row r="82" spans="2:8" hidden="1" outlineLevel="1"/>
    <row r="83" spans="2:8" hidden="1" outlineLevel="1">
      <c r="B83" s="3" t="s">
        <v>3496</v>
      </c>
    </row>
    <row r="84" spans="2:8" hidden="1" outlineLevel="1"/>
    <row r="85" spans="2:8" hidden="1" outlineLevel="1">
      <c r="B85" s="1251" t="s">
        <v>3497</v>
      </c>
    </row>
    <row r="86" spans="2:8" hidden="1" outlineLevel="1">
      <c r="B86" s="1251" t="s">
        <v>3498</v>
      </c>
      <c r="H86" s="87" t="s">
        <v>3499</v>
      </c>
    </row>
    <row r="87" spans="2:8" hidden="1" outlineLevel="1">
      <c r="B87" s="1251" t="s">
        <v>3500</v>
      </c>
    </row>
    <row r="88" spans="2:8" ht="14.5" hidden="1" outlineLevel="1" thickBot="1">
      <c r="B88" s="1251" t="s">
        <v>565</v>
      </c>
    </row>
    <row r="89" spans="2:8" ht="14.5" hidden="1" outlineLevel="1">
      <c r="B89" s="4"/>
      <c r="C89" s="5" t="s">
        <v>69</v>
      </c>
      <c r="D89" s="6" t="s">
        <v>70</v>
      </c>
    </row>
    <row r="90" spans="2:8" ht="14.5" hidden="1" outlineLevel="1">
      <c r="B90" s="10" t="s">
        <v>397</v>
      </c>
      <c r="C90" s="11">
        <v>45249</v>
      </c>
      <c r="D90" s="1283" t="s">
        <v>3501</v>
      </c>
    </row>
    <row r="91" spans="2:8" ht="14.5" hidden="1" outlineLevel="1">
      <c r="B91" s="10" t="s">
        <v>3502</v>
      </c>
      <c r="C91" s="11">
        <f>C90</f>
        <v>45249</v>
      </c>
      <c r="D91" s="17"/>
    </row>
    <row r="92" spans="2:8" ht="15" hidden="1" outlineLevel="1" thickBot="1">
      <c r="B92" s="13" t="s">
        <v>3503</v>
      </c>
      <c r="C92" s="14">
        <f>C90*60%</f>
        <v>27149.399999999998</v>
      </c>
      <c r="D92" s="38"/>
    </row>
    <row r="93" spans="2:8" hidden="1" outlineLevel="1"/>
    <row r="94" spans="2:8" hidden="1" outlineLevel="1">
      <c r="B94" s="3" t="s">
        <v>3504</v>
      </c>
    </row>
    <row r="95" spans="2:8" hidden="1" outlineLevel="1"/>
    <row r="96" spans="2:8" hidden="1" outlineLevel="1">
      <c r="B96" s="3" t="s">
        <v>3505</v>
      </c>
    </row>
    <row r="97" spans="2:8" ht="14.5" hidden="1" outlineLevel="1" thickBot="1"/>
    <row r="98" spans="2:8" ht="14.5" hidden="1" outlineLevel="1">
      <c r="B98" s="4"/>
      <c r="C98" s="5" t="s">
        <v>69</v>
      </c>
      <c r="D98" s="6" t="s">
        <v>70</v>
      </c>
    </row>
    <row r="99" spans="2:8" ht="14.5" hidden="1" outlineLevel="1">
      <c r="B99" s="10" t="s">
        <v>405</v>
      </c>
      <c r="C99" s="11">
        <v>56738</v>
      </c>
      <c r="D99" s="1283" t="s">
        <v>3501</v>
      </c>
    </row>
    <row r="100" spans="2:8" ht="14.5" hidden="1" outlineLevel="1">
      <c r="B100" s="10" t="s">
        <v>3506</v>
      </c>
      <c r="C100" s="115">
        <v>8.1000000000000003E-2</v>
      </c>
      <c r="D100" s="1251" t="s">
        <v>3507</v>
      </c>
    </row>
    <row r="101" spans="2:8" ht="15" hidden="1" outlineLevel="1" thickBot="1">
      <c r="B101" s="13" t="s">
        <v>3508</v>
      </c>
      <c r="C101" s="116">
        <f>C99*C100</f>
        <v>4595.7780000000002</v>
      </c>
      <c r="D101" s="38"/>
    </row>
    <row r="102" spans="2:8" hidden="1" outlineLevel="1"/>
    <row r="103" spans="2:8" hidden="1" outlineLevel="1">
      <c r="B103" s="3" t="s">
        <v>3509</v>
      </c>
    </row>
    <row r="104" spans="2:8" hidden="1" outlineLevel="1">
      <c r="B104" s="1251" t="s">
        <v>3510</v>
      </c>
    </row>
    <row r="105" spans="2:8" ht="14.5" hidden="1" outlineLevel="1" thickBot="1">
      <c r="B105" s="1251"/>
      <c r="C105" s="87"/>
    </row>
    <row r="106" spans="2:8" ht="14.5" hidden="1" outlineLevel="1">
      <c r="B106" s="117"/>
      <c r="C106" s="118" t="s">
        <v>3511</v>
      </c>
      <c r="D106" s="118" t="s">
        <v>3512</v>
      </c>
      <c r="E106" s="118" t="s">
        <v>3513</v>
      </c>
      <c r="F106" s="118" t="s">
        <v>3514</v>
      </c>
      <c r="G106" s="118" t="s">
        <v>144</v>
      </c>
      <c r="H106" s="119" t="s">
        <v>3515</v>
      </c>
    </row>
    <row r="107" spans="2:8" ht="14.5" hidden="1" outlineLevel="1">
      <c r="B107" s="120" t="s">
        <v>70</v>
      </c>
      <c r="C107" s="113" t="s">
        <v>3516</v>
      </c>
      <c r="D107" s="113"/>
      <c r="E107" s="113"/>
      <c r="F107" s="87" t="s">
        <v>3517</v>
      </c>
      <c r="G107" s="113"/>
      <c r="H107" s="87" t="s">
        <v>3518</v>
      </c>
    </row>
    <row r="108" spans="2:8" ht="14.5" hidden="1" outlineLevel="1">
      <c r="B108" s="120" t="s">
        <v>3519</v>
      </c>
      <c r="C108" s="11">
        <v>71835</v>
      </c>
      <c r="D108" s="11">
        <v>149940</v>
      </c>
      <c r="E108" s="11">
        <v>153951</v>
      </c>
      <c r="F108" s="11">
        <v>316691</v>
      </c>
      <c r="G108" s="11"/>
      <c r="H108" s="1277">
        <f>18.3*10^6</f>
        <v>18300000</v>
      </c>
    </row>
    <row r="109" spans="2:8" ht="14.5" hidden="1" outlineLevel="1">
      <c r="B109" s="120" t="s">
        <v>3508</v>
      </c>
      <c r="C109" s="11">
        <v>37</v>
      </c>
      <c r="D109" s="11">
        <v>130</v>
      </c>
      <c r="E109" s="11">
        <v>68</v>
      </c>
      <c r="F109" s="11">
        <f>144</f>
        <v>144</v>
      </c>
      <c r="G109" s="11"/>
      <c r="H109" s="122">
        <f>G110*H108/1000</f>
        <v>10424.062524839392</v>
      </c>
    </row>
    <row r="110" spans="2:8" ht="15" hidden="1" outlineLevel="1" thickBot="1">
      <c r="B110" s="121" t="s">
        <v>3520</v>
      </c>
      <c r="C110" s="18">
        <f>1000*C109/C108</f>
        <v>0.51506925593373709</v>
      </c>
      <c r="D110" s="18">
        <f>1000*D109/D108</f>
        <v>0.86701347205548884</v>
      </c>
      <c r="E110" s="18">
        <f>1000*E109/E108</f>
        <v>0.44169898214366909</v>
      </c>
      <c r="F110" s="170">
        <f>1000*F109/F108</f>
        <v>0.45470190185385756</v>
      </c>
      <c r="G110" s="170">
        <f>AVERAGE(C110:F110)</f>
        <v>0.56962090299668811</v>
      </c>
      <c r="H110" s="1334"/>
    </row>
    <row r="111" spans="2:8" hidden="1" outlineLevel="1"/>
    <row r="112" spans="2:8" hidden="1" outlineLevel="1">
      <c r="B112" s="1251" t="s">
        <v>3521</v>
      </c>
    </row>
    <row r="113" spans="2:3" hidden="1" outlineLevel="1"/>
    <row r="114" spans="2:3" hidden="1" outlineLevel="1">
      <c r="B114" s="3" t="s">
        <v>3522</v>
      </c>
    </row>
    <row r="115" spans="2:3" hidden="1" outlineLevel="1"/>
    <row r="116" spans="2:3" hidden="1" outlineLevel="1">
      <c r="B116" s="1251" t="s">
        <v>3523</v>
      </c>
    </row>
    <row r="117" spans="2:3" ht="14.5" hidden="1" outlineLevel="1" thickBot="1"/>
    <row r="118" spans="2:3" ht="14.5" hidden="1" outlineLevel="1">
      <c r="B118" s="4"/>
      <c r="C118" s="6" t="s">
        <v>3255</v>
      </c>
    </row>
    <row r="119" spans="2:3" ht="14.5" hidden="1" outlineLevel="1">
      <c r="B119" s="10" t="s">
        <v>3524</v>
      </c>
      <c r="C119" s="12">
        <v>129</v>
      </c>
    </row>
    <row r="120" spans="2:3" ht="15" hidden="1" outlineLevel="1" thickBot="1">
      <c r="B120" s="13" t="s">
        <v>3460</v>
      </c>
      <c r="C120" s="15">
        <v>96</v>
      </c>
    </row>
    <row r="121" spans="2:3" hidden="1" outlineLevel="1"/>
    <row r="122" spans="2:3" ht="18" hidden="1" outlineLevel="1">
      <c r="B122" s="106" t="s">
        <v>3525</v>
      </c>
    </row>
    <row r="123" spans="2:3" hidden="1" outlineLevel="1"/>
    <row r="124" spans="2:3" hidden="1" outlineLevel="1">
      <c r="B124" s="109" t="s">
        <v>3526</v>
      </c>
    </row>
    <row r="125" spans="2:3" hidden="1" outlineLevel="1"/>
    <row r="126" spans="2:3" hidden="1" outlineLevel="1">
      <c r="B126" s="1251" t="s">
        <v>3527</v>
      </c>
    </row>
    <row r="127" spans="2:3" hidden="1" outlineLevel="1">
      <c r="B127" s="87" t="s">
        <v>3528</v>
      </c>
    </row>
    <row r="128" spans="2:3" hidden="1" outlineLevel="1">
      <c r="B128" s="1251" t="s">
        <v>3529</v>
      </c>
    </row>
    <row r="129" spans="2:8" hidden="1" outlineLevel="1">
      <c r="B129" s="1251" t="s">
        <v>3530</v>
      </c>
    </row>
    <row r="130" spans="2:8" hidden="1" outlineLevel="1">
      <c r="B130" s="1251"/>
    </row>
    <row r="131" spans="2:8" hidden="1" outlineLevel="1">
      <c r="B131" s="1251" t="s">
        <v>3531</v>
      </c>
    </row>
    <row r="132" spans="2:8" hidden="1" outlineLevel="1">
      <c r="B132" s="1251"/>
    </row>
    <row r="133" spans="2:8" hidden="1" outlineLevel="1">
      <c r="B133" s="1251" t="s">
        <v>3532</v>
      </c>
    </row>
    <row r="134" spans="2:8" hidden="1" outlineLevel="1">
      <c r="B134" s="87" t="s">
        <v>3533</v>
      </c>
    </row>
    <row r="135" spans="2:8" hidden="1" outlineLevel="1">
      <c r="B135" s="1251"/>
    </row>
    <row r="136" spans="2:8" ht="14.5" hidden="1" outlineLevel="1" thickBot="1">
      <c r="B136" s="1251" t="s">
        <v>3445</v>
      </c>
    </row>
    <row r="137" spans="2:8" ht="14.5" hidden="1" outlineLevel="1">
      <c r="B137" s="123"/>
      <c r="C137" s="124" t="s">
        <v>3534</v>
      </c>
    </row>
    <row r="138" spans="2:8" ht="14.5" hidden="1" outlineLevel="1">
      <c r="B138" s="10" t="s">
        <v>3535</v>
      </c>
      <c r="C138" s="17">
        <v>6.1</v>
      </c>
    </row>
    <row r="139" spans="2:8" ht="14.5" hidden="1" outlineLevel="1">
      <c r="B139" s="10" t="s">
        <v>3536</v>
      </c>
      <c r="C139" s="17">
        <v>10</v>
      </c>
    </row>
    <row r="140" spans="2:8" ht="14.5" hidden="1" outlineLevel="1">
      <c r="B140" s="10" t="s">
        <v>3537</v>
      </c>
      <c r="C140" s="17">
        <v>7</v>
      </c>
      <c r="H140" s="1251"/>
    </row>
    <row r="141" spans="2:8" ht="15" hidden="1" outlineLevel="1" thickBot="1">
      <c r="B141" s="13" t="s">
        <v>3538</v>
      </c>
      <c r="C141" s="38">
        <v>10</v>
      </c>
      <c r="D141" t="s">
        <v>3539</v>
      </c>
    </row>
    <row r="142" spans="2:8" hidden="1" outlineLevel="1"/>
    <row r="143" spans="2:8" hidden="1" outlineLevel="1">
      <c r="B143" s="109" t="s">
        <v>3540</v>
      </c>
    </row>
    <row r="144" spans="2:8" ht="14.5" hidden="1" outlineLevel="1" thickBot="1"/>
    <row r="145" spans="2:13" ht="15" hidden="1" outlineLevel="1" thickBot="1">
      <c r="B145" s="1251" t="s">
        <v>3541</v>
      </c>
      <c r="L145" s="117"/>
      <c r="M145" s="119" t="s">
        <v>3255</v>
      </c>
    </row>
    <row r="146" spans="2:13" ht="29" hidden="1" outlineLevel="1">
      <c r="B146" s="123"/>
      <c r="C146" s="105" t="s">
        <v>3542</v>
      </c>
      <c r="D146" s="6" t="s">
        <v>3543</v>
      </c>
      <c r="L146" s="120" t="s">
        <v>3449</v>
      </c>
      <c r="M146" s="12">
        <f>C147</f>
        <v>1434</v>
      </c>
    </row>
    <row r="147" spans="2:13" ht="14.5" hidden="1" outlineLevel="1">
      <c r="B147" s="10" t="s">
        <v>3449</v>
      </c>
      <c r="C147" s="11">
        <f>C57</f>
        <v>1434</v>
      </c>
      <c r="D147" s="12">
        <f>C147/C138</f>
        <v>235.08196721311478</v>
      </c>
      <c r="L147" s="120" t="s">
        <v>3450</v>
      </c>
      <c r="M147" s="12">
        <f>C148</f>
        <v>1313</v>
      </c>
    </row>
    <row r="148" spans="2:13" ht="14.5" hidden="1" outlineLevel="1">
      <c r="B148" s="10" t="s">
        <v>3450</v>
      </c>
      <c r="C148" s="11">
        <f>C58</f>
        <v>1313</v>
      </c>
      <c r="D148" s="12">
        <f>C148/C138</f>
        <v>215.24590163934428</v>
      </c>
      <c r="L148" s="120" t="s">
        <v>3467</v>
      </c>
      <c r="M148" s="12">
        <f>C149+C150</f>
        <v>714</v>
      </c>
    </row>
    <row r="149" spans="2:13" ht="14.5" hidden="1" outlineLevel="1">
      <c r="B149" s="10" t="s">
        <v>3451</v>
      </c>
      <c r="C149" s="11">
        <f>C59</f>
        <v>481</v>
      </c>
      <c r="D149" s="12">
        <f>C149/C138</f>
        <v>78.852459016393453</v>
      </c>
      <c r="L149" s="120" t="s">
        <v>3463</v>
      </c>
      <c r="M149" s="12">
        <f>C151+C152</f>
        <v>10386.746016869729</v>
      </c>
    </row>
    <row r="150" spans="2:13" ht="14.5" hidden="1" outlineLevel="1">
      <c r="B150" s="10" t="s">
        <v>3452</v>
      </c>
      <c r="C150" s="11">
        <f>C60</f>
        <v>233</v>
      </c>
      <c r="D150" s="12">
        <f>C150/C138</f>
        <v>38.196721311475414</v>
      </c>
      <c r="L150" s="120" t="s">
        <v>3464</v>
      </c>
      <c r="M150" s="12">
        <f>C154+C153</f>
        <v>72398.399999999994</v>
      </c>
    </row>
    <row r="151" spans="2:13" ht="14.5" hidden="1" outlineLevel="1">
      <c r="B151" s="10" t="s">
        <v>3453</v>
      </c>
      <c r="C151" s="11">
        <f>(E70+E71+C77)</f>
        <v>10028.746016869729</v>
      </c>
      <c r="D151" s="12">
        <f>C151/C139</f>
        <v>1002.8746016869729</v>
      </c>
      <c r="L151" s="120" t="s">
        <v>3458</v>
      </c>
      <c r="M151" s="12">
        <f>C156</f>
        <v>10424.062524839392</v>
      </c>
    </row>
    <row r="152" spans="2:13" ht="15" hidden="1" outlineLevel="1" thickBot="1">
      <c r="B152" s="10" t="s">
        <v>3454</v>
      </c>
      <c r="C152" s="11">
        <f>C81</f>
        <v>358</v>
      </c>
      <c r="D152" s="12">
        <f>C152/C139</f>
        <v>35.799999999999997</v>
      </c>
      <c r="L152" s="121" t="s">
        <v>3465</v>
      </c>
      <c r="M152" s="15">
        <f>C157+C158</f>
        <v>225</v>
      </c>
    </row>
    <row r="153" spans="2:13" ht="14.5" hidden="1" outlineLevel="1">
      <c r="B153" s="10" t="s">
        <v>3455</v>
      </c>
      <c r="C153" s="11">
        <f>C91</f>
        <v>45249</v>
      </c>
      <c r="D153" s="12">
        <f>C153/C139</f>
        <v>4524.8999999999996</v>
      </c>
    </row>
    <row r="154" spans="2:13" ht="14.5" hidden="1" outlineLevel="1">
      <c r="B154" s="10" t="s">
        <v>3456</v>
      </c>
      <c r="C154" s="11">
        <f>C92</f>
        <v>27149.399999999998</v>
      </c>
      <c r="D154" s="12">
        <f>C154/C139</f>
        <v>2714.9399999999996</v>
      </c>
    </row>
    <row r="155" spans="2:13" ht="14.5" hidden="1" outlineLevel="1">
      <c r="B155" s="10" t="s">
        <v>3457</v>
      </c>
      <c r="C155" s="11">
        <f>C101</f>
        <v>4595.7780000000002</v>
      </c>
      <c r="D155" s="12">
        <f>C155/C140</f>
        <v>656.53971428571435</v>
      </c>
    </row>
    <row r="156" spans="2:13" ht="14.5" hidden="1" outlineLevel="1">
      <c r="B156" s="10" t="s">
        <v>3458</v>
      </c>
      <c r="C156" s="1307">
        <f>H109</f>
        <v>10424.062524839392</v>
      </c>
      <c r="D156" s="12">
        <v>3520</v>
      </c>
      <c r="E156" t="s">
        <v>3544</v>
      </c>
    </row>
    <row r="157" spans="2:13" ht="14.5" hidden="1" outlineLevel="1">
      <c r="B157" s="10" t="s">
        <v>3459</v>
      </c>
      <c r="C157" s="11">
        <f>C119</f>
        <v>129</v>
      </c>
      <c r="D157" s="12">
        <f>C157/C141</f>
        <v>12.9</v>
      </c>
    </row>
    <row r="158" spans="2:13" ht="15" hidden="1" outlineLevel="1" thickBot="1">
      <c r="B158" s="13" t="s">
        <v>3460</v>
      </c>
      <c r="C158" s="14">
        <f>C120</f>
        <v>96</v>
      </c>
      <c r="D158" s="15">
        <f>C158/C141</f>
        <v>9.6</v>
      </c>
    </row>
    <row r="159" spans="2:13" hidden="1" outlineLevel="1"/>
    <row r="160" spans="2:13" collapsed="1"/>
    <row r="161" spans="2:15" ht="23.5">
      <c r="B161" s="2" t="s">
        <v>406</v>
      </c>
      <c r="O161" s="1"/>
    </row>
    <row r="163" spans="2:15">
      <c r="B163" s="1251" t="s">
        <v>4938</v>
      </c>
    </row>
    <row r="165" spans="2:15" ht="20">
      <c r="B165" s="216" t="s">
        <v>3546</v>
      </c>
    </row>
    <row r="167" spans="2:15" hidden="1" outlineLevel="1">
      <c r="B167" s="1251" t="s">
        <v>3547</v>
      </c>
    </row>
    <row r="168" spans="2:15" ht="14.5" hidden="1" outlineLevel="1" thickBot="1"/>
    <row r="169" spans="2:15" ht="58" hidden="1" outlineLevel="1">
      <c r="B169" s="4" t="s">
        <v>684</v>
      </c>
      <c r="C169" s="138" t="s">
        <v>3548</v>
      </c>
      <c r="D169" s="118" t="s">
        <v>3079</v>
      </c>
      <c r="E169" s="138" t="s">
        <v>2570</v>
      </c>
      <c r="F169" s="138" t="s">
        <v>3549</v>
      </c>
      <c r="G169" s="138" t="s">
        <v>3550</v>
      </c>
      <c r="H169" s="138" t="s">
        <v>3551</v>
      </c>
      <c r="I169" s="138" t="s">
        <v>3552</v>
      </c>
      <c r="J169" s="138" t="s">
        <v>3553</v>
      </c>
      <c r="K169" s="138" t="s">
        <v>982</v>
      </c>
      <c r="L169" s="138" t="s">
        <v>3554</v>
      </c>
      <c r="M169" s="138" t="s">
        <v>3555</v>
      </c>
      <c r="N169" s="139" t="s">
        <v>3556</v>
      </c>
    </row>
    <row r="170" spans="2:15" ht="14.5" hidden="1" outlineLevel="1">
      <c r="B170" s="10" t="s">
        <v>3557</v>
      </c>
      <c r="C170" s="150" t="s">
        <v>3558</v>
      </c>
      <c r="D170" s="153" t="s">
        <v>3559</v>
      </c>
      <c r="E170" s="36">
        <v>2420</v>
      </c>
      <c r="F170" s="151">
        <v>0.63300000000000001</v>
      </c>
      <c r="G170" s="151">
        <v>0.215</v>
      </c>
      <c r="H170" s="151">
        <v>1.1E-4</v>
      </c>
      <c r="I170" s="151">
        <v>8.9999999999999993E-3</v>
      </c>
      <c r="J170" s="582">
        <v>0.01</v>
      </c>
      <c r="K170" s="582">
        <v>0.115</v>
      </c>
      <c r="L170" s="582">
        <v>4.0000000000000001E-3</v>
      </c>
      <c r="M170" s="582">
        <v>1.3999999999999999E-2</v>
      </c>
      <c r="N170" s="583"/>
      <c r="O170" s="581"/>
    </row>
    <row r="171" spans="2:15" ht="14.5" hidden="1" outlineLevel="1">
      <c r="B171" s="10" t="s">
        <v>3560</v>
      </c>
      <c r="C171" s="1321" t="s">
        <v>3558</v>
      </c>
      <c r="D171" s="153" t="s">
        <v>3561</v>
      </c>
      <c r="E171" s="36">
        <v>1700</v>
      </c>
      <c r="F171" s="151">
        <v>0.55900000000000005</v>
      </c>
      <c r="G171" s="151">
        <v>0.26700000000000002</v>
      </c>
      <c r="H171" s="151">
        <v>1.8000000000000001E-4</v>
      </c>
      <c r="I171" s="151">
        <v>1.4999999999999999E-2</v>
      </c>
      <c r="J171" s="582">
        <v>1.2E-2</v>
      </c>
      <c r="K171" s="582">
        <v>0.13200000000000001</v>
      </c>
      <c r="L171" s="582">
        <v>2E-3</v>
      </c>
      <c r="M171" s="582">
        <v>1.2E-2</v>
      </c>
      <c r="N171" s="583"/>
      <c r="O171" s="581"/>
    </row>
    <row r="172" spans="2:15" ht="14.5" hidden="1" outlineLevel="1">
      <c r="B172" s="10" t="s">
        <v>3562</v>
      </c>
      <c r="C172" s="1321" t="s">
        <v>3558</v>
      </c>
      <c r="D172" s="153" t="s">
        <v>3563</v>
      </c>
      <c r="E172" s="36">
        <v>2250</v>
      </c>
      <c r="F172" s="151">
        <v>0.54500000000000004</v>
      </c>
      <c r="G172" s="151">
        <v>0.27600000000000002</v>
      </c>
      <c r="H172" s="151">
        <v>1.3999999999999999E-4</v>
      </c>
      <c r="I172" s="151">
        <v>0.01</v>
      </c>
      <c r="J172" s="582">
        <v>0.01</v>
      </c>
      <c r="K172" s="582">
        <v>0.14000000000000001</v>
      </c>
      <c r="L172" s="582">
        <v>7.0000000000000001E-3</v>
      </c>
      <c r="M172" s="582">
        <v>1.2E-2</v>
      </c>
      <c r="N172" s="583"/>
      <c r="O172" s="581"/>
    </row>
    <row r="173" spans="2:15" ht="14.5" hidden="1" outlineLevel="1">
      <c r="B173" s="10" t="s">
        <v>3564</v>
      </c>
      <c r="C173" s="1321" t="s">
        <v>3558</v>
      </c>
      <c r="D173" s="153" t="s">
        <v>3565</v>
      </c>
      <c r="E173" s="36">
        <v>4750</v>
      </c>
      <c r="F173" s="1439">
        <v>0.59</v>
      </c>
      <c r="G173" s="1439">
        <v>0.28000000000000003</v>
      </c>
      <c r="H173" s="1439">
        <v>6.7000000000000002E-5</v>
      </c>
      <c r="I173" s="1439">
        <v>1.0999999999999999E-2</v>
      </c>
      <c r="J173" s="229">
        <v>3.2000000000000001E-2</v>
      </c>
      <c r="K173" s="229">
        <v>7.4999999999999997E-2</v>
      </c>
      <c r="L173" s="229">
        <v>5.9999999999999995E-4</v>
      </c>
      <c r="M173" s="229">
        <v>7.4000000000000003E-3</v>
      </c>
      <c r="N173" s="311">
        <v>6.6E-3</v>
      </c>
      <c r="O173" s="581"/>
    </row>
    <row r="174" spans="2:15" ht="14.5" hidden="1" outlineLevel="1">
      <c r="B174" s="10" t="s">
        <v>3566</v>
      </c>
      <c r="C174" s="1321" t="s">
        <v>3558</v>
      </c>
      <c r="D174" s="153" t="s">
        <v>3567</v>
      </c>
      <c r="E174" s="36">
        <v>4750</v>
      </c>
      <c r="F174" s="151">
        <v>0.65</v>
      </c>
      <c r="G174" s="151">
        <v>0.2</v>
      </c>
      <c r="H174" s="151">
        <v>2.9999999999999997E-4</v>
      </c>
      <c r="I174" s="151">
        <v>3.3E-3</v>
      </c>
      <c r="J174" s="229">
        <v>1.8499999999999999E-2</v>
      </c>
      <c r="K174" s="229">
        <v>9.1899999999999996E-2</v>
      </c>
      <c r="L174" s="229">
        <v>9.9000000000000008E-3</v>
      </c>
      <c r="M174" s="229">
        <v>1.6E-2</v>
      </c>
      <c r="N174" s="583">
        <v>6.4999999999999997E-3</v>
      </c>
      <c r="O174" s="581"/>
    </row>
    <row r="175" spans="2:15" ht="14.5" hidden="1" outlineLevel="1">
      <c r="B175" s="10" t="s">
        <v>3568</v>
      </c>
      <c r="C175" s="1321" t="s">
        <v>3558</v>
      </c>
      <c r="D175" s="153" t="s">
        <v>3569</v>
      </c>
      <c r="E175" s="36">
        <v>2870</v>
      </c>
      <c r="F175" s="151">
        <v>0.48399999999999999</v>
      </c>
      <c r="G175" s="151">
        <v>0.36899999999999999</v>
      </c>
      <c r="H175" s="151">
        <v>1.9000000000000001E-4</v>
      </c>
      <c r="I175" s="151">
        <v>1.7000000000000001E-2</v>
      </c>
      <c r="J175" s="229">
        <v>1.4999999999999999E-2</v>
      </c>
      <c r="K175" s="229">
        <v>9.7000000000000003E-2</v>
      </c>
      <c r="L175" s="229">
        <v>7.0000000000000001E-3</v>
      </c>
      <c r="M175" s="229">
        <v>1.0999999999999999E-2</v>
      </c>
      <c r="N175" s="17"/>
      <c r="O175" s="581"/>
    </row>
    <row r="176" spans="2:15" ht="14.5" hidden="1" outlineLevel="1">
      <c r="B176" s="10" t="s">
        <v>3570</v>
      </c>
      <c r="C176" s="36" t="s">
        <v>3571</v>
      </c>
      <c r="D176" s="153" t="s">
        <v>3572</v>
      </c>
      <c r="E176" s="36">
        <v>12900</v>
      </c>
      <c r="F176" s="151">
        <v>0.33</v>
      </c>
      <c r="G176" s="151">
        <v>0.44</v>
      </c>
      <c r="H176" s="151">
        <v>4.8999999999999998E-5</v>
      </c>
      <c r="I176" s="151">
        <v>9.5E-4</v>
      </c>
      <c r="J176" s="229">
        <v>9.7000000000000003E-2</v>
      </c>
      <c r="K176" s="229">
        <v>8.8999999999999996E-2</v>
      </c>
      <c r="L176" s="229">
        <v>1.7999999999999999E-2</v>
      </c>
      <c r="M176" s="229"/>
      <c r="N176" s="583">
        <v>2.1000000000000001E-2</v>
      </c>
      <c r="O176" s="581"/>
    </row>
    <row r="177" spans="2:15" ht="14.5" hidden="1" outlineLevel="1">
      <c r="B177" s="10" t="s">
        <v>3573</v>
      </c>
      <c r="C177" s="1321" t="s">
        <v>3450</v>
      </c>
      <c r="D177" s="153" t="s">
        <v>3574</v>
      </c>
      <c r="E177" s="36">
        <v>14200</v>
      </c>
      <c r="F177" s="151">
        <v>0.30399999999999999</v>
      </c>
      <c r="G177" s="151">
        <v>0.55200000000000005</v>
      </c>
      <c r="H177" s="151">
        <v>2.0000000000000002E-5</v>
      </c>
      <c r="I177" s="151"/>
      <c r="J177" s="229">
        <v>0.04</v>
      </c>
      <c r="K177" s="229">
        <v>8.6999999999999994E-2</v>
      </c>
      <c r="L177" s="229">
        <v>1.6E-2</v>
      </c>
      <c r="M177" s="229">
        <v>1E-3</v>
      </c>
      <c r="N177" s="17"/>
      <c r="O177" s="581"/>
    </row>
    <row r="178" spans="2:15" ht="14.5" hidden="1" outlineLevel="1">
      <c r="B178" s="10" t="s">
        <v>3575</v>
      </c>
      <c r="C178" s="1321" t="s">
        <v>3450</v>
      </c>
      <c r="D178" s="153" t="s">
        <v>3576</v>
      </c>
      <c r="E178" s="36">
        <v>6500</v>
      </c>
      <c r="F178" s="151">
        <v>0.54</v>
      </c>
      <c r="G178" s="151">
        <v>0.28000000000000003</v>
      </c>
      <c r="H178" s="151">
        <v>2.0999999999999999E-5</v>
      </c>
      <c r="I178" s="151">
        <v>1.0999999999999999E-2</v>
      </c>
      <c r="J178" s="229">
        <v>3.5000000000000003E-2</v>
      </c>
      <c r="K178" s="229">
        <v>0.13</v>
      </c>
      <c r="L178" s="229">
        <v>6.4000000000000003E-3</v>
      </c>
      <c r="M178" s="229">
        <v>1.2999999999999999E-3</v>
      </c>
      <c r="N178" s="584">
        <v>3.8999999999999998E-3</v>
      </c>
      <c r="O178" s="581"/>
    </row>
    <row r="179" spans="2:15" ht="14.5" hidden="1" outlineLevel="1">
      <c r="B179" s="10" t="s">
        <v>3577</v>
      </c>
      <c r="C179" s="1321" t="s">
        <v>3450</v>
      </c>
      <c r="D179" s="153" t="s">
        <v>3578</v>
      </c>
      <c r="E179" s="1321">
        <v>2078</v>
      </c>
      <c r="F179" s="151">
        <v>0.42599999999999999</v>
      </c>
      <c r="G179" s="151">
        <v>0.24399999999999999</v>
      </c>
      <c r="H179" s="151">
        <v>4.0000000000000003E-5</v>
      </c>
      <c r="I179" s="151">
        <v>1E-3</v>
      </c>
      <c r="J179" s="229">
        <v>0.01</v>
      </c>
      <c r="K179" s="229">
        <v>0.313</v>
      </c>
      <c r="L179" s="229"/>
      <c r="M179" s="229">
        <v>6.0000000000000001E-3</v>
      </c>
      <c r="N179" s="17"/>
      <c r="O179" s="581"/>
    </row>
    <row r="180" spans="2:15" ht="14.5" hidden="1" outlineLevel="1">
      <c r="B180" s="10" t="s">
        <v>3579</v>
      </c>
      <c r="C180" s="1321" t="s">
        <v>3580</v>
      </c>
      <c r="D180" s="153" t="s">
        <v>3581</v>
      </c>
      <c r="E180" s="36">
        <v>62</v>
      </c>
      <c r="F180" s="151">
        <v>0.34899999999999998</v>
      </c>
      <c r="G180" s="151">
        <v>0.215</v>
      </c>
      <c r="H180" s="151">
        <v>2.7E-4</v>
      </c>
      <c r="I180" s="151">
        <v>8.0000000000000002E-3</v>
      </c>
      <c r="J180" s="229">
        <v>5.8999999999999997E-2</v>
      </c>
      <c r="K180" s="229">
        <v>0.36799999999999999</v>
      </c>
      <c r="L180" s="229"/>
      <c r="M180" s="229">
        <v>1E-3</v>
      </c>
      <c r="N180" s="320">
        <v>0</v>
      </c>
      <c r="O180" s="581"/>
    </row>
    <row r="181" spans="2:15" ht="14.5" hidden="1" outlineLevel="1">
      <c r="B181" s="10" t="s">
        <v>3582</v>
      </c>
      <c r="C181" s="1321" t="s">
        <v>3580</v>
      </c>
      <c r="D181" s="153" t="s">
        <v>3583</v>
      </c>
      <c r="E181" s="36">
        <v>75</v>
      </c>
      <c r="F181" s="151">
        <v>0.44</v>
      </c>
      <c r="G181" s="151">
        <v>0.32</v>
      </c>
      <c r="H181" s="151"/>
      <c r="I181" s="151"/>
      <c r="J181" s="229">
        <v>0.05</v>
      </c>
      <c r="K181" s="229">
        <v>0.18</v>
      </c>
      <c r="L181" s="229"/>
      <c r="M181" s="229"/>
      <c r="N181" s="17"/>
      <c r="O181" s="581"/>
    </row>
    <row r="182" spans="2:15" ht="14.5" hidden="1" outlineLevel="1">
      <c r="B182" s="10" t="s">
        <v>3584</v>
      </c>
      <c r="C182" s="1321" t="s">
        <v>3580</v>
      </c>
      <c r="D182" s="153" t="s">
        <v>3585</v>
      </c>
      <c r="E182" s="36">
        <v>76</v>
      </c>
      <c r="F182" s="151">
        <v>0.27</v>
      </c>
      <c r="G182" s="151">
        <v>0.39</v>
      </c>
      <c r="H182" s="151"/>
      <c r="I182" s="151"/>
      <c r="J182" s="229">
        <v>0.06</v>
      </c>
      <c r="K182" s="229">
        <v>0.25</v>
      </c>
      <c r="L182" s="229">
        <v>0.02</v>
      </c>
      <c r="M182" s="229"/>
      <c r="N182" s="17"/>
      <c r="O182" s="581"/>
    </row>
    <row r="183" spans="2:15" ht="14.5" hidden="1" outlineLevel="1">
      <c r="B183" s="10" t="s">
        <v>3586</v>
      </c>
      <c r="C183" s="1321" t="s">
        <v>3587</v>
      </c>
      <c r="D183" s="153" t="s">
        <v>3588</v>
      </c>
      <c r="E183" s="36">
        <v>2192</v>
      </c>
      <c r="F183" s="151">
        <v>0.63800000000000001</v>
      </c>
      <c r="G183" s="151">
        <v>0.19620000000000001</v>
      </c>
      <c r="H183" s="151">
        <v>1.0000000000000001E-5</v>
      </c>
      <c r="I183" s="151">
        <v>2.4499999999999999E-3</v>
      </c>
      <c r="J183" s="229">
        <v>1.102E-2</v>
      </c>
      <c r="K183" s="229">
        <v>4.8899999999999999E-2</v>
      </c>
      <c r="L183" s="229">
        <v>2.46E-2</v>
      </c>
      <c r="M183" s="229">
        <v>1.4319999999999999E-2</v>
      </c>
      <c r="N183" s="584">
        <f>0.38%+6.07%</f>
        <v>6.4500000000000002E-2</v>
      </c>
      <c r="O183" s="581"/>
    </row>
    <row r="184" spans="2:15" ht="28.5" hidden="1" outlineLevel="1">
      <c r="B184" s="10" t="s">
        <v>3589</v>
      </c>
      <c r="C184" s="36" t="s">
        <v>3590</v>
      </c>
      <c r="D184" s="153" t="s">
        <v>3591</v>
      </c>
      <c r="E184" s="36">
        <v>396</v>
      </c>
      <c r="F184" s="151">
        <v>0.44</v>
      </c>
      <c r="G184" s="151">
        <v>7.0999999999999994E-2</v>
      </c>
      <c r="H184" s="151"/>
      <c r="I184" s="151">
        <v>1.8000000000000001E-4</v>
      </c>
      <c r="J184" s="229">
        <v>1.2E-2</v>
      </c>
      <c r="K184" s="229">
        <v>0.14599999999999999</v>
      </c>
      <c r="L184" s="229">
        <v>1.0000000000000001E-5</v>
      </c>
      <c r="M184" s="229">
        <v>0.02</v>
      </c>
      <c r="N184" s="584">
        <v>0.31</v>
      </c>
      <c r="O184" s="581"/>
    </row>
    <row r="185" spans="2:15" ht="43" hidden="1" outlineLevel="1" thickBot="1">
      <c r="B185" s="13" t="s">
        <v>3592</v>
      </c>
      <c r="C185" s="31" t="s">
        <v>3593</v>
      </c>
      <c r="D185" s="154" t="s">
        <v>3594</v>
      </c>
      <c r="E185" s="31">
        <v>5779</v>
      </c>
      <c r="F185" s="152">
        <v>0.64149999999999996</v>
      </c>
      <c r="G185" s="152">
        <v>0.15939999999999999</v>
      </c>
      <c r="H185" s="152">
        <v>0</v>
      </c>
      <c r="I185" s="152">
        <v>4.3E-3</v>
      </c>
      <c r="J185" s="376">
        <v>1.09E-2</v>
      </c>
      <c r="K185" s="376">
        <v>6.93E-2</v>
      </c>
      <c r="L185" s="376">
        <v>4.0000000000000002E-4</v>
      </c>
      <c r="M185" s="376">
        <v>2.7000000000000001E-3</v>
      </c>
      <c r="N185" s="585">
        <v>0.11119999999999999</v>
      </c>
      <c r="O185" s="581"/>
    </row>
    <row r="186" spans="2:15" hidden="1" outlineLevel="1"/>
    <row r="187" spans="2:15" ht="14.5" hidden="1" outlineLevel="1" thickBot="1">
      <c r="B187" s="1251" t="s">
        <v>3595</v>
      </c>
    </row>
    <row r="188" spans="2:15" ht="14.5" hidden="1" outlineLevel="1">
      <c r="B188" s="1635" t="s">
        <v>898</v>
      </c>
      <c r="C188" s="1647" t="s">
        <v>3596</v>
      </c>
      <c r="D188" s="1594" t="s">
        <v>3597</v>
      </c>
      <c r="E188" s="1594"/>
      <c r="F188" s="1594"/>
      <c r="G188" s="1645" t="s">
        <v>3598</v>
      </c>
      <c r="H188" s="1645" t="s">
        <v>3599</v>
      </c>
      <c r="I188" s="1645" t="s">
        <v>3600</v>
      </c>
      <c r="J188" s="1633" t="s">
        <v>70</v>
      </c>
    </row>
    <row r="189" spans="2:15" ht="29" hidden="1" outlineLevel="1">
      <c r="B189" s="1636"/>
      <c r="C189" s="1648"/>
      <c r="D189" s="125" t="s">
        <v>132</v>
      </c>
      <c r="E189" s="125" t="s">
        <v>3601</v>
      </c>
      <c r="F189" s="8" t="s">
        <v>133</v>
      </c>
      <c r="G189" s="1646"/>
      <c r="H189" s="1646"/>
      <c r="I189" s="1646"/>
      <c r="J189" s="1634"/>
    </row>
    <row r="190" spans="2:15" ht="14.5" hidden="1" outlineLevel="1">
      <c r="B190" s="10" t="s">
        <v>3450</v>
      </c>
      <c r="C190" s="21">
        <v>3600</v>
      </c>
      <c r="D190" s="1644">
        <v>2600</v>
      </c>
      <c r="E190" s="1644"/>
      <c r="F190" s="1644"/>
      <c r="G190" s="21">
        <v>1800</v>
      </c>
      <c r="H190" s="11">
        <f>SUM(C190:G190)</f>
        <v>8000</v>
      </c>
      <c r="I190" s="21">
        <v>1700</v>
      </c>
      <c r="J190" s="126" t="s">
        <v>3602</v>
      </c>
    </row>
    <row r="191" spans="2:15" ht="14.5" hidden="1" outlineLevel="1">
      <c r="B191" s="10" t="s">
        <v>3603</v>
      </c>
      <c r="C191" s="21">
        <v>5000</v>
      </c>
      <c r="D191" s="102">
        <v>5000</v>
      </c>
      <c r="E191" s="102"/>
      <c r="F191" s="102"/>
      <c r="G191" s="21"/>
      <c r="H191" s="11">
        <f>SUM(C191:G191)</f>
        <v>10000</v>
      </c>
      <c r="I191" s="21"/>
      <c r="J191" s="1283" t="s">
        <v>3604</v>
      </c>
    </row>
    <row r="192" spans="2:15" ht="14.5" hidden="1" outlineLevel="1">
      <c r="B192" s="10" t="s">
        <v>3458</v>
      </c>
      <c r="C192" s="21">
        <v>60</v>
      </c>
      <c r="D192" s="1644">
        <v>50</v>
      </c>
      <c r="E192" s="1644"/>
      <c r="F192" s="1644"/>
      <c r="G192" s="21">
        <v>30</v>
      </c>
      <c r="H192" s="11">
        <f>SUM(C192:G192)</f>
        <v>140</v>
      </c>
      <c r="I192" s="21"/>
      <c r="J192" s="126" t="s">
        <v>3605</v>
      </c>
    </row>
    <row r="193" spans="2:19" ht="14.5" hidden="1" outlineLevel="1">
      <c r="B193" s="10" t="s">
        <v>3606</v>
      </c>
      <c r="C193" s="21">
        <v>4100</v>
      </c>
      <c r="D193" s="1644">
        <v>3200</v>
      </c>
      <c r="E193" s="1644"/>
      <c r="F193" s="1644"/>
      <c r="G193" s="21">
        <v>1900</v>
      </c>
      <c r="H193" s="11">
        <f>SUM(C193:G193)</f>
        <v>9200</v>
      </c>
      <c r="I193" s="21"/>
      <c r="J193" s="126" t="s">
        <v>3607</v>
      </c>
    </row>
    <row r="194" spans="2:19" ht="15" hidden="1" outlineLevel="1" thickBot="1">
      <c r="B194" s="111" t="s">
        <v>3608</v>
      </c>
      <c r="C194" s="22">
        <v>1.5</v>
      </c>
      <c r="D194" s="22">
        <f>3</f>
        <v>3</v>
      </c>
      <c r="E194" s="22">
        <f>3</f>
        <v>3</v>
      </c>
      <c r="F194" s="127">
        <v>1.1476</v>
      </c>
      <c r="G194" s="127">
        <v>2.1</v>
      </c>
      <c r="H194" s="14">
        <f>SUM(C194:G194)</f>
        <v>10.7476</v>
      </c>
      <c r="I194" s="22"/>
      <c r="J194" s="128" t="s">
        <v>3609</v>
      </c>
    </row>
    <row r="195" spans="2:19" hidden="1" outlineLevel="1">
      <c r="H195" s="1251"/>
    </row>
    <row r="196" spans="2:19" ht="14.5" hidden="1" outlineLevel="1" thickBot="1">
      <c r="B196" s="1251" t="s">
        <v>3610</v>
      </c>
    </row>
    <row r="197" spans="2:19" ht="14.5" hidden="1" outlineLevel="1">
      <c r="B197" s="123"/>
      <c r="C197" s="105" t="s">
        <v>3611</v>
      </c>
      <c r="D197" s="124" t="s">
        <v>70</v>
      </c>
    </row>
    <row r="198" spans="2:19" ht="14.5" hidden="1" outlineLevel="1">
      <c r="B198" s="10" t="s">
        <v>3612</v>
      </c>
      <c r="C198" s="21">
        <v>1500</v>
      </c>
      <c r="D198" s="17" t="s">
        <v>3613</v>
      </c>
    </row>
    <row r="199" spans="2:19" ht="14.5" hidden="1" outlineLevel="1">
      <c r="B199" s="10" t="s">
        <v>3614</v>
      </c>
      <c r="C199" s="1266">
        <f>AVERAGE(110,135)</f>
        <v>122.5</v>
      </c>
      <c r="D199" s="100" t="s">
        <v>3615</v>
      </c>
      <c r="E199" s="87" t="s">
        <v>3616</v>
      </c>
    </row>
    <row r="200" spans="2:19" ht="15" hidden="1" outlineLevel="1" thickBot="1">
      <c r="B200" s="13" t="s">
        <v>3617</v>
      </c>
      <c r="C200" s="22">
        <v>7</v>
      </c>
      <c r="D200" s="38" t="s">
        <v>3618</v>
      </c>
    </row>
    <row r="201" spans="2:19" hidden="1" outlineLevel="1"/>
    <row r="202" spans="2:19" ht="14.5" hidden="1" outlineLevel="1" thickBot="1">
      <c r="O202" s="23"/>
      <c r="P202" s="23"/>
      <c r="Q202" s="23"/>
      <c r="R202" s="23"/>
      <c r="S202" s="23"/>
    </row>
    <row r="203" spans="2:19" ht="15" hidden="1" customHeight="1" outlineLevel="1">
      <c r="B203" s="1635"/>
      <c r="C203" s="1633" t="s">
        <v>3611</v>
      </c>
    </row>
    <row r="204" spans="2:19" hidden="1" outlineLevel="1">
      <c r="B204" s="1636"/>
      <c r="C204" s="1634"/>
    </row>
    <row r="205" spans="2:19" ht="14.5" hidden="1" outlineLevel="1">
      <c r="B205" s="10" t="s">
        <v>3449</v>
      </c>
      <c r="C205" s="12">
        <f>AVERAGE(E170:E175)</f>
        <v>3123.3333333333335</v>
      </c>
    </row>
    <row r="206" spans="2:19" ht="14.5" hidden="1" outlineLevel="1">
      <c r="B206" s="10" t="s">
        <v>3619</v>
      </c>
      <c r="C206" s="12">
        <f>AVERAGE(E176:E179)</f>
        <v>8919.5</v>
      </c>
    </row>
    <row r="207" spans="2:19" ht="14.5" hidden="1" outlineLevel="1">
      <c r="B207" s="10" t="s">
        <v>3451</v>
      </c>
      <c r="C207" s="12">
        <f>AVERAGE(E185,H193)</f>
        <v>7489.5</v>
      </c>
    </row>
    <row r="208" spans="2:19" ht="14.5" hidden="1" outlineLevel="1">
      <c r="B208" s="10" t="s">
        <v>3452</v>
      </c>
      <c r="C208" s="12">
        <f>AVERAGE(E185,H193)</f>
        <v>7489.5</v>
      </c>
    </row>
    <row r="209" spans="2:4" ht="14.5" hidden="1" outlineLevel="1">
      <c r="B209" s="10" t="s">
        <v>3453</v>
      </c>
      <c r="C209" s="12">
        <f>C198</f>
        <v>1500</v>
      </c>
    </row>
    <row r="210" spans="2:4" ht="14.5" hidden="1" outlineLevel="1">
      <c r="B210" s="10" t="s">
        <v>3454</v>
      </c>
      <c r="C210" s="12">
        <f>C198</f>
        <v>1500</v>
      </c>
    </row>
    <row r="211" spans="2:4" ht="14.5" hidden="1" outlineLevel="1">
      <c r="B211" s="10" t="s">
        <v>3455</v>
      </c>
      <c r="C211" s="12">
        <f>H194</f>
        <v>10.7476</v>
      </c>
    </row>
    <row r="212" spans="2:4" ht="14.5" hidden="1" outlineLevel="1">
      <c r="B212" s="10" t="s">
        <v>3456</v>
      </c>
      <c r="C212" s="12">
        <f>C199</f>
        <v>122.5</v>
      </c>
    </row>
    <row r="213" spans="2:4" ht="14.5" hidden="1" outlineLevel="1">
      <c r="B213" s="10" t="s">
        <v>3457</v>
      </c>
      <c r="C213" s="12">
        <f>C200</f>
        <v>7</v>
      </c>
    </row>
    <row r="214" spans="2:4" ht="14.5" hidden="1" outlineLevel="1">
      <c r="B214" s="10" t="s">
        <v>3458</v>
      </c>
      <c r="C214" s="12">
        <f>AVERAGE(E180:E182,H192)</f>
        <v>88.25</v>
      </c>
    </row>
    <row r="215" spans="2:4" ht="14.5" hidden="1" outlineLevel="1">
      <c r="B215" s="10" t="s">
        <v>3459</v>
      </c>
      <c r="C215" s="12">
        <f>E183</f>
        <v>2192</v>
      </c>
    </row>
    <row r="216" spans="2:4" ht="15" hidden="1" outlineLevel="1" thickBot="1">
      <c r="B216" s="13" t="s">
        <v>3460</v>
      </c>
      <c r="C216" s="15">
        <f>E183</f>
        <v>2192</v>
      </c>
    </row>
    <row r="217" spans="2:4" hidden="1" outlineLevel="1"/>
    <row r="218" spans="2:4" ht="14.5" hidden="1" outlineLevel="1" thickBot="1">
      <c r="B218" s="1251" t="s">
        <v>3620</v>
      </c>
    </row>
    <row r="219" spans="2:4" ht="14.5" hidden="1" outlineLevel="1">
      <c r="B219" s="182" t="s">
        <v>4962</v>
      </c>
      <c r="C219" s="449">
        <f>(3.52+6.87+3.1045)/3</f>
        <v>4.4981666666666671</v>
      </c>
      <c r="D219" s="1414" t="s">
        <v>3621</v>
      </c>
    </row>
    <row r="220" spans="2:4" ht="14.5" hidden="1" outlineLevel="1">
      <c r="B220" s="10" t="s">
        <v>3622</v>
      </c>
      <c r="C220" s="536">
        <v>0.04</v>
      </c>
      <c r="D220" s="995" t="s">
        <v>4963</v>
      </c>
    </row>
    <row r="221" spans="2:4" ht="29" hidden="1" outlineLevel="1">
      <c r="B221" s="10" t="s">
        <v>3624</v>
      </c>
      <c r="C221" s="536">
        <v>0.96</v>
      </c>
      <c r="D221" s="995" t="s">
        <v>3623</v>
      </c>
    </row>
    <row r="222" spans="2:4" ht="29.5" hidden="1" outlineLevel="1" thickBot="1">
      <c r="B222" s="13" t="s">
        <v>4965</v>
      </c>
      <c r="C222" s="22">
        <f>192/1432</f>
        <v>0.13407821229050279</v>
      </c>
      <c r="D222" s="996" t="s">
        <v>3623</v>
      </c>
    </row>
    <row r="223" spans="2:4" hidden="1" outlineLevel="1"/>
    <row r="224" spans="2:4" hidden="1" outlineLevel="1">
      <c r="B224" s="1496" t="s">
        <v>4964</v>
      </c>
    </row>
    <row r="225" spans="2:11" hidden="1" outlineLevel="1">
      <c r="B225" s="1251" t="s">
        <v>3625</v>
      </c>
    </row>
    <row r="226" spans="2:11" hidden="1" outlineLevel="1"/>
    <row r="227" spans="2:11" ht="14.5" hidden="1" outlineLevel="1" thickBot="1">
      <c r="B227" s="1251" t="s">
        <v>673</v>
      </c>
    </row>
    <row r="228" spans="2:11" ht="14.5" hidden="1" customHeight="1" outlineLevel="1">
      <c r="B228" s="1635"/>
      <c r="C228" s="1637" t="s">
        <v>3611</v>
      </c>
      <c r="D228" s="1630" t="s">
        <v>949</v>
      </c>
      <c r="E228" s="1631"/>
      <c r="F228" s="1631"/>
      <c r="G228" s="1631"/>
      <c r="H228" s="1639"/>
      <c r="I228" s="1630" t="s">
        <v>635</v>
      </c>
      <c r="J228" s="1631"/>
      <c r="K228" s="1632"/>
    </row>
    <row r="229" spans="2:11" ht="43" hidden="1" customHeight="1" outlineLevel="1">
      <c r="B229" s="1636"/>
      <c r="C229" s="1638"/>
      <c r="D229" s="587" t="s">
        <v>2167</v>
      </c>
      <c r="E229" s="189" t="s">
        <v>3626</v>
      </c>
      <c r="F229" s="189" t="s">
        <v>187</v>
      </c>
      <c r="G229" s="189" t="s">
        <v>3627</v>
      </c>
      <c r="H229" s="997" t="s">
        <v>83</v>
      </c>
      <c r="I229" s="587" t="s">
        <v>84</v>
      </c>
      <c r="J229" s="189" t="s">
        <v>187</v>
      </c>
      <c r="K229" s="586" t="s">
        <v>3627</v>
      </c>
    </row>
    <row r="230" spans="2:11" ht="14.5" hidden="1" outlineLevel="1">
      <c r="B230" s="10" t="s">
        <v>3449</v>
      </c>
      <c r="C230" s="174">
        <f>AVERAGE(E170:E175)</f>
        <v>3123.3333333333335</v>
      </c>
      <c r="D230" s="176">
        <f>C230*AVERAGE(K170:K175)*$C$219</f>
        <v>1524.1120623796298</v>
      </c>
      <c r="E230" s="11">
        <f>D230*96%/4%</f>
        <v>36578.689497111118</v>
      </c>
      <c r="F230" s="11">
        <f>SUM(D230:E230)*C$222</f>
        <v>5108.7555163563011</v>
      </c>
      <c r="G230" s="11"/>
      <c r="H230" s="174">
        <f>SUM(D230:F230)</f>
        <v>43211.557075847049</v>
      </c>
      <c r="I230" s="213">
        <f>(D230+E230)*$D147/10^6</f>
        <v>8.9572815469360219</v>
      </c>
      <c r="J230" s="180">
        <f t="shared" ref="J230:J241" si="13">F230*$D147/10^6</f>
        <v>1.2009762967958912</v>
      </c>
      <c r="K230" s="131">
        <f t="shared" ref="K230:K241" si="14">G230*$D147/10^6</f>
        <v>0</v>
      </c>
    </row>
    <row r="231" spans="2:11" ht="14.5" hidden="1" outlineLevel="1">
      <c r="B231" s="10" t="s">
        <v>3619</v>
      </c>
      <c r="C231" s="174">
        <f>AVERAGE(E176:E179)</f>
        <v>8919.5</v>
      </c>
      <c r="D231" s="176">
        <f>C231*AVERAGE(K176:K179)*$C$219</f>
        <v>6208.7862760208345</v>
      </c>
      <c r="E231" s="11">
        <f t="shared" ref="E231:E235" si="15">D231*96%/4%</f>
        <v>149010.87062450001</v>
      </c>
      <c r="F231" s="11">
        <f t="shared" ref="F231:F241" si="16">SUM(D231:E231)*C$222</f>
        <v>20811.574109567042</v>
      </c>
      <c r="G231" s="11">
        <v>90274.858785852048</v>
      </c>
      <c r="H231" s="174">
        <f>SUM(D231:G231)</f>
        <v>266306.08979593992</v>
      </c>
      <c r="I231" s="213">
        <f t="shared" ref="I231:I241" si="17">(D231+E231)*$D148/10^6</f>
        <v>33.410395001702277</v>
      </c>
      <c r="J231" s="180">
        <f t="shared" si="13"/>
        <v>4.4796060337477916</v>
      </c>
      <c r="K231" s="131">
        <f t="shared" si="14"/>
        <v>19.431293374725204</v>
      </c>
    </row>
    <row r="232" spans="2:11" ht="14.5" hidden="1" outlineLevel="1">
      <c r="B232" s="10" t="s">
        <v>3451</v>
      </c>
      <c r="C232" s="174">
        <f>AVERAGE(E185,H193)</f>
        <v>7489.5</v>
      </c>
      <c r="D232" s="176">
        <f>C232*AVERAGE(K185)*$C$219</f>
        <v>2334.6490340250002</v>
      </c>
      <c r="E232" s="11">
        <f t="shared" si="15"/>
        <v>56031.576816599998</v>
      </c>
      <c r="F232" s="11">
        <f t="shared" si="16"/>
        <v>7825.6392201955305</v>
      </c>
      <c r="G232" s="11"/>
      <c r="H232" s="174">
        <f t="shared" ref="H232:H241" si="18">SUM(D232:F232)</f>
        <v>66191.865070820524</v>
      </c>
      <c r="I232" s="213">
        <f t="shared" si="17"/>
        <v>4.6023204318279713</v>
      </c>
      <c r="J232" s="180">
        <f t="shared" si="13"/>
        <v>0.61707089588754926</v>
      </c>
      <c r="K232" s="131">
        <f t="shared" si="14"/>
        <v>0</v>
      </c>
    </row>
    <row r="233" spans="2:11" ht="14.5" hidden="1" outlineLevel="1">
      <c r="B233" s="10" t="s">
        <v>3452</v>
      </c>
      <c r="C233" s="174">
        <f>AVERAGE(E185,H193)</f>
        <v>7489.5</v>
      </c>
      <c r="D233" s="176">
        <f>C233*AVERAGE(K185)*$C$219</f>
        <v>2334.6490340250002</v>
      </c>
      <c r="E233" s="11">
        <f t="shared" si="15"/>
        <v>56031.576816599998</v>
      </c>
      <c r="F233" s="11">
        <f t="shared" si="16"/>
        <v>7825.6392201955305</v>
      </c>
      <c r="G233" s="11"/>
      <c r="H233" s="174">
        <f t="shared" si="18"/>
        <v>66191.865070820524</v>
      </c>
      <c r="I233" s="213">
        <f t="shared" si="17"/>
        <v>2.2293984628189549</v>
      </c>
      <c r="J233" s="180">
        <f t="shared" si="13"/>
        <v>0.29891376037796047</v>
      </c>
      <c r="K233" s="131">
        <f t="shared" si="14"/>
        <v>0</v>
      </c>
    </row>
    <row r="234" spans="2:11" ht="14.5" hidden="1" outlineLevel="1">
      <c r="B234" s="10" t="s">
        <v>3453</v>
      </c>
      <c r="C234" s="174">
        <f>C198</f>
        <v>1500</v>
      </c>
      <c r="D234" s="179">
        <f>D$230*$C234/$C$230</f>
        <v>731.96417083333347</v>
      </c>
      <c r="E234" s="11">
        <f t="shared" si="15"/>
        <v>17567.140100000004</v>
      </c>
      <c r="F234" s="11">
        <f t="shared" si="16"/>
        <v>2453.5111871508384</v>
      </c>
      <c r="G234" s="11"/>
      <c r="H234" s="174">
        <f t="shared" si="18"/>
        <v>20752.615457984175</v>
      </c>
      <c r="I234" s="213">
        <f t="shared" si="17"/>
        <v>18.35170690684037</v>
      </c>
      <c r="J234" s="180">
        <f t="shared" si="13"/>
        <v>2.4605640545484295</v>
      </c>
      <c r="K234" s="131">
        <f t="shared" si="14"/>
        <v>0</v>
      </c>
    </row>
    <row r="235" spans="2:11" ht="14.5" hidden="1" outlineLevel="1">
      <c r="B235" s="10" t="s">
        <v>3454</v>
      </c>
      <c r="C235" s="174">
        <f>C198</f>
        <v>1500</v>
      </c>
      <c r="D235" s="179">
        <f>D$230*$C235/$C$230</f>
        <v>731.96417083333347</v>
      </c>
      <c r="E235" s="11">
        <f t="shared" si="15"/>
        <v>17567.140100000004</v>
      </c>
      <c r="F235" s="11">
        <f t="shared" si="16"/>
        <v>2453.5111871508384</v>
      </c>
      <c r="G235" s="11"/>
      <c r="H235" s="174">
        <f t="shared" si="18"/>
        <v>20752.615457984175</v>
      </c>
      <c r="I235" s="213">
        <f t="shared" si="17"/>
        <v>0.65510793289583336</v>
      </c>
      <c r="J235" s="180">
        <f t="shared" si="13"/>
        <v>8.7835700500000002E-2</v>
      </c>
      <c r="K235" s="131">
        <f t="shared" si="14"/>
        <v>0</v>
      </c>
    </row>
    <row r="236" spans="2:11" ht="14.5" hidden="1" outlineLevel="1">
      <c r="B236" s="10" t="s">
        <v>3455</v>
      </c>
      <c r="C236" s="174">
        <f>H194</f>
        <v>10.7476</v>
      </c>
      <c r="D236" s="176">
        <v>9.4461500000000012</v>
      </c>
      <c r="E236" s="11">
        <v>47.504953026454345</v>
      </c>
      <c r="F236" s="11">
        <f t="shared" si="16"/>
        <v>7.6359020817592418</v>
      </c>
      <c r="G236" s="11"/>
      <c r="H236" s="174">
        <f t="shared" si="18"/>
        <v>64.587005108213589</v>
      </c>
      <c r="I236" s="213">
        <f t="shared" si="17"/>
        <v>0.25769804608440328</v>
      </c>
      <c r="J236" s="180">
        <f t="shared" si="13"/>
        <v>3.4551693329752393E-2</v>
      </c>
      <c r="K236" s="131">
        <f t="shared" si="14"/>
        <v>0</v>
      </c>
    </row>
    <row r="237" spans="2:11" ht="14.5" hidden="1" outlineLevel="1">
      <c r="B237" s="10" t="s">
        <v>3456</v>
      </c>
      <c r="C237" s="174">
        <f>C199</f>
        <v>122.5</v>
      </c>
      <c r="D237" s="176">
        <f>D$230*$C237/$C$230</f>
        <v>59.7770739513889</v>
      </c>
      <c r="E237" s="11">
        <f>D237*96%/4%</f>
        <v>1434.6497748333336</v>
      </c>
      <c r="F237" s="11">
        <f t="shared" si="16"/>
        <v>200.37008028398515</v>
      </c>
      <c r="G237" s="11"/>
      <c r="H237" s="174">
        <f t="shared" si="18"/>
        <v>1694.7969290687076</v>
      </c>
      <c r="I237" s="213">
        <f t="shared" si="17"/>
        <v>4.0572792288395938</v>
      </c>
      <c r="J237" s="180">
        <f t="shared" si="13"/>
        <v>0.5439927457662026</v>
      </c>
      <c r="K237" s="131">
        <f t="shared" si="14"/>
        <v>0</v>
      </c>
    </row>
    <row r="238" spans="2:11" ht="14.5" hidden="1" outlineLevel="1">
      <c r="B238" s="10" t="s">
        <v>3457</v>
      </c>
      <c r="C238" s="174">
        <f>C200</f>
        <v>7</v>
      </c>
      <c r="D238" s="176">
        <f>D$230*$C238/$C$230</f>
        <v>3.4158327972222224</v>
      </c>
      <c r="E238" s="11">
        <f>D238*96%/4%</f>
        <v>81.979987133333324</v>
      </c>
      <c r="F238" s="11">
        <f t="shared" si="16"/>
        <v>11.449718873370577</v>
      </c>
      <c r="G238" s="11"/>
      <c r="H238" s="174">
        <f t="shared" si="18"/>
        <v>96.845538803926118</v>
      </c>
      <c r="I238" s="213">
        <f t="shared" si="17"/>
        <v>5.6065747218401255E-2</v>
      </c>
      <c r="J238" s="180">
        <f t="shared" si="13"/>
        <v>7.5171951577744697E-3</v>
      </c>
      <c r="K238" s="131">
        <f t="shared" si="14"/>
        <v>0</v>
      </c>
    </row>
    <row r="239" spans="2:11" ht="14.5" hidden="1" outlineLevel="1">
      <c r="B239" s="10" t="s">
        <v>3458</v>
      </c>
      <c r="C239" s="174">
        <f>AVERAGE(E180:E182,H192)</f>
        <v>88.25</v>
      </c>
      <c r="D239" s="176">
        <f>C239*AVERAGE(K180:K182)*$C$219</f>
        <v>105.5922134166667</v>
      </c>
      <c r="E239" s="11">
        <f>D239*96%/4%</f>
        <v>2534.2131220000006</v>
      </c>
      <c r="F239" s="11">
        <f t="shared" si="16"/>
        <v>353.94038016759782</v>
      </c>
      <c r="G239" s="11"/>
      <c r="H239" s="174">
        <f t="shared" si="18"/>
        <v>2993.7457155842649</v>
      </c>
      <c r="I239" s="213">
        <f t="shared" si="17"/>
        <v>9.2921147806666688</v>
      </c>
      <c r="J239" s="180">
        <f t="shared" si="13"/>
        <v>1.2458701381899444</v>
      </c>
      <c r="K239" s="131">
        <f t="shared" si="14"/>
        <v>0</v>
      </c>
    </row>
    <row r="240" spans="2:11" ht="14.5" hidden="1" outlineLevel="1">
      <c r="B240" s="10" t="s">
        <v>3459</v>
      </c>
      <c r="C240" s="174">
        <f>E183</f>
        <v>2192</v>
      </c>
      <c r="D240" s="176">
        <f>C240*AVERAGE(K183)*$C$219</f>
        <v>482.15308720000007</v>
      </c>
      <c r="E240" s="11">
        <f>D240*96%/4%</f>
        <v>11571.6740928</v>
      </c>
      <c r="F240" s="11">
        <f t="shared" si="16"/>
        <v>1616.1555995530725</v>
      </c>
      <c r="G240" s="11"/>
      <c r="H240" s="174">
        <f t="shared" si="18"/>
        <v>13669.982779553073</v>
      </c>
      <c r="I240" s="213">
        <f t="shared" si="17"/>
        <v>0.15549437062200003</v>
      </c>
      <c r="J240" s="180">
        <f t="shared" si="13"/>
        <v>2.0848407234234638E-2</v>
      </c>
      <c r="K240" s="131">
        <f t="shared" si="14"/>
        <v>0</v>
      </c>
    </row>
    <row r="241" spans="2:11" ht="15" hidden="1" outlineLevel="1" thickBot="1">
      <c r="B241" s="13" t="s">
        <v>3460</v>
      </c>
      <c r="C241" s="175">
        <f>E183</f>
        <v>2192</v>
      </c>
      <c r="D241" s="177">
        <f>C241*AVERAGE(K183)*$C$219</f>
        <v>482.15308720000007</v>
      </c>
      <c r="E241" s="14">
        <f>D241*96%/4%</f>
        <v>11571.6740928</v>
      </c>
      <c r="F241" s="14">
        <f t="shared" si="16"/>
        <v>1616.1555995530725</v>
      </c>
      <c r="G241" s="22"/>
      <c r="H241" s="175">
        <f t="shared" si="18"/>
        <v>13669.982779553073</v>
      </c>
      <c r="I241" s="214">
        <f t="shared" si="17"/>
        <v>0.11571674092799999</v>
      </c>
      <c r="J241" s="18">
        <f t="shared" si="13"/>
        <v>1.5515093755709496E-2</v>
      </c>
      <c r="K241" s="19">
        <f t="shared" si="14"/>
        <v>0</v>
      </c>
    </row>
    <row r="242" spans="2:11" hidden="1" outlineLevel="1">
      <c r="J242" s="50"/>
      <c r="K242" s="50"/>
    </row>
    <row r="243" spans="2:11" ht="15" hidden="1" outlineLevel="1" thickBot="1">
      <c r="B243" s="998" t="s">
        <v>2436</v>
      </c>
      <c r="H243" s="767"/>
    </row>
    <row r="244" spans="2:11" ht="14.5" hidden="1" outlineLevel="1">
      <c r="B244" s="123"/>
      <c r="C244" s="124" t="s">
        <v>82</v>
      </c>
    </row>
    <row r="245" spans="2:11" ht="14.5" hidden="1" outlineLevel="1">
      <c r="B245" s="10" t="s">
        <v>84</v>
      </c>
      <c r="C245" s="589">
        <f>SUM(I230:I241)+K231</f>
        <v>101.57187257210568</v>
      </c>
    </row>
    <row r="246" spans="2:11" ht="15" hidden="1" outlineLevel="1" thickBot="1">
      <c r="B246" s="13" t="s">
        <v>3628</v>
      </c>
      <c r="C246" s="210">
        <f>SUM(J230:J241)</f>
        <v>11.013262015291239</v>
      </c>
    </row>
    <row r="247" spans="2:11" hidden="1" outlineLevel="1"/>
    <row r="248" spans="2:11" collapsed="1"/>
    <row r="249" spans="2:11" ht="20">
      <c r="B249" s="216" t="s">
        <v>3629</v>
      </c>
    </row>
    <row r="251" spans="2:11" hidden="1" outlineLevel="1">
      <c r="B251" s="1251" t="s">
        <v>4939</v>
      </c>
    </row>
    <row r="252" spans="2:11" ht="14.5" hidden="1" outlineLevel="1" thickBot="1">
      <c r="B252" s="3" t="s">
        <v>4940</v>
      </c>
    </row>
    <row r="253" spans="2:11" ht="29" hidden="1" outlineLevel="1">
      <c r="B253" s="130"/>
      <c r="C253" s="129" t="s">
        <v>194</v>
      </c>
      <c r="D253" s="129" t="s">
        <v>301</v>
      </c>
      <c r="E253" s="129" t="s">
        <v>70</v>
      </c>
      <c r="F253" s="137" t="s">
        <v>3630</v>
      </c>
      <c r="H253" s="87"/>
    </row>
    <row r="254" spans="2:11" ht="14.5" hidden="1" outlineLevel="1">
      <c r="B254" s="10" t="s">
        <v>3450</v>
      </c>
      <c r="C254" s="21">
        <v>1275</v>
      </c>
      <c r="D254" s="1266" t="s">
        <v>3631</v>
      </c>
      <c r="E254" s="21" t="s">
        <v>3602</v>
      </c>
      <c r="F254" s="12">
        <f>C254*365.25/1000</f>
        <v>465.69375000000002</v>
      </c>
      <c r="H254" s="1251"/>
      <c r="K254" s="1251"/>
    </row>
    <row r="255" spans="2:11" ht="14.5" hidden="1" outlineLevel="1">
      <c r="B255" s="10" t="s">
        <v>3458</v>
      </c>
      <c r="C255" s="21">
        <v>8.8000000000000007</v>
      </c>
      <c r="D255" s="1266" t="s">
        <v>3631</v>
      </c>
      <c r="E255" s="21" t="s">
        <v>3602</v>
      </c>
      <c r="F255" s="131">
        <f>C255*365.25/1000</f>
        <v>3.2142000000000004</v>
      </c>
      <c r="H255" s="1251"/>
      <c r="K255" s="1251"/>
    </row>
    <row r="256" spans="2:11" ht="14.5" hidden="1" outlineLevel="1">
      <c r="B256" s="10" t="s">
        <v>3606</v>
      </c>
      <c r="C256" s="21">
        <v>65.7</v>
      </c>
      <c r="D256" s="1266" t="s">
        <v>3631</v>
      </c>
      <c r="E256" s="21" t="s">
        <v>3602</v>
      </c>
      <c r="F256" s="12">
        <f>C256*365.25/1000</f>
        <v>23.996925000000001</v>
      </c>
      <c r="H256" s="1251"/>
      <c r="K256" s="1251"/>
    </row>
    <row r="257" spans="2:11" ht="14.5" hidden="1" outlineLevel="1">
      <c r="B257" s="110" t="s">
        <v>3608</v>
      </c>
      <c r="C257" s="21">
        <v>40</v>
      </c>
      <c r="D257" s="1266" t="s">
        <v>2898</v>
      </c>
      <c r="E257" s="21" t="s">
        <v>3632</v>
      </c>
      <c r="F257" s="132">
        <f>C257/1000</f>
        <v>0.04</v>
      </c>
      <c r="H257" s="1251"/>
      <c r="K257" s="1251"/>
    </row>
    <row r="258" spans="2:11" ht="14.5" hidden="1" outlineLevel="1">
      <c r="B258" s="10" t="s">
        <v>3633</v>
      </c>
      <c r="C258" s="21">
        <f>278+927.5+280.7</f>
        <v>1486.2</v>
      </c>
      <c r="D258" s="1266" t="s">
        <v>3634</v>
      </c>
      <c r="E258" s="113" t="s">
        <v>3635</v>
      </c>
      <c r="F258" s="12">
        <f>C258*365.25/7000</f>
        <v>77.547792857142866</v>
      </c>
      <c r="H258" s="1251"/>
      <c r="K258" s="1251"/>
    </row>
    <row r="259" spans="2:11" ht="14.5" hidden="1" outlineLevel="1">
      <c r="B259" s="10" t="s">
        <v>3450</v>
      </c>
      <c r="C259" s="21">
        <f>1749.3+660.1+1473.6</f>
        <v>3883</v>
      </c>
      <c r="D259" s="1266" t="s">
        <v>3634</v>
      </c>
      <c r="E259" s="113" t="s">
        <v>3635</v>
      </c>
      <c r="F259" s="12">
        <f>C259*365.25/7000</f>
        <v>202.60939285714286</v>
      </c>
      <c r="H259" s="1251"/>
      <c r="K259" s="1251"/>
    </row>
    <row r="260" spans="2:11" ht="14.5" hidden="1" outlineLevel="1">
      <c r="B260" s="10" t="s">
        <v>3636</v>
      </c>
      <c r="C260" s="21">
        <f>25.5+33.4+5.2</f>
        <v>64.099999999999994</v>
      </c>
      <c r="D260" s="1266" t="s">
        <v>3634</v>
      </c>
      <c r="E260" s="113" t="s">
        <v>3635</v>
      </c>
      <c r="F260" s="131">
        <f>C260*365.25/7000</f>
        <v>3.3446464285714281</v>
      </c>
      <c r="H260" s="1251"/>
      <c r="I260" s="1251"/>
      <c r="K260" s="1251"/>
    </row>
    <row r="261" spans="2:11" ht="14.5" hidden="1" outlineLevel="1">
      <c r="B261" s="10" t="s">
        <v>3637</v>
      </c>
      <c r="C261" s="21">
        <v>9187</v>
      </c>
      <c r="D261" s="1266" t="s">
        <v>3638</v>
      </c>
      <c r="E261" s="21" t="s">
        <v>3639</v>
      </c>
      <c r="F261" s="12">
        <f>C261*12/1000</f>
        <v>110.244</v>
      </c>
    </row>
    <row r="262" spans="2:11" ht="14.5" hidden="1" outlineLevel="1">
      <c r="B262" s="10" t="s">
        <v>3640</v>
      </c>
      <c r="C262" s="21">
        <v>12152</v>
      </c>
      <c r="D262" s="1266" t="s">
        <v>3638</v>
      </c>
      <c r="E262" s="21" t="s">
        <v>3639</v>
      </c>
      <c r="F262" s="12">
        <f>C262*12/1000</f>
        <v>145.82400000000001</v>
      </c>
    </row>
    <row r="263" spans="2:11" ht="14.5" hidden="1" outlineLevel="1">
      <c r="B263" s="10" t="s">
        <v>3641</v>
      </c>
      <c r="C263" s="21">
        <v>25525</v>
      </c>
      <c r="D263" s="1266" t="s">
        <v>2898</v>
      </c>
      <c r="E263" s="113" t="s">
        <v>3642</v>
      </c>
      <c r="F263" s="12">
        <f>C263/1000</f>
        <v>25.524999999999999</v>
      </c>
    </row>
    <row r="264" spans="2:11" ht="14.5" hidden="1" outlineLevel="1">
      <c r="B264" s="10" t="s">
        <v>3641</v>
      </c>
      <c r="C264" s="21">
        <v>20661</v>
      </c>
      <c r="D264" s="1266" t="s">
        <v>2898</v>
      </c>
      <c r="E264" s="21" t="s">
        <v>3642</v>
      </c>
      <c r="F264" s="12">
        <f t="shared" ref="F264:F269" si="19">C264/1000</f>
        <v>20.661000000000001</v>
      </c>
    </row>
    <row r="265" spans="2:11" ht="14.5" hidden="1" outlineLevel="1">
      <c r="B265" s="10" t="s">
        <v>3641</v>
      </c>
      <c r="C265" s="21">
        <v>11439</v>
      </c>
      <c r="D265" s="1266" t="s">
        <v>2898</v>
      </c>
      <c r="E265" s="21" t="s">
        <v>3642</v>
      </c>
      <c r="F265" s="12">
        <f t="shared" si="19"/>
        <v>11.439</v>
      </c>
    </row>
    <row r="266" spans="2:11" ht="14.5" hidden="1" outlineLevel="1">
      <c r="B266" s="10" t="s">
        <v>3641</v>
      </c>
      <c r="C266" s="21">
        <v>20966</v>
      </c>
      <c r="D266" s="1266" t="s">
        <v>2898</v>
      </c>
      <c r="E266" s="21" t="s">
        <v>3642</v>
      </c>
      <c r="F266" s="12">
        <f t="shared" si="19"/>
        <v>20.966000000000001</v>
      </c>
    </row>
    <row r="267" spans="2:11" ht="14.5" hidden="1" outlineLevel="1">
      <c r="B267" s="10" t="s">
        <v>3641</v>
      </c>
      <c r="C267" s="21">
        <v>26576</v>
      </c>
      <c r="D267" s="1266" t="s">
        <v>2898</v>
      </c>
      <c r="E267" s="21" t="s">
        <v>3642</v>
      </c>
      <c r="F267" s="12">
        <f t="shared" si="19"/>
        <v>26.576000000000001</v>
      </c>
    </row>
    <row r="268" spans="2:11" ht="14.5" hidden="1" outlineLevel="1">
      <c r="B268" s="10" t="s">
        <v>3643</v>
      </c>
      <c r="C268" s="21">
        <v>6869</v>
      </c>
      <c r="D268" s="1266" t="s">
        <v>2898</v>
      </c>
      <c r="E268" s="21" t="s">
        <v>3642</v>
      </c>
      <c r="F268" s="131">
        <f t="shared" si="19"/>
        <v>6.8689999999999998</v>
      </c>
    </row>
    <row r="269" spans="2:11" ht="14.5" hidden="1" outlineLevel="1">
      <c r="B269" s="10" t="s">
        <v>3644</v>
      </c>
      <c r="C269" s="1266">
        <v>3646</v>
      </c>
      <c r="D269" s="1266" t="s">
        <v>2898</v>
      </c>
      <c r="E269" s="21" t="s">
        <v>3642</v>
      </c>
      <c r="F269" s="131">
        <f t="shared" si="19"/>
        <v>3.6459999999999999</v>
      </c>
    </row>
    <row r="270" spans="2:11" ht="15" hidden="1" outlineLevel="1" thickBot="1">
      <c r="B270" s="13" t="s">
        <v>3644</v>
      </c>
      <c r="C270" s="1267">
        <v>9500</v>
      </c>
      <c r="D270" s="1267" t="s">
        <v>2898</v>
      </c>
      <c r="E270" s="144" t="s">
        <v>3645</v>
      </c>
      <c r="F270" s="145">
        <f>C270/1000</f>
        <v>9.5</v>
      </c>
    </row>
    <row r="271" spans="2:11" hidden="1" outlineLevel="1">
      <c r="C271" s="1251"/>
      <c r="D271" s="1251"/>
      <c r="E271" s="101"/>
      <c r="F271" s="143"/>
    </row>
    <row r="272" spans="2:11" hidden="1" outlineLevel="1"/>
    <row r="273" spans="1:9" hidden="1" outlineLevel="1">
      <c r="A273" s="1251"/>
      <c r="B273" s="1251" t="s">
        <v>3646</v>
      </c>
      <c r="C273" s="134"/>
      <c r="D273" s="1251"/>
      <c r="E273" s="1251"/>
      <c r="F273" s="1251"/>
    </row>
    <row r="274" spans="1:9" hidden="1" outlineLevel="1">
      <c r="B274" s="133"/>
      <c r="C274" s="135"/>
    </row>
    <row r="275" spans="1:9" hidden="1" outlineLevel="1">
      <c r="A275" s="1251"/>
      <c r="B275" s="1251" t="s">
        <v>565</v>
      </c>
      <c r="C275" s="135"/>
    </row>
    <row r="276" spans="1:9" ht="14.5" hidden="1" outlineLevel="1" thickBot="1">
      <c r="B276" s="133"/>
      <c r="C276" s="135"/>
    </row>
    <row r="277" spans="1:9" ht="43.5" hidden="1" outlineLevel="1">
      <c r="A277" s="1251"/>
      <c r="B277" s="123"/>
      <c r="C277" s="118" t="s">
        <v>3542</v>
      </c>
      <c r="D277" s="139" t="s">
        <v>3647</v>
      </c>
      <c r="H277" s="123"/>
      <c r="I277" s="139" t="s">
        <v>3647</v>
      </c>
    </row>
    <row r="278" spans="1:9" ht="14.5" hidden="1" outlineLevel="1">
      <c r="B278" s="10" t="s">
        <v>3449</v>
      </c>
      <c r="C278" s="11">
        <f t="shared" ref="C278:C289" si="20">C147</f>
        <v>1434</v>
      </c>
      <c r="D278" s="12">
        <f>C278*F258</f>
        <v>111203.53495714287</v>
      </c>
      <c r="H278" s="10" t="s">
        <v>3450</v>
      </c>
      <c r="I278" s="12">
        <f>D279</f>
        <v>168108.64199999999</v>
      </c>
    </row>
    <row r="279" spans="1:9" ht="14.5" hidden="1" outlineLevel="1">
      <c r="B279" s="10" t="s">
        <v>3450</v>
      </c>
      <c r="C279" s="11">
        <f t="shared" si="20"/>
        <v>1313</v>
      </c>
      <c r="D279" s="12">
        <f>C279*AVERAGE(F261:F262)</f>
        <v>168108.64199999999</v>
      </c>
      <c r="H279" s="10" t="s">
        <v>3449</v>
      </c>
      <c r="I279" s="12">
        <f>D278</f>
        <v>111203.53495714287</v>
      </c>
    </row>
    <row r="280" spans="1:9" ht="29" hidden="1" outlineLevel="1">
      <c r="B280" s="10" t="s">
        <v>3451</v>
      </c>
      <c r="C280" s="11">
        <f t="shared" si="20"/>
        <v>481</v>
      </c>
      <c r="D280" s="12">
        <f>C280*AVERAGE(F256)</f>
        <v>11542.520925000001</v>
      </c>
      <c r="H280" s="10" t="s">
        <v>3648</v>
      </c>
      <c r="I280" s="12">
        <f>D280+D281</f>
        <v>17133.80445</v>
      </c>
    </row>
    <row r="281" spans="1:9" ht="14.5" hidden="1" outlineLevel="1">
      <c r="B281" s="10" t="s">
        <v>3452</v>
      </c>
      <c r="C281" s="11">
        <f t="shared" si="20"/>
        <v>233</v>
      </c>
      <c r="D281" s="12">
        <f>C281*AVERAGE(F256)</f>
        <v>5591.2835249999998</v>
      </c>
      <c r="E281" s="1251" t="s">
        <v>3649</v>
      </c>
      <c r="H281" s="10" t="s">
        <v>3650</v>
      </c>
      <c r="I281" s="12">
        <f>D282+D283</f>
        <v>68272.081568884736</v>
      </c>
    </row>
    <row r="282" spans="1:9" ht="14.5" hidden="1" outlineLevel="1">
      <c r="B282" s="10" t="s">
        <v>3453</v>
      </c>
      <c r="C282" s="11">
        <f t="shared" si="20"/>
        <v>10028.746016869729</v>
      </c>
      <c r="D282" s="12">
        <f>C282*AVERAGE(F269,F270)</f>
        <v>65918.947568884731</v>
      </c>
      <c r="H282" s="10" t="s">
        <v>3651</v>
      </c>
      <c r="I282" s="12">
        <f>D284+D285</f>
        <v>180262.9662</v>
      </c>
    </row>
    <row r="283" spans="1:9" ht="14.5" hidden="1" outlineLevel="1">
      <c r="B283" s="10" t="s">
        <v>3454</v>
      </c>
      <c r="C283" s="11">
        <f t="shared" si="20"/>
        <v>358</v>
      </c>
      <c r="D283" s="12">
        <f>C283*AVERAGE(F269,F270)</f>
        <v>2353.134</v>
      </c>
      <c r="E283" s="1251" t="s">
        <v>3652</v>
      </c>
      <c r="H283" s="10" t="s">
        <v>3537</v>
      </c>
      <c r="I283" s="12">
        <f>D287</f>
        <v>34184.912631124054</v>
      </c>
    </row>
    <row r="284" spans="1:9" ht="15" hidden="1" outlineLevel="1" thickBot="1">
      <c r="B284" s="10" t="s">
        <v>3455</v>
      </c>
      <c r="C284" s="11">
        <f t="shared" si="20"/>
        <v>45249</v>
      </c>
      <c r="D284" s="12">
        <f>C284*F257</f>
        <v>1809.96</v>
      </c>
      <c r="H284" s="13" t="s">
        <v>3653</v>
      </c>
      <c r="I284" s="15">
        <f>D289+D288</f>
        <v>2867.1233999999999</v>
      </c>
    </row>
    <row r="285" spans="1:9" ht="14.5" hidden="1" outlineLevel="1">
      <c r="B285" s="10" t="s">
        <v>3456</v>
      </c>
      <c r="C285" s="11">
        <f t="shared" si="20"/>
        <v>27149.399999999998</v>
      </c>
      <c r="D285" s="12">
        <f>C285*AVERAGE(F269,F270)</f>
        <v>178453.0062</v>
      </c>
    </row>
    <row r="286" spans="1:9" ht="14.5" hidden="1" outlineLevel="1">
      <c r="B286" s="10" t="s">
        <v>3457</v>
      </c>
      <c r="C286" s="11">
        <f t="shared" si="20"/>
        <v>4595.7780000000002</v>
      </c>
      <c r="D286" s="12"/>
    </row>
    <row r="287" spans="1:9" ht="14.5" hidden="1" outlineLevel="1">
      <c r="B287" s="10" t="s">
        <v>3458</v>
      </c>
      <c r="C287" s="11">
        <f t="shared" si="20"/>
        <v>10424.062524839392</v>
      </c>
      <c r="D287" s="12">
        <f>C287*AVERAGE(F260,F255)</f>
        <v>34184.912631124054</v>
      </c>
    </row>
    <row r="288" spans="1:9" ht="14.5" hidden="1" outlineLevel="1">
      <c r="B288" s="10" t="s">
        <v>3459</v>
      </c>
      <c r="C288" s="11">
        <f t="shared" si="20"/>
        <v>129</v>
      </c>
      <c r="D288" s="12">
        <f>C288*AVERAGE(F269,F270)</f>
        <v>847.91700000000003</v>
      </c>
      <c r="E288" s="1251" t="s">
        <v>3652</v>
      </c>
    </row>
    <row r="289" spans="2:15" ht="14.5" hidden="1" outlineLevel="1">
      <c r="B289" s="10" t="s">
        <v>3460</v>
      </c>
      <c r="C289" s="11">
        <f t="shared" si="20"/>
        <v>96</v>
      </c>
      <c r="D289" s="12">
        <f>C289*AVERAGE(F263:F267)</f>
        <v>2019.2064</v>
      </c>
    </row>
    <row r="290" spans="2:15" ht="15" hidden="1" outlineLevel="1" thickBot="1">
      <c r="B290" s="13" t="s">
        <v>83</v>
      </c>
      <c r="C290" s="14"/>
      <c r="D290" s="140">
        <f>SUM(D278:D289)</f>
        <v>582033.06520715181</v>
      </c>
      <c r="F290" s="23"/>
    </row>
    <row r="291" spans="2:15" hidden="1" outlineLevel="1"/>
    <row r="292" spans="2:15" hidden="1" outlineLevel="1">
      <c r="B292" s="1251" t="s">
        <v>3654</v>
      </c>
      <c r="E292" s="74"/>
    </row>
    <row r="293" spans="2:15" ht="14.5" hidden="1" outlineLevel="1" thickBot="1"/>
    <row r="294" spans="2:15" ht="15" hidden="1" outlineLevel="1" thickBot="1">
      <c r="B294" s="20" t="s">
        <v>2903</v>
      </c>
      <c r="C294" s="146">
        <v>51.021226654385103</v>
      </c>
      <c r="D294" s="142" t="s">
        <v>661</v>
      </c>
    </row>
    <row r="295" spans="2:15" hidden="1" outlineLevel="1"/>
    <row r="296" spans="2:15" collapsed="1"/>
    <row r="297" spans="2:15" ht="20">
      <c r="B297" s="216" t="s">
        <v>1072</v>
      </c>
    </row>
    <row r="299" spans="2:15" hidden="1" outlineLevel="1">
      <c r="B299" s="1251" t="s">
        <v>3547</v>
      </c>
    </row>
    <row r="300" spans="2:15" ht="14.5" hidden="1" outlineLevel="1" thickBot="1"/>
    <row r="301" spans="2:15" ht="43.5" hidden="1" outlineLevel="1">
      <c r="B301" s="4" t="s">
        <v>684</v>
      </c>
      <c r="C301" s="138" t="s">
        <v>3548</v>
      </c>
      <c r="D301" s="118" t="s">
        <v>3079</v>
      </c>
      <c r="E301" s="138" t="s">
        <v>2570</v>
      </c>
      <c r="F301" s="138" t="s">
        <v>3655</v>
      </c>
      <c r="G301" s="138" t="s">
        <v>3656</v>
      </c>
      <c r="H301" s="138" t="s">
        <v>3657</v>
      </c>
      <c r="I301" s="138" t="s">
        <v>3658</v>
      </c>
      <c r="J301" s="138" t="s">
        <v>3659</v>
      </c>
      <c r="K301" s="138" t="s">
        <v>3660</v>
      </c>
      <c r="L301" s="138" t="s">
        <v>3661</v>
      </c>
      <c r="M301" s="138" t="s">
        <v>3662</v>
      </c>
      <c r="N301" s="138" t="s">
        <v>3663</v>
      </c>
      <c r="O301" s="139" t="s">
        <v>3664</v>
      </c>
    </row>
    <row r="302" spans="2:15" ht="14.5" hidden="1" outlineLevel="1">
      <c r="B302" s="10" t="s">
        <v>3557</v>
      </c>
      <c r="C302" s="150" t="s">
        <v>3558</v>
      </c>
      <c r="D302" s="153" t="s">
        <v>3559</v>
      </c>
      <c r="E302" s="36">
        <v>2420</v>
      </c>
      <c r="F302" s="36">
        <v>508</v>
      </c>
      <c r="G302" s="36">
        <v>35</v>
      </c>
      <c r="H302" s="151">
        <v>0.83599999999999997</v>
      </c>
      <c r="I302" s="151">
        <v>0.13100000000000001</v>
      </c>
      <c r="J302" s="151">
        <v>1.6E-2</v>
      </c>
      <c r="K302" s="151">
        <v>1.7000000000000001E-2</v>
      </c>
      <c r="L302" s="11">
        <f>$F302*H302</f>
        <v>424.68799999999999</v>
      </c>
      <c r="M302" s="11">
        <f>$F302*I302</f>
        <v>66.548000000000002</v>
      </c>
      <c r="N302" s="11">
        <f>$F302*J302</f>
        <v>8.1280000000000001</v>
      </c>
      <c r="O302" s="12">
        <f>$F302*K302</f>
        <v>8.636000000000001</v>
      </c>
    </row>
    <row r="303" spans="2:15" ht="14.5" hidden="1" outlineLevel="1">
      <c r="B303" s="10" t="s">
        <v>3560</v>
      </c>
      <c r="C303" s="1321" t="s">
        <v>3558</v>
      </c>
      <c r="D303" s="153" t="s">
        <v>3561</v>
      </c>
      <c r="E303" s="36">
        <v>1700</v>
      </c>
      <c r="F303" s="36">
        <v>446</v>
      </c>
      <c r="G303" s="36">
        <v>367</v>
      </c>
      <c r="H303" s="151">
        <v>0.77700000000000002</v>
      </c>
      <c r="I303" s="151">
        <v>0.18</v>
      </c>
      <c r="J303" s="151">
        <v>1.6E-2</v>
      </c>
      <c r="K303" s="151">
        <v>2.7E-2</v>
      </c>
      <c r="L303" s="11">
        <f t="shared" ref="L303:L316" si="21">$F303*H303</f>
        <v>346.54200000000003</v>
      </c>
      <c r="M303" s="11">
        <f t="shared" ref="M303:M317" si="22">$F303*I303</f>
        <v>80.28</v>
      </c>
      <c r="N303" s="11">
        <f t="shared" ref="N303:N317" si="23">$F303*J303</f>
        <v>7.1360000000000001</v>
      </c>
      <c r="O303" s="12">
        <f t="shared" ref="O303:O317" si="24">$F303*K303</f>
        <v>12.042</v>
      </c>
    </row>
    <row r="304" spans="2:15" ht="14.5" hidden="1" outlineLevel="1">
      <c r="B304" s="10" t="s">
        <v>3562</v>
      </c>
      <c r="C304" s="1321" t="s">
        <v>3558</v>
      </c>
      <c r="D304" s="153" t="s">
        <v>3563</v>
      </c>
      <c r="E304" s="36">
        <v>2250</v>
      </c>
      <c r="F304" s="36">
        <v>635</v>
      </c>
      <c r="G304" s="36">
        <v>466</v>
      </c>
      <c r="H304" s="151">
        <f>491.8/F304</f>
        <v>0.77448818897637794</v>
      </c>
      <c r="I304" s="151">
        <f>16.7/F304</f>
        <v>2.6299212598425197E-2</v>
      </c>
      <c r="J304" s="151">
        <f>10.9/F304</f>
        <v>1.7165354330708663E-2</v>
      </c>
      <c r="K304" s="151">
        <f>115/F304</f>
        <v>0.18110236220472442</v>
      </c>
      <c r="L304" s="11">
        <f t="shared" si="21"/>
        <v>491.8</v>
      </c>
      <c r="M304" s="11">
        <f t="shared" si="22"/>
        <v>16.7</v>
      </c>
      <c r="N304" s="11">
        <f t="shared" si="23"/>
        <v>10.9</v>
      </c>
      <c r="O304" s="12">
        <f t="shared" si="24"/>
        <v>115.00000000000001</v>
      </c>
    </row>
    <row r="305" spans="2:15" ht="14.5" hidden="1" outlineLevel="1">
      <c r="B305" s="10" t="s">
        <v>3564</v>
      </c>
      <c r="C305" s="1321" t="s">
        <v>3558</v>
      </c>
      <c r="D305" s="153" t="s">
        <v>3565</v>
      </c>
      <c r="E305" s="36">
        <v>4750</v>
      </c>
      <c r="F305" s="36">
        <v>842</v>
      </c>
      <c r="G305" s="36">
        <v>55</v>
      </c>
      <c r="H305" s="1439" t="s">
        <v>3665</v>
      </c>
      <c r="I305" s="1439" t="s">
        <v>3665</v>
      </c>
      <c r="J305" s="1439" t="s">
        <v>3665</v>
      </c>
      <c r="K305" s="1439" t="s">
        <v>3665</v>
      </c>
      <c r="L305" s="11"/>
      <c r="M305" s="11"/>
      <c r="N305" s="11"/>
      <c r="O305" s="12"/>
    </row>
    <row r="306" spans="2:15" ht="14.5" hidden="1" outlineLevel="1">
      <c r="B306" s="10" t="s">
        <v>3566</v>
      </c>
      <c r="C306" s="1321" t="s">
        <v>3558</v>
      </c>
      <c r="D306" s="153" t="s">
        <v>3567</v>
      </c>
      <c r="E306" s="36">
        <v>4750</v>
      </c>
      <c r="F306" s="36">
        <v>860</v>
      </c>
      <c r="G306" s="36">
        <v>55</v>
      </c>
      <c r="H306" s="151">
        <v>0.58699999999999997</v>
      </c>
      <c r="I306" s="151">
        <v>0.378</v>
      </c>
      <c r="J306" s="151">
        <v>2E-3</v>
      </c>
      <c r="K306" s="151">
        <v>3.3000000000000002E-2</v>
      </c>
      <c r="L306" s="11">
        <f t="shared" si="21"/>
        <v>504.82</v>
      </c>
      <c r="M306" s="11">
        <f t="shared" si="22"/>
        <v>325.08</v>
      </c>
      <c r="N306" s="11">
        <f t="shared" si="23"/>
        <v>1.72</v>
      </c>
      <c r="O306" s="12">
        <f t="shared" si="24"/>
        <v>28.380000000000003</v>
      </c>
    </row>
    <row r="307" spans="2:15" ht="14.5" hidden="1" outlineLevel="1">
      <c r="B307" s="10" t="s">
        <v>3568</v>
      </c>
      <c r="C307" s="1321" t="s">
        <v>3558</v>
      </c>
      <c r="D307" s="153" t="s">
        <v>3569</v>
      </c>
      <c r="E307" s="36">
        <v>2870</v>
      </c>
      <c r="F307" s="36">
        <v>534</v>
      </c>
      <c r="G307" s="36">
        <v>55</v>
      </c>
      <c r="H307" s="151">
        <v>0.93400000000000005</v>
      </c>
      <c r="I307" s="151">
        <v>1.7000000000000001E-2</v>
      </c>
      <c r="J307" s="151">
        <v>2.4E-2</v>
      </c>
      <c r="K307" s="151">
        <v>2.5000000000000001E-2</v>
      </c>
      <c r="L307" s="11">
        <f t="shared" si="21"/>
        <v>498.75600000000003</v>
      </c>
      <c r="M307" s="11">
        <f t="shared" si="22"/>
        <v>9.0780000000000012</v>
      </c>
      <c r="N307" s="11">
        <f t="shared" si="23"/>
        <v>12.816000000000001</v>
      </c>
      <c r="O307" s="12">
        <f t="shared" si="24"/>
        <v>13.350000000000001</v>
      </c>
    </row>
    <row r="308" spans="2:15" ht="14.5" hidden="1" outlineLevel="1">
      <c r="B308" s="10" t="s">
        <v>3570</v>
      </c>
      <c r="C308" s="36" t="s">
        <v>3571</v>
      </c>
      <c r="D308" s="153" t="s">
        <v>3572</v>
      </c>
      <c r="E308" s="36">
        <v>12900</v>
      </c>
      <c r="F308" s="36">
        <v>2750</v>
      </c>
      <c r="G308" s="36">
        <v>1500</v>
      </c>
      <c r="H308" s="151">
        <v>0.38</v>
      </c>
      <c r="I308" s="151">
        <v>0.12</v>
      </c>
      <c r="J308" s="151">
        <v>1.2E-2</v>
      </c>
      <c r="K308" s="151">
        <v>0.48</v>
      </c>
      <c r="L308" s="11">
        <f t="shared" si="21"/>
        <v>1045</v>
      </c>
      <c r="M308" s="11">
        <f t="shared" si="22"/>
        <v>330</v>
      </c>
      <c r="N308" s="11">
        <f t="shared" si="23"/>
        <v>33</v>
      </c>
      <c r="O308" s="12">
        <f t="shared" si="24"/>
        <v>1320</v>
      </c>
    </row>
    <row r="309" spans="2:15" ht="14.5" hidden="1" outlineLevel="1">
      <c r="B309" s="10" t="s">
        <v>3573</v>
      </c>
      <c r="C309" s="1321" t="s">
        <v>3450</v>
      </c>
      <c r="D309" s="153" t="s">
        <v>3574</v>
      </c>
      <c r="E309" s="36">
        <v>14200</v>
      </c>
      <c r="F309" s="36">
        <v>2203</v>
      </c>
      <c r="G309" s="36">
        <v>469</v>
      </c>
      <c r="H309" s="151">
        <v>0.34899999999999998</v>
      </c>
      <c r="I309" s="151">
        <v>0.115</v>
      </c>
      <c r="J309" s="151">
        <v>6.0000000000000001E-3</v>
      </c>
      <c r="K309" s="151">
        <v>0.53100000000000003</v>
      </c>
      <c r="L309" s="11">
        <f t="shared" si="21"/>
        <v>768.84699999999998</v>
      </c>
      <c r="M309" s="11">
        <f t="shared" si="22"/>
        <v>253.345</v>
      </c>
      <c r="N309" s="11">
        <f t="shared" si="23"/>
        <v>13.218</v>
      </c>
      <c r="O309" s="12">
        <f t="shared" si="24"/>
        <v>1169.7930000000001</v>
      </c>
    </row>
    <row r="310" spans="2:15" ht="14.5" hidden="1" outlineLevel="1">
      <c r="B310" s="10" t="s">
        <v>3575</v>
      </c>
      <c r="C310" s="1321" t="s">
        <v>3450</v>
      </c>
      <c r="D310" s="153" t="s">
        <v>3576</v>
      </c>
      <c r="E310" s="36">
        <v>6500</v>
      </c>
      <c r="F310" s="36">
        <v>2450</v>
      </c>
      <c r="G310" s="36">
        <v>2200</v>
      </c>
      <c r="H310" s="151">
        <v>0.37</v>
      </c>
      <c r="I310" s="151">
        <v>0.06</v>
      </c>
      <c r="J310" s="151">
        <v>0.01</v>
      </c>
      <c r="K310" s="151">
        <v>0.56000000000000005</v>
      </c>
      <c r="L310" s="11">
        <f t="shared" si="21"/>
        <v>906.5</v>
      </c>
      <c r="M310" s="11">
        <f t="shared" si="22"/>
        <v>147</v>
      </c>
      <c r="N310" s="11">
        <f t="shared" si="23"/>
        <v>24.5</v>
      </c>
      <c r="O310" s="12">
        <f t="shared" si="24"/>
        <v>1372.0000000000002</v>
      </c>
    </row>
    <row r="311" spans="2:15" ht="14.5" hidden="1" outlineLevel="1">
      <c r="B311" s="10" t="s">
        <v>3577</v>
      </c>
      <c r="C311" s="1321" t="s">
        <v>3450</v>
      </c>
      <c r="D311" s="153" t="s">
        <v>3578</v>
      </c>
      <c r="E311" s="1321">
        <v>2078</v>
      </c>
      <c r="F311" s="36">
        <v>816</v>
      </c>
      <c r="G311" s="36"/>
      <c r="H311" s="151">
        <v>0.77400000000000002</v>
      </c>
      <c r="I311" s="151">
        <v>0.223</v>
      </c>
      <c r="J311" s="151">
        <v>0</v>
      </c>
      <c r="K311" s="151">
        <v>3.0000000000000001E-3</v>
      </c>
      <c r="L311" s="11">
        <f t="shared" si="21"/>
        <v>631.58400000000006</v>
      </c>
      <c r="M311" s="11">
        <f t="shared" si="22"/>
        <v>181.96799999999999</v>
      </c>
      <c r="N311" s="11">
        <f t="shared" si="23"/>
        <v>0</v>
      </c>
      <c r="O311" s="12">
        <f t="shared" si="24"/>
        <v>2.448</v>
      </c>
    </row>
    <row r="312" spans="2:15" ht="14.5" hidden="1" outlineLevel="1">
      <c r="B312" s="10" t="s">
        <v>3579</v>
      </c>
      <c r="C312" s="1321" t="s">
        <v>3580</v>
      </c>
      <c r="D312" s="153" t="s">
        <v>3581</v>
      </c>
      <c r="E312" s="36">
        <v>62</v>
      </c>
      <c r="F312" s="1321" t="s">
        <v>3665</v>
      </c>
      <c r="G312" s="36"/>
      <c r="H312" s="151">
        <v>0.49</v>
      </c>
      <c r="I312" s="151">
        <v>0.39600000000000002</v>
      </c>
      <c r="J312" s="151">
        <v>0.113</v>
      </c>
      <c r="K312" s="151">
        <v>1E-3</v>
      </c>
      <c r="L312" s="11"/>
      <c r="M312" s="11"/>
      <c r="N312" s="11"/>
      <c r="O312" s="12"/>
    </row>
    <row r="313" spans="2:15" ht="14.5" hidden="1" outlineLevel="1">
      <c r="B313" s="10" t="s">
        <v>3582</v>
      </c>
      <c r="C313" s="1321" t="s">
        <v>3580</v>
      </c>
      <c r="D313" s="153" t="s">
        <v>3583</v>
      </c>
      <c r="E313" s="36">
        <v>75</v>
      </c>
      <c r="F313" s="36">
        <v>35</v>
      </c>
      <c r="G313" s="36"/>
      <c r="H313" s="151">
        <v>0.54</v>
      </c>
      <c r="I313" s="151">
        <v>0.4</v>
      </c>
      <c r="J313" s="151">
        <v>0.06</v>
      </c>
      <c r="K313" s="151">
        <v>0</v>
      </c>
      <c r="L313" s="11">
        <f t="shared" si="21"/>
        <v>18.900000000000002</v>
      </c>
      <c r="M313" s="11">
        <f t="shared" si="22"/>
        <v>14</v>
      </c>
      <c r="N313" s="11">
        <f t="shared" si="23"/>
        <v>2.1</v>
      </c>
      <c r="O313" s="12">
        <f t="shared" si="24"/>
        <v>0</v>
      </c>
    </row>
    <row r="314" spans="2:15" ht="14.5" hidden="1" outlineLevel="1">
      <c r="B314" s="10" t="s">
        <v>3584</v>
      </c>
      <c r="C314" s="1321" t="s">
        <v>3580</v>
      </c>
      <c r="D314" s="153" t="s">
        <v>3585</v>
      </c>
      <c r="E314" s="36">
        <v>76</v>
      </c>
      <c r="F314" s="36">
        <v>43.5</v>
      </c>
      <c r="G314" s="36"/>
      <c r="H314" s="151">
        <v>0.5</v>
      </c>
      <c r="I314" s="151">
        <v>0.38</v>
      </c>
      <c r="J314" s="151">
        <v>0.12</v>
      </c>
      <c r="K314" s="151">
        <v>0</v>
      </c>
      <c r="L314" s="11">
        <f t="shared" si="21"/>
        <v>21.75</v>
      </c>
      <c r="M314" s="11">
        <f t="shared" si="22"/>
        <v>16.53</v>
      </c>
      <c r="N314" s="11">
        <f t="shared" si="23"/>
        <v>5.22</v>
      </c>
      <c r="O314" s="12">
        <f t="shared" si="24"/>
        <v>0</v>
      </c>
    </row>
    <row r="315" spans="2:15" ht="14.5" hidden="1" outlineLevel="1">
      <c r="B315" s="10" t="s">
        <v>3586</v>
      </c>
      <c r="C315" s="1321" t="s">
        <v>3587</v>
      </c>
      <c r="D315" s="153" t="s">
        <v>3588</v>
      </c>
      <c r="E315" s="36">
        <v>2192</v>
      </c>
      <c r="F315" s="36">
        <v>2010</v>
      </c>
      <c r="G315" s="36">
        <v>1070</v>
      </c>
      <c r="H315" s="151">
        <v>0.8</v>
      </c>
      <c r="I315" s="151">
        <v>7.0000000000000007E-2</v>
      </c>
      <c r="J315" s="151">
        <v>0.01</v>
      </c>
      <c r="K315" s="151">
        <v>0.12</v>
      </c>
      <c r="L315" s="11">
        <f t="shared" si="21"/>
        <v>1608</v>
      </c>
      <c r="M315" s="11">
        <f t="shared" si="22"/>
        <v>140.70000000000002</v>
      </c>
      <c r="N315" s="11">
        <f t="shared" si="23"/>
        <v>20.100000000000001</v>
      </c>
      <c r="O315" s="12">
        <f t="shared" si="24"/>
        <v>241.2</v>
      </c>
    </row>
    <row r="316" spans="2:15" ht="28.5" hidden="1" outlineLevel="1">
      <c r="B316" s="10" t="s">
        <v>3589</v>
      </c>
      <c r="C316" s="36" t="s">
        <v>3590</v>
      </c>
      <c r="D316" s="153" t="s">
        <v>3591</v>
      </c>
      <c r="E316" s="36">
        <v>396</v>
      </c>
      <c r="F316" s="36">
        <v>93</v>
      </c>
      <c r="G316" s="36"/>
      <c r="H316" s="151">
        <v>0.79</v>
      </c>
      <c r="I316" s="151">
        <v>4.0000000000000001E-3</v>
      </c>
      <c r="J316" s="151">
        <v>6.0000000000000001E-3</v>
      </c>
      <c r="K316" s="151">
        <v>0.2</v>
      </c>
      <c r="L316" s="11">
        <f t="shared" si="21"/>
        <v>73.47</v>
      </c>
      <c r="M316" s="11">
        <f t="shared" si="22"/>
        <v>0.372</v>
      </c>
      <c r="N316" s="11">
        <f t="shared" si="23"/>
        <v>0.55800000000000005</v>
      </c>
      <c r="O316" s="12">
        <f t="shared" si="24"/>
        <v>18.600000000000001</v>
      </c>
    </row>
    <row r="317" spans="2:15" ht="43" hidden="1" outlineLevel="1" thickBot="1">
      <c r="B317" s="13" t="s">
        <v>3592</v>
      </c>
      <c r="C317" s="31" t="s">
        <v>3593</v>
      </c>
      <c r="D317" s="154" t="s">
        <v>3594</v>
      </c>
      <c r="E317" s="31">
        <v>5779</v>
      </c>
      <c r="F317" s="1405">
        <v>1000</v>
      </c>
      <c r="G317" s="152"/>
      <c r="H317" s="152">
        <v>0.93</v>
      </c>
      <c r="I317" s="152">
        <v>0.04</v>
      </c>
      <c r="J317" s="152">
        <v>0</v>
      </c>
      <c r="K317" s="152">
        <v>0.03</v>
      </c>
      <c r="L317" s="14">
        <f>$F317*H317</f>
        <v>930</v>
      </c>
      <c r="M317" s="14">
        <f t="shared" si="22"/>
        <v>40</v>
      </c>
      <c r="N317" s="14">
        <f t="shared" si="23"/>
        <v>0</v>
      </c>
      <c r="O317" s="15">
        <f t="shared" si="24"/>
        <v>30</v>
      </c>
    </row>
    <row r="318" spans="2:15" hidden="1" outlineLevel="1"/>
    <row r="319" spans="2:15" hidden="1" outlineLevel="1">
      <c r="B319" s="1251" t="s">
        <v>3666</v>
      </c>
    </row>
    <row r="320" spans="2:15" ht="14.5" hidden="1" outlineLevel="1" thickBot="1"/>
    <row r="321" spans="1:15" ht="14.5" hidden="1" outlineLevel="1">
      <c r="A321" s="1251"/>
      <c r="B321" s="123" t="s">
        <v>3667</v>
      </c>
      <c r="C321" s="118" t="s">
        <v>3668</v>
      </c>
      <c r="D321" s="138" t="s">
        <v>3669</v>
      </c>
      <c r="E321" s="118" t="s">
        <v>129</v>
      </c>
      <c r="F321" s="119" t="s">
        <v>3670</v>
      </c>
    </row>
    <row r="322" spans="1:15" ht="15" hidden="1" outlineLevel="1" thickBot="1">
      <c r="B322" s="13" t="s">
        <v>3457</v>
      </c>
      <c r="C322" s="14">
        <v>2</v>
      </c>
      <c r="D322" s="14">
        <v>1</v>
      </c>
      <c r="E322" s="14">
        <v>0</v>
      </c>
      <c r="F322" s="15">
        <v>7</v>
      </c>
    </row>
    <row r="323" spans="1:15" hidden="1" outlineLevel="1">
      <c r="C323" s="1251"/>
    </row>
    <row r="324" spans="1:15" hidden="1" outlineLevel="1">
      <c r="B324" s="1251" t="s">
        <v>3671</v>
      </c>
      <c r="C324" s="1251"/>
    </row>
    <row r="325" spans="1:15" hidden="1" outlineLevel="1">
      <c r="B325" s="1251" t="s">
        <v>3672</v>
      </c>
      <c r="C325" s="1251"/>
    </row>
    <row r="326" spans="1:15" hidden="1" outlineLevel="1">
      <c r="B326" s="1251"/>
      <c r="C326" s="1251"/>
    </row>
    <row r="327" spans="1:15" ht="14.5" hidden="1" outlineLevel="1" thickBot="1">
      <c r="B327" s="1251" t="s">
        <v>3673</v>
      </c>
      <c r="C327" s="1251"/>
    </row>
    <row r="328" spans="1:15" ht="14.5" hidden="1" outlineLevel="1">
      <c r="B328" s="1635" t="s">
        <v>3667</v>
      </c>
      <c r="C328" s="1640" t="s">
        <v>3674</v>
      </c>
      <c r="D328" s="1640"/>
      <c r="E328" s="1640"/>
      <c r="F328" s="1640"/>
      <c r="G328" s="1640"/>
      <c r="H328" s="1640" t="s">
        <v>3675</v>
      </c>
      <c r="I328" s="1640"/>
      <c r="J328" s="1642" t="s">
        <v>3676</v>
      </c>
      <c r="K328" s="1640" t="s">
        <v>3677</v>
      </c>
      <c r="L328" s="1640"/>
      <c r="M328" s="1640"/>
      <c r="N328" s="1640"/>
      <c r="O328" s="1641"/>
    </row>
    <row r="329" spans="1:15" ht="14.5" hidden="1" outlineLevel="1">
      <c r="B329" s="1636"/>
      <c r="C329" s="188" t="s">
        <v>3668</v>
      </c>
      <c r="D329" s="189" t="s">
        <v>3669</v>
      </c>
      <c r="E329" s="188" t="s">
        <v>129</v>
      </c>
      <c r="F329" s="188" t="s">
        <v>3678</v>
      </c>
      <c r="G329" s="188" t="s">
        <v>3679</v>
      </c>
      <c r="H329" s="188" t="s">
        <v>3668</v>
      </c>
      <c r="I329" s="188" t="s">
        <v>2167</v>
      </c>
      <c r="J329" s="1643"/>
      <c r="K329" s="188" t="s">
        <v>3668</v>
      </c>
      <c r="L329" s="189" t="s">
        <v>2885</v>
      </c>
      <c r="M329" s="188" t="s">
        <v>129</v>
      </c>
      <c r="N329" s="188" t="s">
        <v>3678</v>
      </c>
      <c r="O329" s="191" t="s">
        <v>83</v>
      </c>
    </row>
    <row r="330" spans="1:15" ht="14.5" hidden="1" outlineLevel="1">
      <c r="A330" s="1251"/>
      <c r="B330" s="10" t="s">
        <v>3449</v>
      </c>
      <c r="C330" s="11">
        <f>AVERAGE(L302:L304,L306:L307)</f>
        <v>453.32119999999998</v>
      </c>
      <c r="D330" s="11">
        <f>AVERAGE(M302:M304,M306:M307)</f>
        <v>99.537199999999984</v>
      </c>
      <c r="E330" s="11">
        <f>AVERAGE(N302:N304,N306:N307)</f>
        <v>8.14</v>
      </c>
      <c r="F330" s="11">
        <f>AVERAGE(O302:O304,O306:O307)</f>
        <v>35.4816</v>
      </c>
      <c r="G330" s="21"/>
      <c r="H330" s="190">
        <f>90%*AVERAGE(G302:G307)</f>
        <v>154.94999999999999</v>
      </c>
      <c r="I330" s="11">
        <f>10%*AVERAGE(G302:G307)</f>
        <v>17.216666666666665</v>
      </c>
      <c r="J330" s="193">
        <f>O374+P374</f>
        <v>0.29318340013158356</v>
      </c>
      <c r="K330" s="11">
        <f>C330*(1-$J330)+H330*$J330</f>
        <v>365.84371708265917</v>
      </c>
      <c r="L330" s="11">
        <f>D330*(1-$J330)</f>
        <v>70.354545264422526</v>
      </c>
      <c r="M330" s="11">
        <f>E330*(1-$J330)+I330*$J330</f>
        <v>10.801127995194339</v>
      </c>
      <c r="N330" s="11">
        <f>F330*(1-$J330)</f>
        <v>25.078983869891204</v>
      </c>
      <c r="O330" s="196">
        <f>SUM(K330:N330)</f>
        <v>472.07837421216726</v>
      </c>
    </row>
    <row r="331" spans="1:15" ht="14.5" hidden="1" outlineLevel="1">
      <c r="B331" s="10" t="s">
        <v>3450</v>
      </c>
      <c r="C331" s="11">
        <f>AVERAGE(L308:L311)</f>
        <v>837.9827499999999</v>
      </c>
      <c r="D331" s="11">
        <f>AVERAGE(M308:M311)</f>
        <v>228.07825</v>
      </c>
      <c r="E331" s="11">
        <f>AVERAGE(N308:N311)</f>
        <v>17.679500000000001</v>
      </c>
      <c r="F331" s="11">
        <f>AVERAGE(O308:O311)</f>
        <v>966.06025000000011</v>
      </c>
      <c r="G331" s="21"/>
      <c r="H331" s="190">
        <f>90%*AVERAGE(G308:G310)</f>
        <v>1250.7</v>
      </c>
      <c r="I331" s="11">
        <f>10%*AVERAGE(G308:G310)</f>
        <v>138.96666666666667</v>
      </c>
      <c r="J331" s="193">
        <f>O375+P375</f>
        <v>0.44758505101774215</v>
      </c>
      <c r="K331" s="11">
        <f t="shared" ref="K331:K341" si="25">C331*(1-$J331)+H331*$J331</f>
        <v>1022.7088213971522</v>
      </c>
      <c r="L331" s="11">
        <f t="shared" ref="L331:L341" si="26">D331*(1-$J331)</f>
        <v>125.99383483771265</v>
      </c>
      <c r="M331" s="11">
        <f t="shared" ref="M331:M341" si="27">E331*(1-$J331)+I331*$J331</f>
        <v>71.965822680297393</v>
      </c>
      <c r="N331" s="11">
        <f t="shared" ref="N331:N341" si="28">F331*(1-$J331)</f>
        <v>533.66612371753729</v>
      </c>
      <c r="O331" s="196">
        <f t="shared" ref="O331:O341" si="29">SUM(K331:N331)</f>
        <v>1754.3346026326994</v>
      </c>
    </row>
    <row r="332" spans="1:15" ht="14.5" hidden="1" outlineLevel="1">
      <c r="B332" s="10" t="s">
        <v>3451</v>
      </c>
      <c r="C332" s="11">
        <f>L317</f>
        <v>930</v>
      </c>
      <c r="D332" s="11">
        <f>M317</f>
        <v>40</v>
      </c>
      <c r="E332" s="11">
        <f>N317</f>
        <v>0</v>
      </c>
      <c r="F332" s="11">
        <f>O317</f>
        <v>30</v>
      </c>
      <c r="G332" s="21"/>
      <c r="H332" s="190">
        <f>90%*F317</f>
        <v>900</v>
      </c>
      <c r="I332" s="190">
        <f>10%*F317</f>
        <v>100</v>
      </c>
      <c r="J332" s="193">
        <f>O376+P376</f>
        <v>5.9402639337357852E-3</v>
      </c>
      <c r="K332" s="11">
        <f t="shared" si="25"/>
        <v>929.82179208198784</v>
      </c>
      <c r="L332" s="11">
        <f t="shared" si="26"/>
        <v>39.762389442650566</v>
      </c>
      <c r="M332" s="11">
        <f t="shared" si="27"/>
        <v>0.59402639337357854</v>
      </c>
      <c r="N332" s="11">
        <f t="shared" si="28"/>
        <v>29.821792081987926</v>
      </c>
      <c r="O332" s="196">
        <f t="shared" si="29"/>
        <v>1000</v>
      </c>
    </row>
    <row r="333" spans="1:15" ht="14.5" hidden="1" outlineLevel="1">
      <c r="B333" s="10" t="s">
        <v>3452</v>
      </c>
      <c r="C333" s="11">
        <f>L317</f>
        <v>930</v>
      </c>
      <c r="D333" s="11">
        <f>M317</f>
        <v>40</v>
      </c>
      <c r="E333" s="11">
        <f>N317</f>
        <v>0</v>
      </c>
      <c r="F333" s="11">
        <f>O317</f>
        <v>30</v>
      </c>
      <c r="G333" s="21"/>
      <c r="H333" s="190">
        <f>90%*F317</f>
        <v>900</v>
      </c>
      <c r="I333" s="21">
        <f>10%*F317</f>
        <v>100</v>
      </c>
      <c r="J333" s="193">
        <f>O378+P378</f>
        <v>0.11977687918720817</v>
      </c>
      <c r="K333" s="11">
        <f t="shared" si="25"/>
        <v>926.40669362438382</v>
      </c>
      <c r="L333" s="11">
        <f t="shared" si="26"/>
        <v>35.208924832511677</v>
      </c>
      <c r="M333" s="11">
        <f t="shared" si="27"/>
        <v>11.977687918720816</v>
      </c>
      <c r="N333" s="11">
        <f t="shared" si="28"/>
        <v>26.406693624383756</v>
      </c>
      <c r="O333" s="196">
        <f t="shared" si="29"/>
        <v>1000</v>
      </c>
    </row>
    <row r="334" spans="1:15" ht="14.5" hidden="1" outlineLevel="1">
      <c r="B334" s="10" t="s">
        <v>3453</v>
      </c>
      <c r="C334" s="1307">
        <f>C330</f>
        <v>453.32119999999998</v>
      </c>
      <c r="D334" s="11">
        <f>D330</f>
        <v>99.537199999999984</v>
      </c>
      <c r="E334" s="11">
        <f>E330</f>
        <v>8.14</v>
      </c>
      <c r="F334" s="11">
        <f>F330</f>
        <v>35.4816</v>
      </c>
      <c r="G334" s="1266" t="s">
        <v>3680</v>
      </c>
      <c r="H334" s="136">
        <f>H330</f>
        <v>154.94999999999999</v>
      </c>
      <c r="I334" s="136">
        <f>I330</f>
        <v>17.216666666666665</v>
      </c>
      <c r="J334" s="193">
        <f>O380+P380</f>
        <v>0.38000229286683918</v>
      </c>
      <c r="K334" s="11">
        <f t="shared" si="25"/>
        <v>339.93945987456976</v>
      </c>
      <c r="L334" s="11">
        <f t="shared" si="26"/>
        <v>61.712835774454845</v>
      </c>
      <c r="M334" s="11">
        <f t="shared" si="27"/>
        <v>11.589154144921345</v>
      </c>
      <c r="N334" s="11">
        <f t="shared" si="28"/>
        <v>21.998510645415958</v>
      </c>
      <c r="O334" s="196">
        <f t="shared" si="29"/>
        <v>435.23996043936188</v>
      </c>
    </row>
    <row r="335" spans="1:15" ht="14.5" hidden="1" outlineLevel="1">
      <c r="B335" s="10" t="s">
        <v>3454</v>
      </c>
      <c r="C335" s="1307">
        <f>C330</f>
        <v>453.32119999999998</v>
      </c>
      <c r="D335" s="11">
        <f>D330</f>
        <v>99.537199999999984</v>
      </c>
      <c r="E335" s="1307">
        <f>E330</f>
        <v>8.14</v>
      </c>
      <c r="F335" s="11">
        <f>F330</f>
        <v>35.4816</v>
      </c>
      <c r="G335" s="1266" t="s">
        <v>3680</v>
      </c>
      <c r="H335" s="136">
        <f>H330</f>
        <v>154.94999999999999</v>
      </c>
      <c r="I335" s="136">
        <f>I330</f>
        <v>17.216666666666665</v>
      </c>
      <c r="J335" s="193">
        <f>O380+P380</f>
        <v>0.38000229286683918</v>
      </c>
      <c r="K335" s="11">
        <f t="shared" si="25"/>
        <v>339.93945987456976</v>
      </c>
      <c r="L335" s="11">
        <f t="shared" si="26"/>
        <v>61.712835774454845</v>
      </c>
      <c r="M335" s="11">
        <f t="shared" si="27"/>
        <v>11.589154144921345</v>
      </c>
      <c r="N335" s="11">
        <f t="shared" si="28"/>
        <v>21.998510645415958</v>
      </c>
      <c r="O335" s="196">
        <f t="shared" si="29"/>
        <v>435.23996043936188</v>
      </c>
    </row>
    <row r="336" spans="1:15" ht="14.5" hidden="1" outlineLevel="1">
      <c r="B336" s="10" t="s">
        <v>3455</v>
      </c>
      <c r="C336" s="11">
        <f t="shared" ref="C336:F337" si="30">C338</f>
        <v>2</v>
      </c>
      <c r="D336" s="11">
        <f t="shared" si="30"/>
        <v>1</v>
      </c>
      <c r="E336" s="11">
        <f t="shared" si="30"/>
        <v>0</v>
      </c>
      <c r="F336" s="11">
        <f t="shared" si="30"/>
        <v>7</v>
      </c>
      <c r="G336" s="1266" t="s">
        <v>3681</v>
      </c>
      <c r="H336" s="136">
        <f>C336</f>
        <v>2</v>
      </c>
      <c r="I336" s="136">
        <f>D336</f>
        <v>1</v>
      </c>
      <c r="J336" s="193">
        <f>O379+P379</f>
        <v>0.45652903149679303</v>
      </c>
      <c r="K336" s="11">
        <f t="shared" si="25"/>
        <v>2</v>
      </c>
      <c r="L336" s="11">
        <f t="shared" si="26"/>
        <v>0.54347096850320697</v>
      </c>
      <c r="M336" s="11">
        <f t="shared" si="27"/>
        <v>0.45652903149679303</v>
      </c>
      <c r="N336" s="11">
        <f t="shared" si="28"/>
        <v>3.8042967795224487</v>
      </c>
      <c r="O336" s="196">
        <f t="shared" si="29"/>
        <v>6.8042967795224492</v>
      </c>
    </row>
    <row r="337" spans="2:15" ht="14.5" hidden="1" outlineLevel="1">
      <c r="B337" s="10" t="s">
        <v>3456</v>
      </c>
      <c r="C337" s="11">
        <f t="shared" si="30"/>
        <v>20.325000000000003</v>
      </c>
      <c r="D337" s="11">
        <f t="shared" si="30"/>
        <v>15.265000000000001</v>
      </c>
      <c r="E337" s="11">
        <f t="shared" si="30"/>
        <v>3.66</v>
      </c>
      <c r="F337" s="11">
        <f t="shared" si="30"/>
        <v>0</v>
      </c>
      <c r="G337" s="1266" t="s">
        <v>3682</v>
      </c>
      <c r="H337" s="136">
        <f>C337</f>
        <v>20.325000000000003</v>
      </c>
      <c r="I337" s="136">
        <f>E337</f>
        <v>3.66</v>
      </c>
      <c r="J337" s="193">
        <f>O379+P379</f>
        <v>0.45652903149679303</v>
      </c>
      <c r="K337" s="11">
        <f t="shared" si="25"/>
        <v>20.325000000000003</v>
      </c>
      <c r="L337" s="11">
        <f t="shared" si="26"/>
        <v>8.2960843342014545</v>
      </c>
      <c r="M337" s="11">
        <f t="shared" si="27"/>
        <v>3.66</v>
      </c>
      <c r="N337" s="11">
        <f t="shared" si="28"/>
        <v>0</v>
      </c>
      <c r="O337" s="196">
        <f t="shared" si="29"/>
        <v>32.281084334201452</v>
      </c>
    </row>
    <row r="338" spans="2:15" ht="14.5" hidden="1" outlineLevel="1">
      <c r="B338" s="10" t="s">
        <v>3457</v>
      </c>
      <c r="C338" s="11">
        <f>C322</f>
        <v>2</v>
      </c>
      <c r="D338" s="11">
        <f>D322</f>
        <v>1</v>
      </c>
      <c r="E338" s="11">
        <f>E322</f>
        <v>0</v>
      </c>
      <c r="F338" s="11">
        <f>F322</f>
        <v>7</v>
      </c>
      <c r="G338" s="21"/>
      <c r="H338" s="136">
        <f>C338</f>
        <v>2</v>
      </c>
      <c r="I338" s="136">
        <f>D338</f>
        <v>1</v>
      </c>
      <c r="J338" s="193">
        <f>O384+P384</f>
        <v>0.6131879918198716</v>
      </c>
      <c r="K338" s="11">
        <f t="shared" si="25"/>
        <v>2</v>
      </c>
      <c r="L338" s="11">
        <f t="shared" si="26"/>
        <v>0.3868120081801284</v>
      </c>
      <c r="M338" s="11">
        <f t="shared" si="27"/>
        <v>0.6131879918198716</v>
      </c>
      <c r="N338" s="11">
        <f t="shared" si="28"/>
        <v>2.7076840572608987</v>
      </c>
      <c r="O338" s="196">
        <f t="shared" si="29"/>
        <v>5.7076840572608987</v>
      </c>
    </row>
    <row r="339" spans="2:15" ht="14.5" hidden="1" outlineLevel="1">
      <c r="B339" s="10" t="s">
        <v>3458</v>
      </c>
      <c r="C339" s="11">
        <f>AVERAGE(L313:L314)</f>
        <v>20.325000000000003</v>
      </c>
      <c r="D339" s="11">
        <f>AVERAGE(M313:M314)</f>
        <v>15.265000000000001</v>
      </c>
      <c r="E339" s="11">
        <f>AVERAGE(N313:N314)</f>
        <v>3.66</v>
      </c>
      <c r="F339" s="11">
        <f>AVERAGE(O313:O314)</f>
        <v>0</v>
      </c>
      <c r="G339" s="21"/>
      <c r="H339" s="136">
        <f>C339</f>
        <v>20.325000000000003</v>
      </c>
      <c r="I339" s="136">
        <f>E339</f>
        <v>3.66</v>
      </c>
      <c r="J339" s="193">
        <f>O384+P384</f>
        <v>0.6131879918198716</v>
      </c>
      <c r="K339" s="11">
        <f t="shared" si="25"/>
        <v>20.325000000000003</v>
      </c>
      <c r="L339" s="11">
        <f t="shared" si="26"/>
        <v>5.9046853048696599</v>
      </c>
      <c r="M339" s="11">
        <f t="shared" si="27"/>
        <v>3.66</v>
      </c>
      <c r="N339" s="11">
        <f t="shared" si="28"/>
        <v>0</v>
      </c>
      <c r="O339" s="196">
        <f t="shared" si="29"/>
        <v>29.889685304869662</v>
      </c>
    </row>
    <row r="340" spans="2:15" ht="14.5" hidden="1" outlineLevel="1">
      <c r="B340" s="10" t="s">
        <v>3459</v>
      </c>
      <c r="C340" s="11">
        <f>C330</f>
        <v>453.32119999999998</v>
      </c>
      <c r="D340" s="11">
        <f>D330</f>
        <v>99.537199999999984</v>
      </c>
      <c r="E340" s="1307">
        <f>E330</f>
        <v>8.14</v>
      </c>
      <c r="F340" s="11">
        <f>F330</f>
        <v>35.4816</v>
      </c>
      <c r="G340" s="1266" t="s">
        <v>3680</v>
      </c>
      <c r="H340" s="136">
        <f>H330</f>
        <v>154.94999999999999</v>
      </c>
      <c r="I340" s="136">
        <f>I330</f>
        <v>17.216666666666665</v>
      </c>
      <c r="J340" s="193">
        <f>O380+P380</f>
        <v>0.38000229286683918</v>
      </c>
      <c r="K340" s="11">
        <f t="shared" si="25"/>
        <v>339.93945987456976</v>
      </c>
      <c r="L340" s="11">
        <f t="shared" si="26"/>
        <v>61.712835774454845</v>
      </c>
      <c r="M340" s="11">
        <f t="shared" si="27"/>
        <v>11.589154144921345</v>
      </c>
      <c r="N340" s="11">
        <f t="shared" si="28"/>
        <v>21.998510645415958</v>
      </c>
      <c r="O340" s="196">
        <f t="shared" si="29"/>
        <v>435.23996043936188</v>
      </c>
    </row>
    <row r="341" spans="2:15" ht="15" hidden="1" outlineLevel="1" thickBot="1">
      <c r="B341" s="13" t="s">
        <v>3460</v>
      </c>
      <c r="C341" s="14">
        <f>AVERAGE(L315)</f>
        <v>1608</v>
      </c>
      <c r="D341" s="14">
        <f>AVERAGE(M315)</f>
        <v>140.70000000000002</v>
      </c>
      <c r="E341" s="14">
        <f>AVERAGE(N315)</f>
        <v>20.100000000000001</v>
      </c>
      <c r="F341" s="14">
        <f>AVERAGE(O315)</f>
        <v>241.2</v>
      </c>
      <c r="G341" s="22"/>
      <c r="H341" s="37">
        <f>G315*90%</f>
        <v>963</v>
      </c>
      <c r="I341" s="22">
        <f>G315*10%</f>
        <v>107</v>
      </c>
      <c r="J341" s="194">
        <f>O380+P380</f>
        <v>0.38000229286683918</v>
      </c>
      <c r="K341" s="14">
        <f t="shared" si="25"/>
        <v>1362.8985211008887</v>
      </c>
      <c r="L341" s="14">
        <f t="shared" si="26"/>
        <v>87.233677393635745</v>
      </c>
      <c r="M341" s="14">
        <f t="shared" si="27"/>
        <v>53.122199250128325</v>
      </c>
      <c r="N341" s="14">
        <f t="shared" si="28"/>
        <v>149.54344696051839</v>
      </c>
      <c r="O341" s="197">
        <f t="shared" si="29"/>
        <v>1652.7978447051712</v>
      </c>
    </row>
    <row r="342" spans="2:15" hidden="1" outlineLevel="1">
      <c r="B342" s="1251"/>
      <c r="C342" s="1251"/>
      <c r="G342" s="1251"/>
    </row>
    <row r="343" spans="2:15" hidden="1" outlineLevel="1">
      <c r="C343" s="1251"/>
    </row>
    <row r="344" spans="2:15" ht="14.5" hidden="1" outlineLevel="1" thickBot="1">
      <c r="B344" t="s">
        <v>565</v>
      </c>
    </row>
    <row r="345" spans="2:15" ht="29" hidden="1" outlineLevel="1">
      <c r="B345" s="123"/>
      <c r="C345" s="118" t="s">
        <v>3256</v>
      </c>
      <c r="D345" s="158" t="s">
        <v>3683</v>
      </c>
      <c r="E345" s="158" t="s">
        <v>3684</v>
      </c>
      <c r="F345" s="158" t="s">
        <v>3685</v>
      </c>
      <c r="G345" s="159" t="s">
        <v>3686</v>
      </c>
    </row>
    <row r="346" spans="2:15" ht="14.5" hidden="1" outlineLevel="1">
      <c r="B346" s="10" t="s">
        <v>3449</v>
      </c>
      <c r="C346" s="11">
        <f t="shared" ref="C346:C357" si="31">D147</f>
        <v>235.08196721311478</v>
      </c>
      <c r="D346" s="11">
        <f t="shared" ref="D346:D357" si="32">$C346*K330</f>
        <v>86003.260704349726</v>
      </c>
      <c r="E346" s="11">
        <f t="shared" ref="E346:E357" si="33">$C346*L330</f>
        <v>16539.084903144576</v>
      </c>
      <c r="F346" s="11">
        <f t="shared" ref="F346:F357" si="34">$C346*M330</f>
        <v>2539.1504172309319</v>
      </c>
      <c r="G346" s="12">
        <f t="shared" ref="G346:G357" si="35">$C346*N330</f>
        <v>5895.6168638399986</v>
      </c>
    </row>
    <row r="347" spans="2:15" ht="14.5" hidden="1" outlineLevel="1">
      <c r="B347" s="10" t="s">
        <v>3450</v>
      </c>
      <c r="C347" s="11">
        <f t="shared" si="31"/>
        <v>215.24590163934428</v>
      </c>
      <c r="D347" s="11">
        <f t="shared" si="32"/>
        <v>220133.88237614115</v>
      </c>
      <c r="E347" s="11">
        <f t="shared" si="33"/>
        <v>27119.656580642088</v>
      </c>
      <c r="F347" s="11">
        <f t="shared" si="34"/>
        <v>15490.348390037785</v>
      </c>
      <c r="G347" s="12">
        <f t="shared" si="35"/>
        <v>114869.44597395517</v>
      </c>
    </row>
    <row r="348" spans="2:15" ht="14.5" hidden="1" outlineLevel="1">
      <c r="B348" s="10" t="s">
        <v>3451</v>
      </c>
      <c r="C348" s="11">
        <f t="shared" si="31"/>
        <v>78.852459016393453</v>
      </c>
      <c r="D348" s="11">
        <f t="shared" si="32"/>
        <v>73318.734752694465</v>
      </c>
      <c r="E348" s="11">
        <f t="shared" si="33"/>
        <v>3135.3621839204793</v>
      </c>
      <c r="F348" s="11">
        <f t="shared" si="34"/>
        <v>46.84044183814612</v>
      </c>
      <c r="G348" s="12">
        <f t="shared" si="35"/>
        <v>2351.5216379403596</v>
      </c>
    </row>
    <row r="349" spans="2:15" ht="14.5" hidden="1" outlineLevel="1">
      <c r="B349" s="10" t="s">
        <v>3452</v>
      </c>
      <c r="C349" s="11">
        <f t="shared" si="31"/>
        <v>38.196721311475414</v>
      </c>
      <c r="D349" s="11">
        <f t="shared" si="32"/>
        <v>35385.69829745598</v>
      </c>
      <c r="E349" s="11">
        <f t="shared" si="33"/>
        <v>1344.8654895041348</v>
      </c>
      <c r="F349" s="11">
        <f t="shared" si="34"/>
        <v>457.50840738720501</v>
      </c>
      <c r="G349" s="12">
        <f t="shared" si="35"/>
        <v>1008.649117128101</v>
      </c>
    </row>
    <row r="350" spans="2:15" ht="14.5" hidden="1" outlineLevel="1">
      <c r="B350" s="10" t="s">
        <v>3453</v>
      </c>
      <c r="C350" s="11">
        <f t="shared" si="31"/>
        <v>1002.8746016869729</v>
      </c>
      <c r="D350" s="11">
        <f t="shared" si="32"/>
        <v>340916.65041939385</v>
      </c>
      <c r="E350" s="11">
        <f t="shared" si="33"/>
        <v>61890.235596279977</v>
      </c>
      <c r="F350" s="11">
        <f t="shared" si="34"/>
        <v>11622.468346976924</v>
      </c>
      <c r="G350" s="12">
        <f t="shared" si="35"/>
        <v>22061.747601228162</v>
      </c>
    </row>
    <row r="351" spans="2:15" ht="14.5" hidden="1" outlineLevel="1">
      <c r="B351" s="10" t="s">
        <v>3454</v>
      </c>
      <c r="C351" s="11">
        <f t="shared" si="31"/>
        <v>35.799999999999997</v>
      </c>
      <c r="D351" s="11">
        <f t="shared" si="32"/>
        <v>12169.832663509596</v>
      </c>
      <c r="E351" s="11">
        <f t="shared" si="33"/>
        <v>2209.3195207254835</v>
      </c>
      <c r="F351" s="11">
        <f t="shared" si="34"/>
        <v>414.89171838818413</v>
      </c>
      <c r="G351" s="12">
        <f t="shared" si="35"/>
        <v>787.54668110589125</v>
      </c>
    </row>
    <row r="352" spans="2:15" ht="14.5" hidden="1" outlineLevel="1">
      <c r="B352" s="10" t="s">
        <v>3455</v>
      </c>
      <c r="C352" s="11">
        <f t="shared" si="31"/>
        <v>4524.8999999999996</v>
      </c>
      <c r="D352" s="11">
        <f t="shared" si="32"/>
        <v>9049.7999999999993</v>
      </c>
      <c r="E352" s="11">
        <f t="shared" si="33"/>
        <v>2459.1517853801611</v>
      </c>
      <c r="F352" s="11">
        <f t="shared" si="34"/>
        <v>2065.7482146198386</v>
      </c>
      <c r="G352" s="12">
        <f t="shared" si="35"/>
        <v>17214.062497661125</v>
      </c>
    </row>
    <row r="353" spans="2:7" ht="14.5" hidden="1" outlineLevel="1">
      <c r="B353" s="10" t="s">
        <v>3456</v>
      </c>
      <c r="C353" s="11">
        <f t="shared" si="31"/>
        <v>2714.9399999999996</v>
      </c>
      <c r="D353" s="11">
        <f t="shared" si="32"/>
        <v>55181.155500000001</v>
      </c>
      <c r="E353" s="11">
        <f t="shared" si="33"/>
        <v>22523.371202296894</v>
      </c>
      <c r="F353" s="11">
        <f t="shared" si="34"/>
        <v>9936.6803999999993</v>
      </c>
      <c r="G353" s="12">
        <f t="shared" si="35"/>
        <v>0</v>
      </c>
    </row>
    <row r="354" spans="2:7" ht="14.5" hidden="1" outlineLevel="1">
      <c r="B354" s="10" t="s">
        <v>3457</v>
      </c>
      <c r="C354" s="11">
        <f t="shared" si="31"/>
        <v>656.53971428571435</v>
      </c>
      <c r="D354" s="11">
        <f t="shared" si="32"/>
        <v>1313.0794285714287</v>
      </c>
      <c r="E354" s="11">
        <f t="shared" si="33"/>
        <v>253.95744533286489</v>
      </c>
      <c r="F354" s="11">
        <f t="shared" si="34"/>
        <v>402.58226895284946</v>
      </c>
      <c r="G354" s="12">
        <f t="shared" si="35"/>
        <v>1777.7021173300543</v>
      </c>
    </row>
    <row r="355" spans="2:7" ht="14.5" hidden="1" outlineLevel="1">
      <c r="B355" s="10" t="s">
        <v>3458</v>
      </c>
      <c r="C355" s="11">
        <f t="shared" si="31"/>
        <v>3520</v>
      </c>
      <c r="D355" s="11">
        <f t="shared" si="32"/>
        <v>71544.000000000015</v>
      </c>
      <c r="E355" s="11">
        <f t="shared" si="33"/>
        <v>20784.492273141204</v>
      </c>
      <c r="F355" s="11">
        <f t="shared" si="34"/>
        <v>12883.2</v>
      </c>
      <c r="G355" s="12">
        <f t="shared" si="35"/>
        <v>0</v>
      </c>
    </row>
    <row r="356" spans="2:7" ht="14.5" hidden="1" outlineLevel="1">
      <c r="B356" s="10" t="s">
        <v>3459</v>
      </c>
      <c r="C356" s="11">
        <f t="shared" si="31"/>
        <v>12.9</v>
      </c>
      <c r="D356" s="11">
        <f t="shared" si="32"/>
        <v>4385.2190323819505</v>
      </c>
      <c r="E356" s="11">
        <f t="shared" si="33"/>
        <v>796.09558149046757</v>
      </c>
      <c r="F356" s="11">
        <f t="shared" si="34"/>
        <v>149.50008846948535</v>
      </c>
      <c r="G356" s="12">
        <f t="shared" si="35"/>
        <v>283.78078732586584</v>
      </c>
    </row>
    <row r="357" spans="2:7" ht="14.5" hidden="1" outlineLevel="1">
      <c r="B357" s="10" t="s">
        <v>3460</v>
      </c>
      <c r="C357" s="11">
        <f t="shared" si="31"/>
        <v>9.6</v>
      </c>
      <c r="D357" s="11">
        <f t="shared" si="32"/>
        <v>13083.825802568532</v>
      </c>
      <c r="E357" s="11">
        <f t="shared" si="33"/>
        <v>837.44330297890315</v>
      </c>
      <c r="F357" s="11">
        <f t="shared" si="34"/>
        <v>509.97311280123188</v>
      </c>
      <c r="G357" s="12">
        <f t="shared" si="35"/>
        <v>1435.6170908209765</v>
      </c>
    </row>
    <row r="358" spans="2:7" ht="15" hidden="1" outlineLevel="1" thickBot="1">
      <c r="B358" s="13" t="s">
        <v>83</v>
      </c>
      <c r="C358" s="14"/>
      <c r="D358" s="198">
        <f>SUM(D346:D357)</f>
        <v>922485.13897706673</v>
      </c>
      <c r="E358" s="198">
        <f>SUM(E346:E357)</f>
        <v>159893.03586483723</v>
      </c>
      <c r="F358" s="198">
        <f>SUM(F346:F357)</f>
        <v>56518.891806702588</v>
      </c>
      <c r="G358" s="199">
        <f>SUM(G346:G357)</f>
        <v>167685.69036833569</v>
      </c>
    </row>
    <row r="359" spans="2:7" hidden="1" outlineLevel="1"/>
    <row r="360" spans="2:7" hidden="1" outlineLevel="1"/>
    <row r="361" spans="2:7" ht="14.5" hidden="1" outlineLevel="1" thickBot="1">
      <c r="B361" s="1251" t="s">
        <v>3687</v>
      </c>
    </row>
    <row r="362" spans="2:7" ht="15" hidden="1" outlineLevel="1" thickBot="1">
      <c r="B362" s="20" t="s">
        <v>83</v>
      </c>
      <c r="C362" s="680">
        <v>1.0491219733943695</v>
      </c>
    </row>
    <row r="363" spans="2:7" hidden="1" outlineLevel="1"/>
    <row r="364" spans="2:7" collapsed="1"/>
    <row r="365" spans="2:7" ht="20">
      <c r="B365" s="216" t="s">
        <v>3688</v>
      </c>
    </row>
    <row r="367" spans="2:7" hidden="1" outlineLevel="1">
      <c r="B367" t="s">
        <v>3689</v>
      </c>
    </row>
    <row r="368" spans="2:7" hidden="1" outlineLevel="1"/>
    <row r="369" spans="2:17" hidden="1" outlineLevel="1">
      <c r="B369" s="3" t="s">
        <v>523</v>
      </c>
    </row>
    <row r="370" spans="2:17" hidden="1" outlineLevel="1">
      <c r="B370" s="1251" t="s">
        <v>2508</v>
      </c>
    </row>
    <row r="371" spans="2:17" hidden="1" outlineLevel="1"/>
    <row r="372" spans="2:17" ht="14.5" hidden="1" outlineLevel="1" thickBot="1">
      <c r="B372" s="1251"/>
      <c r="K372" s="1251"/>
    </row>
    <row r="373" spans="2:17" ht="14.5" hidden="1" outlineLevel="1">
      <c r="B373" s="123" t="s">
        <v>525</v>
      </c>
      <c r="C373" s="155" t="s">
        <v>526</v>
      </c>
      <c r="D373" s="155" t="s">
        <v>165</v>
      </c>
      <c r="E373" s="155" t="s">
        <v>175</v>
      </c>
      <c r="F373" s="155" t="s">
        <v>163</v>
      </c>
      <c r="G373" s="155" t="s">
        <v>169</v>
      </c>
      <c r="H373" s="155" t="s">
        <v>161</v>
      </c>
      <c r="I373" s="155" t="s">
        <v>153</v>
      </c>
      <c r="J373" s="155" t="s">
        <v>171</v>
      </c>
      <c r="K373" s="155" t="s">
        <v>527</v>
      </c>
      <c r="L373" s="155" t="s">
        <v>167</v>
      </c>
      <c r="M373" s="155" t="s">
        <v>173</v>
      </c>
      <c r="N373" s="155" t="s">
        <v>159</v>
      </c>
      <c r="O373" s="155" t="s">
        <v>154</v>
      </c>
      <c r="P373" s="155" t="s">
        <v>157</v>
      </c>
      <c r="Q373" s="156" t="s">
        <v>2510</v>
      </c>
    </row>
    <row r="374" spans="2:17" ht="14.5" hidden="1" outlineLevel="1">
      <c r="B374" s="10" t="s">
        <v>3690</v>
      </c>
      <c r="C374" s="11">
        <v>90181200</v>
      </c>
      <c r="D374" s="115">
        <v>2.3519764548086795E-4</v>
      </c>
      <c r="E374" s="115">
        <v>6.9923624332149931E-5</v>
      </c>
      <c r="F374" s="115">
        <v>6.7380947083708117E-3</v>
      </c>
      <c r="G374" s="115">
        <v>1.3698673675980281E-3</v>
      </c>
      <c r="H374" s="115">
        <v>2.1820938311471607E-2</v>
      </c>
      <c r="I374" s="115">
        <v>0.10884247796611247</v>
      </c>
      <c r="J374" s="115">
        <v>1.3883017776492312E-2</v>
      </c>
      <c r="K374" s="115">
        <v>6.220183136328819E-2</v>
      </c>
      <c r="L374" s="115">
        <v>0.32545950945399182</v>
      </c>
      <c r="M374" s="115">
        <v>1.5192496559439848E-3</v>
      </c>
      <c r="N374" s="115">
        <v>0.16467649199533418</v>
      </c>
      <c r="O374" s="115">
        <v>0.29288145720833109</v>
      </c>
      <c r="P374" s="115">
        <v>3.0194292325246561E-4</v>
      </c>
      <c r="Q374" s="161">
        <f>SUM(D374:P374)</f>
        <v>1</v>
      </c>
    </row>
    <row r="375" spans="2:17" ht="14.5" hidden="1" outlineLevel="1">
      <c r="B375" s="10" t="s">
        <v>3691</v>
      </c>
      <c r="C375" s="11">
        <v>90181300</v>
      </c>
      <c r="D375" s="115">
        <v>0</v>
      </c>
      <c r="E375" s="115">
        <v>3.4315992578386697E-5</v>
      </c>
      <c r="F375" s="115">
        <v>9.0698208263239027E-3</v>
      </c>
      <c r="G375" s="115">
        <v>8.0574990452614952E-3</v>
      </c>
      <c r="H375" s="115">
        <v>7.3311438690189755E-5</v>
      </c>
      <c r="I375" s="115">
        <v>8.307407860910003E-2</v>
      </c>
      <c r="J375" s="115">
        <v>1.093874257364225E-2</v>
      </c>
      <c r="K375" s="115">
        <v>2.8464595904490273E-2</v>
      </c>
      <c r="L375" s="115">
        <v>1.5727643325812411E-2</v>
      </c>
      <c r="M375" s="115">
        <v>4.5494687130436909E-5</v>
      </c>
      <c r="N375" s="115">
        <v>0.39692944657922846</v>
      </c>
      <c r="O375" s="115">
        <v>0.44751433927545942</v>
      </c>
      <c r="P375" s="115">
        <v>7.0711742282736221E-5</v>
      </c>
      <c r="Q375" s="161">
        <f t="shared" ref="Q375:Q384" si="36">SUM(D375:P375)</f>
        <v>1</v>
      </c>
    </row>
    <row r="376" spans="2:17" ht="14.5" hidden="1" outlineLevel="1">
      <c r="B376" s="10" t="s">
        <v>3692</v>
      </c>
      <c r="C376" s="11">
        <v>90181400</v>
      </c>
      <c r="D376" s="115">
        <v>0</v>
      </c>
      <c r="E376" s="115">
        <v>0</v>
      </c>
      <c r="F376" s="115">
        <v>3.3342692685666152E-4</v>
      </c>
      <c r="G376" s="115">
        <v>0.67994086059244696</v>
      </c>
      <c r="H376" s="115">
        <v>4.3871964060087041E-6</v>
      </c>
      <c r="I376" s="115">
        <v>2.9749578829145022E-2</v>
      </c>
      <c r="J376" s="115">
        <v>4.3871964060087041E-6</v>
      </c>
      <c r="K376" s="115">
        <v>1.486382142355749E-2</v>
      </c>
      <c r="L376" s="115">
        <v>0</v>
      </c>
      <c r="M376" s="115">
        <v>0</v>
      </c>
      <c r="N376" s="115">
        <v>0.26916327390144601</v>
      </c>
      <c r="O376" s="115">
        <v>5.9402639337357852E-3</v>
      </c>
      <c r="P376" s="115">
        <v>0</v>
      </c>
      <c r="Q376" s="161">
        <f t="shared" si="36"/>
        <v>1</v>
      </c>
    </row>
    <row r="377" spans="2:17" ht="29" hidden="1" outlineLevel="1">
      <c r="B377" s="10" t="s">
        <v>3693</v>
      </c>
      <c r="C377" s="11">
        <v>90182000</v>
      </c>
      <c r="D377" s="115">
        <v>1.5790197458360633E-2</v>
      </c>
      <c r="E377" s="115">
        <v>1.1324936701693078E-4</v>
      </c>
      <c r="F377" s="115">
        <v>4.1101430986644663E-2</v>
      </c>
      <c r="G377" s="115">
        <v>1.2376537966850292E-3</v>
      </c>
      <c r="H377" s="115">
        <v>6.948657590538824E-3</v>
      </c>
      <c r="I377" s="115">
        <v>7.9387806278868475E-2</v>
      </c>
      <c r="J377" s="115">
        <v>6.9219630968848339E-2</v>
      </c>
      <c r="K377" s="115">
        <v>2.2916818339926065E-2</v>
      </c>
      <c r="L377" s="115">
        <v>2.6775386059002919E-3</v>
      </c>
      <c r="M377" s="115">
        <v>7.684778476148874E-4</v>
      </c>
      <c r="N377" s="115">
        <v>0.21056293024647915</v>
      </c>
      <c r="O377" s="115">
        <v>0.40207569911261032</v>
      </c>
      <c r="P377" s="115">
        <v>0.1471999094005064</v>
      </c>
      <c r="Q377" s="161">
        <f t="shared" si="36"/>
        <v>1</v>
      </c>
    </row>
    <row r="378" spans="2:17" ht="29" hidden="1" outlineLevel="1">
      <c r="B378" s="10" t="s">
        <v>3694</v>
      </c>
      <c r="C378" s="1307">
        <v>90221200</v>
      </c>
      <c r="D378" s="115">
        <v>0</v>
      </c>
      <c r="E378" s="115">
        <v>8.6357617499386409E-5</v>
      </c>
      <c r="F378" s="115">
        <v>0</v>
      </c>
      <c r="G378" s="115">
        <v>5.0453680501055989E-2</v>
      </c>
      <c r="H378" s="115">
        <v>5.568551282789381E-3</v>
      </c>
      <c r="I378" s="115">
        <v>0.40939646630689375</v>
      </c>
      <c r="J378" s="115">
        <v>7.1964681249488671E-6</v>
      </c>
      <c r="K378" s="115">
        <v>1.3989555273420337E-2</v>
      </c>
      <c r="L378" s="115">
        <v>0.101333467667405</v>
      </c>
      <c r="M378" s="115">
        <v>0</v>
      </c>
      <c r="N378" s="115">
        <v>0.29938784569560306</v>
      </c>
      <c r="O378" s="115">
        <v>0.11928524678583008</v>
      </c>
      <c r="P378" s="115">
        <v>4.9163240137808581E-4</v>
      </c>
      <c r="Q378" s="161">
        <f t="shared" si="36"/>
        <v>1</v>
      </c>
    </row>
    <row r="379" spans="2:17" ht="14.5" hidden="1" outlineLevel="1">
      <c r="B379" s="10" t="s">
        <v>3695</v>
      </c>
      <c r="C379" s="1307">
        <v>90221300</v>
      </c>
      <c r="D379" s="115">
        <v>0</v>
      </c>
      <c r="E379" s="115">
        <v>3.9613306699705852E-4</v>
      </c>
      <c r="F379" s="115">
        <v>1.1799708378635786E-5</v>
      </c>
      <c r="G379" s="115">
        <v>8.4283631275969899E-6</v>
      </c>
      <c r="H379" s="115">
        <v>0</v>
      </c>
      <c r="I379" s="115">
        <v>8.0406584237275279E-4</v>
      </c>
      <c r="J379" s="115">
        <v>0</v>
      </c>
      <c r="K379" s="115">
        <v>1.1833421831146172E-3</v>
      </c>
      <c r="L379" s="115">
        <v>0.5409171744755451</v>
      </c>
      <c r="M379" s="115">
        <v>0</v>
      </c>
      <c r="N379" s="115">
        <v>1.500248636712264E-4</v>
      </c>
      <c r="O379" s="115">
        <v>0.45626438089458649</v>
      </c>
      <c r="P379" s="115">
        <v>2.6465060220654549E-4</v>
      </c>
      <c r="Q379" s="161">
        <f t="shared" si="36"/>
        <v>1</v>
      </c>
    </row>
    <row r="380" spans="2:17" ht="58" hidden="1" outlineLevel="1">
      <c r="B380" s="10" t="s">
        <v>3696</v>
      </c>
      <c r="C380" s="11">
        <v>90221400</v>
      </c>
      <c r="D380" s="115">
        <v>0</v>
      </c>
      <c r="E380" s="115">
        <v>0</v>
      </c>
      <c r="F380" s="115">
        <v>3.9622953681484316E-2</v>
      </c>
      <c r="G380" s="115">
        <v>6.9697940849246611E-4</v>
      </c>
      <c r="H380" s="115">
        <v>1.1705345766924874E-3</v>
      </c>
      <c r="I380" s="115">
        <v>0.36988762346957654</v>
      </c>
      <c r="J380" s="115">
        <v>2.7214766062444145E-3</v>
      </c>
      <c r="K380" s="115">
        <v>4.4523305167548641E-2</v>
      </c>
      <c r="L380" s="115">
        <v>3.9262739089992421E-2</v>
      </c>
      <c r="M380" s="115">
        <v>6.513826247593141E-7</v>
      </c>
      <c r="N380" s="115">
        <v>0.12211144375050483</v>
      </c>
      <c r="O380" s="115">
        <v>0.37774134377629959</v>
      </c>
      <c r="P380" s="115">
        <v>2.2609490905395793E-3</v>
      </c>
      <c r="Q380" s="161">
        <f t="shared" si="36"/>
        <v>0.99999999999999989</v>
      </c>
    </row>
    <row r="381" spans="2:17" ht="43.5" hidden="1" outlineLevel="1">
      <c r="B381" s="10" t="s">
        <v>3697</v>
      </c>
      <c r="C381" s="11">
        <v>90222100</v>
      </c>
      <c r="D381" s="115">
        <v>1.8164035210283638E-3</v>
      </c>
      <c r="E381" s="115">
        <v>0</v>
      </c>
      <c r="F381" s="115">
        <v>2.6687159424339808E-2</v>
      </c>
      <c r="G381" s="115">
        <v>3.4930836942853151E-3</v>
      </c>
      <c r="H381" s="115">
        <v>0</v>
      </c>
      <c r="I381" s="115">
        <v>9.5011876484560574E-3</v>
      </c>
      <c r="J381" s="115">
        <v>2.305435238228308E-2</v>
      </c>
      <c r="K381" s="115">
        <v>3.7725303898281403E-3</v>
      </c>
      <c r="L381" s="115">
        <v>6.8464440407992174E-3</v>
      </c>
      <c r="M381" s="115">
        <v>2.2216012295654605E-2</v>
      </c>
      <c r="N381" s="115">
        <v>0.40813189884029621</v>
      </c>
      <c r="O381" s="115">
        <v>0.49182618415537238</v>
      </c>
      <c r="P381" s="115">
        <v>2.6547436076568395E-3</v>
      </c>
      <c r="Q381" s="161">
        <f t="shared" si="36"/>
        <v>1</v>
      </c>
    </row>
    <row r="382" spans="2:17" ht="14.5" hidden="1" outlineLevel="1">
      <c r="B382" s="10" t="s">
        <v>3698</v>
      </c>
      <c r="C382" s="11">
        <v>90229020</v>
      </c>
      <c r="D382" s="115">
        <v>2.7363835708760239E-5</v>
      </c>
      <c r="E382" s="115">
        <v>5.4420212589332162E-5</v>
      </c>
      <c r="F382" s="115">
        <v>1.6206154833806204E-3</v>
      </c>
      <c r="G382" s="115">
        <v>1.2330021386836089E-2</v>
      </c>
      <c r="H382" s="115">
        <v>3.0147875398005455E-3</v>
      </c>
      <c r="I382" s="115">
        <v>8.4136415792561217E-2</v>
      </c>
      <c r="J382" s="115">
        <v>5.2532415384255897E-2</v>
      </c>
      <c r="K382" s="115">
        <v>9.9276918327866719E-3</v>
      </c>
      <c r="L382" s="115">
        <v>9.911242785478596E-3</v>
      </c>
      <c r="M382" s="115">
        <v>5.1038165479260674E-5</v>
      </c>
      <c r="N382" s="115">
        <v>4.686533426308883E-2</v>
      </c>
      <c r="O382" s="115">
        <v>0.63013133411304889</v>
      </c>
      <c r="P382" s="115">
        <v>0.14939731920498525</v>
      </c>
      <c r="Q382" s="161">
        <f t="shared" si="36"/>
        <v>0.99999999999999989</v>
      </c>
    </row>
    <row r="383" spans="2:17" ht="72.5" hidden="1" outlineLevel="1">
      <c r="B383" s="10" t="s">
        <v>3699</v>
      </c>
      <c r="C383" s="11">
        <v>90229080</v>
      </c>
      <c r="D383" s="115">
        <v>2.9807774420619011E-2</v>
      </c>
      <c r="E383" s="115">
        <v>1.6672834259827822E-4</v>
      </c>
      <c r="F383" s="115">
        <v>4.1133102082477665E-3</v>
      </c>
      <c r="G383" s="115">
        <v>2.4866922316791984E-3</v>
      </c>
      <c r="H383" s="115">
        <v>5.0811479043060643E-3</v>
      </c>
      <c r="I383" s="115">
        <v>0.15965052112773423</v>
      </c>
      <c r="J383" s="115">
        <v>2.832145224452948E-2</v>
      </c>
      <c r="K383" s="115">
        <v>2.7335315096234786E-2</v>
      </c>
      <c r="L383" s="115">
        <v>2.5466737695651644E-2</v>
      </c>
      <c r="M383" s="115">
        <v>4.8798539297057039E-4</v>
      </c>
      <c r="N383" s="115">
        <v>0.19376679991378926</v>
      </c>
      <c r="O383" s="115">
        <v>0.51667080098735707</v>
      </c>
      <c r="P383" s="115">
        <v>6.6447344342826006E-3</v>
      </c>
      <c r="Q383" s="161">
        <f t="shared" si="36"/>
        <v>1</v>
      </c>
    </row>
    <row r="384" spans="2:17" ht="15" hidden="1" outlineLevel="1" thickBot="1">
      <c r="B384" s="13" t="s">
        <v>3700</v>
      </c>
      <c r="C384" s="14">
        <v>90189084</v>
      </c>
      <c r="D384" s="157">
        <v>4.6496732921156428E-2</v>
      </c>
      <c r="E384" s="157">
        <v>6.0708590582557549E-3</v>
      </c>
      <c r="F384" s="157">
        <v>2.4334035758723279E-2</v>
      </c>
      <c r="G384" s="157">
        <v>3.3703340470885412E-2</v>
      </c>
      <c r="H384" s="157">
        <v>3.2661661638069252E-2</v>
      </c>
      <c r="I384" s="157">
        <v>0.14610877058678595</v>
      </c>
      <c r="J384" s="157">
        <v>5.0481681607922142E-3</v>
      </c>
      <c r="K384" s="157">
        <v>6.4647101003856827E-3</v>
      </c>
      <c r="L384" s="157">
        <v>1.0945373283576317E-2</v>
      </c>
      <c r="M384" s="157">
        <v>3.9661355942800645E-4</v>
      </c>
      <c r="N384" s="157">
        <v>7.4581567799203177E-2</v>
      </c>
      <c r="O384" s="157">
        <v>0.41222402015085025</v>
      </c>
      <c r="P384" s="157">
        <v>0.20096397166902133</v>
      </c>
      <c r="Q384" s="162">
        <f t="shared" si="36"/>
        <v>0.99999982515713304</v>
      </c>
    </row>
    <row r="385" spans="2:7" hidden="1" outlineLevel="1"/>
    <row r="386" spans="2:7" hidden="1" outlineLevel="1">
      <c r="B386" s="1251" t="s">
        <v>627</v>
      </c>
    </row>
    <row r="387" spans="2:7" hidden="1" outlineLevel="1">
      <c r="B387" s="1251" t="s">
        <v>3701</v>
      </c>
      <c r="G387" t="s">
        <v>3702</v>
      </c>
    </row>
    <row r="388" spans="2:7" hidden="1" outlineLevel="1"/>
    <row r="389" spans="2:7" ht="14.5" hidden="1" outlineLevel="1" thickBot="1">
      <c r="B389" s="1251" t="s">
        <v>540</v>
      </c>
    </row>
    <row r="390" spans="2:7" ht="43.5" hidden="1" outlineLevel="1">
      <c r="B390" s="123" t="s">
        <v>525</v>
      </c>
      <c r="C390" s="158" t="s">
        <v>541</v>
      </c>
      <c r="D390" s="158" t="s">
        <v>649</v>
      </c>
      <c r="E390" s="159" t="s">
        <v>543</v>
      </c>
      <c r="F390" s="159" t="s">
        <v>3703</v>
      </c>
    </row>
    <row r="391" spans="2:7" ht="14.5" hidden="1" outlineLevel="1">
      <c r="B391" s="10" t="s">
        <v>3690</v>
      </c>
      <c r="C391" s="11">
        <f>SUMPRODUCT(D374:N374,'Annexe - Logistique'!$D$15:$N$15)+SUMPRODUCT(O374:P374,'Annexe - Logistique'!$O$12:$P$12)</f>
        <v>1000.1811657539515</v>
      </c>
      <c r="D391" s="11">
        <f>SUMPRODUCT(D374:N374,'Annexe - Logistique'!$D$16:$N$16)</f>
        <v>6194.9076690324155</v>
      </c>
      <c r="E391" s="17">
        <f>500</f>
        <v>500</v>
      </c>
      <c r="F391" s="17">
        <f>500</f>
        <v>500</v>
      </c>
    </row>
    <row r="392" spans="2:7" ht="14.5" hidden="1" outlineLevel="1">
      <c r="B392" s="10" t="s">
        <v>3691</v>
      </c>
      <c r="C392" s="11">
        <f>SUMPRODUCT(D375:N375,'Annexe - Logistique'!$D$15:$N$15)+SUMPRODUCT(O375:P375,'Annexe - Logistique'!$O$12:$P$12)</f>
        <v>1000.0424270453695</v>
      </c>
      <c r="D392" s="11">
        <f>SUMPRODUCT(D375:N375,'Annexe - Logistique'!$D$16:$N$16)</f>
        <v>4342.7364794339319</v>
      </c>
      <c r="E392" s="17">
        <f>500</f>
        <v>500</v>
      </c>
      <c r="F392" s="17">
        <f>500</f>
        <v>500</v>
      </c>
    </row>
    <row r="393" spans="2:7" ht="14.5" hidden="1" outlineLevel="1">
      <c r="B393" s="10" t="s">
        <v>3692</v>
      </c>
      <c r="C393" s="11">
        <f>SUMPRODUCT(D376:N376,'Annexe - Logistique'!$D$15:$N$15)+SUMPRODUCT(O376:P376,'Annexe - Logistique'!$O$12:$P$12)</f>
        <v>999.99999999999989</v>
      </c>
      <c r="D393" s="11">
        <f>SUMPRODUCT(D376:N376,'Annexe - Logistique'!$D$16:$N$16)</f>
        <v>4215.9601818054198</v>
      </c>
      <c r="E393" s="17">
        <f>500</f>
        <v>500</v>
      </c>
      <c r="F393" s="17">
        <f>500</f>
        <v>500</v>
      </c>
    </row>
    <row r="394" spans="2:7" ht="29" hidden="1" outlineLevel="1">
      <c r="B394" s="10" t="s">
        <v>3693</v>
      </c>
      <c r="C394" s="11">
        <f>SUMPRODUCT(D377:N377,'Annexe - Logistique'!$D$15:$N$15)+SUMPRODUCT(O377:P377,'Annexe - Logistique'!$O$12:$P$12)</f>
        <v>1088.319945640304</v>
      </c>
      <c r="D394" s="11">
        <f>SUMPRODUCT(D377:N377,'Annexe - Logistique'!$D$16:$N$16)</f>
        <v>3483.2549485928766</v>
      </c>
      <c r="E394" s="17">
        <f>500</f>
        <v>500</v>
      </c>
      <c r="F394" s="17">
        <f>500</f>
        <v>500</v>
      </c>
    </row>
    <row r="395" spans="2:7" ht="29" hidden="1" outlineLevel="1">
      <c r="B395" s="10" t="s">
        <v>3694</v>
      </c>
      <c r="C395" s="11">
        <f>SUMPRODUCT(D378:N378,'Annexe - Logistique'!$D$15:$N$15)+SUMPRODUCT(O378:P378,'Annexe - Logistique'!$O$12:$P$12)</f>
        <v>1000.2949794408269</v>
      </c>
      <c r="D395" s="11">
        <f>SUMPRODUCT(D378:N378,'Annexe - Logistique'!$D$16:$N$16)</f>
        <v>7455.9222576911307</v>
      </c>
      <c r="E395" s="17">
        <f>500</f>
        <v>500</v>
      </c>
      <c r="F395" s="17">
        <f>500</f>
        <v>500</v>
      </c>
    </row>
    <row r="396" spans="2:7" ht="14.5" hidden="1" outlineLevel="1">
      <c r="B396" s="10" t="s">
        <v>3695</v>
      </c>
      <c r="C396" s="11">
        <f>SUMPRODUCT(D379:N379,'Annexe - Logistique'!$D$15:$N$15)+SUMPRODUCT(O379:P379,'Annexe - Logistique'!$O$12:$P$12)</f>
        <v>1000.158790361324</v>
      </c>
      <c r="D396" s="11">
        <f>SUMPRODUCT(D379:N379,'Annexe - Logistique'!$D$16:$N$16)</f>
        <v>5263.5833017269715</v>
      </c>
      <c r="E396" s="17">
        <f>500</f>
        <v>500</v>
      </c>
      <c r="F396" s="17">
        <f>500</f>
        <v>500</v>
      </c>
    </row>
    <row r="397" spans="2:7" ht="58" hidden="1" outlineLevel="1">
      <c r="B397" s="10" t="s">
        <v>3696</v>
      </c>
      <c r="C397" s="11">
        <f>SUMPRODUCT(D380:N380,'Annexe - Logistique'!$D$15:$N$15)+SUMPRODUCT(O380:P380,'Annexe - Logistique'!$O$12:$P$12)</f>
        <v>1001.3565694543238</v>
      </c>
      <c r="D397" s="11">
        <f>SUMPRODUCT(D380:N380,'Annexe - Logistique'!$D$16:$N$16)</f>
        <v>5467.4671442604067</v>
      </c>
      <c r="E397" s="17">
        <f>500</f>
        <v>500</v>
      </c>
      <c r="F397" s="17">
        <f>500</f>
        <v>500</v>
      </c>
    </row>
    <row r="398" spans="2:7" ht="43.5" hidden="1" outlineLevel="1">
      <c r="B398" s="10" t="s">
        <v>3697</v>
      </c>
      <c r="C398" s="11">
        <f>SUMPRODUCT(D381:N381,'Annexe - Logistique'!$D$15:$N$15)+SUMPRODUCT(O381:P381,'Annexe - Logistique'!$O$12:$P$12)</f>
        <v>1001.5928461645942</v>
      </c>
      <c r="D398" s="11">
        <f>SUMPRODUCT(D381:N381,'Annexe - Logistique'!$D$16:$N$16)</f>
        <v>4133.2653346374182</v>
      </c>
      <c r="E398" s="17">
        <f>500</f>
        <v>500</v>
      </c>
      <c r="F398" s="17">
        <f>500</f>
        <v>500</v>
      </c>
    </row>
    <row r="399" spans="2:7" ht="14.5" hidden="1" outlineLevel="1">
      <c r="B399" s="10" t="s">
        <v>3698</v>
      </c>
      <c r="C399" s="11">
        <f>SUMPRODUCT(D382:N382,'Annexe - Logistique'!$D$15:$N$15)+SUMPRODUCT(O382:P382,'Annexe - Logistique'!$O$12:$P$12)</f>
        <v>1089.638391522991</v>
      </c>
      <c r="D399" s="11">
        <f>SUMPRODUCT(D382:N382,'Annexe - Logistique'!$D$16:$N$16)</f>
        <v>1734.6300640006298</v>
      </c>
      <c r="E399" s="17">
        <f>500</f>
        <v>500</v>
      </c>
      <c r="F399" s="17">
        <f>500</f>
        <v>500</v>
      </c>
    </row>
    <row r="400" spans="2:7" ht="72.5" hidden="1" outlineLevel="1">
      <c r="B400" s="10" t="s">
        <v>3699</v>
      </c>
      <c r="C400" s="11">
        <f>SUMPRODUCT(D383:N383,'Annexe - Logistique'!$D$15:$N$15)+SUMPRODUCT(O383:P383,'Annexe - Logistique'!$O$12:$P$12)</f>
        <v>1003.9868406605696</v>
      </c>
      <c r="D400" s="11">
        <f>SUMPRODUCT(D383:N383,'Annexe - Logistique'!$D$16:$N$16)</f>
        <v>3740.4929465777986</v>
      </c>
      <c r="E400" s="17">
        <f>500</f>
        <v>500</v>
      </c>
      <c r="F400" s="17">
        <f>500</f>
        <v>500</v>
      </c>
    </row>
    <row r="401" spans="2:11" ht="15" hidden="1" outlineLevel="1" thickBot="1">
      <c r="B401" s="13" t="s">
        <v>3700</v>
      </c>
      <c r="C401" s="14">
        <f>SUMPRODUCT(D384:N384,'Annexe - Logistique'!$D$15:$N$15)+SUMPRODUCT(O384:P384,'Annexe - Logistique'!$O$12:$P$12)</f>
        <v>1120.578208158546</v>
      </c>
      <c r="D401" s="14">
        <f>SUMPRODUCT(D384:N384,'Annexe - Logistique'!$D$16:$N$16)</f>
        <v>2906.7186714627705</v>
      </c>
      <c r="E401" s="38">
        <f>500</f>
        <v>500</v>
      </c>
      <c r="F401" s="38">
        <f>500</f>
        <v>500</v>
      </c>
    </row>
    <row r="402" spans="2:11" hidden="1" outlineLevel="1"/>
    <row r="403" spans="2:11" hidden="1" outlineLevel="1"/>
    <row r="404" spans="2:11" ht="14.5" hidden="1" outlineLevel="1" thickBot="1">
      <c r="B404" t="s">
        <v>565</v>
      </c>
    </row>
    <row r="405" spans="2:11" ht="43.5" hidden="1" outlineLevel="1">
      <c r="B405" s="123"/>
      <c r="C405" s="173" t="s">
        <v>3256</v>
      </c>
      <c r="D405" s="169" t="s">
        <v>541</v>
      </c>
      <c r="E405" s="158" t="s">
        <v>649</v>
      </c>
      <c r="F405" s="178" t="s">
        <v>543</v>
      </c>
      <c r="G405" s="169" t="s">
        <v>3704</v>
      </c>
      <c r="H405" s="158" t="s">
        <v>3705</v>
      </c>
      <c r="I405" s="158" t="s">
        <v>3706</v>
      </c>
      <c r="J405" s="159" t="s">
        <v>3707</v>
      </c>
    </row>
    <row r="406" spans="2:11" ht="14.5" hidden="1" outlineLevel="1">
      <c r="B406" s="10" t="s">
        <v>3449</v>
      </c>
      <c r="C406" s="174">
        <f t="shared" ref="C406:C417" si="37">D147</f>
        <v>235.08196721311478</v>
      </c>
      <c r="D406" s="176">
        <f t="shared" ref="D406:F408" si="38">$C406*C391</f>
        <v>235124.55601494535</v>
      </c>
      <c r="E406" s="11">
        <f t="shared" si="38"/>
        <v>1456311.0815397515</v>
      </c>
      <c r="F406" s="174">
        <f>$C406*E391</f>
        <v>117540.98360655739</v>
      </c>
      <c r="G406" s="179">
        <f t="shared" ref="G406:G417" si="39">C205+O330</f>
        <v>3595.4117075455006</v>
      </c>
      <c r="H406" s="11">
        <f>D406*G406/10^6</f>
        <v>845.36958142757237</v>
      </c>
      <c r="I406" s="11">
        <f>E406*G406/10^6</f>
        <v>5236.037912396273</v>
      </c>
      <c r="J406" s="12">
        <f>F406*G406/10^6</f>
        <v>422.60822857543019</v>
      </c>
      <c r="K406" s="24"/>
    </row>
    <row r="407" spans="2:11" ht="14.5" hidden="1" outlineLevel="1">
      <c r="B407" s="10" t="s">
        <v>3450</v>
      </c>
      <c r="C407" s="174">
        <f t="shared" si="37"/>
        <v>215.24590163934428</v>
      </c>
      <c r="D407" s="176">
        <f t="shared" si="38"/>
        <v>215255.03388697875</v>
      </c>
      <c r="E407" s="11">
        <f t="shared" si="38"/>
        <v>934756.22909782839</v>
      </c>
      <c r="F407" s="174">
        <f t="shared" si="38"/>
        <v>107622.95081967214</v>
      </c>
      <c r="G407" s="179">
        <f t="shared" si="39"/>
        <v>10673.8346026327</v>
      </c>
      <c r="H407" s="11">
        <f t="shared" ref="H407:H417" si="40">D407*G407/10^6</f>
        <v>2297.5966290937081</v>
      </c>
      <c r="I407" s="11">
        <f t="shared" ref="I407:I417" si="41">E407*G407/10^6</f>
        <v>9977.4333831708609</v>
      </c>
      <c r="J407" s="12">
        <f t="shared" ref="J407:J417" si="42">F407*G407/10^6</f>
        <v>1148.7495764964538</v>
      </c>
      <c r="K407" s="24"/>
    </row>
    <row r="408" spans="2:11" ht="14.5" hidden="1" outlineLevel="1">
      <c r="B408" s="10" t="s">
        <v>3451</v>
      </c>
      <c r="C408" s="174">
        <f t="shared" si="37"/>
        <v>78.852459016393453</v>
      </c>
      <c r="D408" s="176">
        <f t="shared" si="38"/>
        <v>78852.459016393448</v>
      </c>
      <c r="E408" s="11">
        <f t="shared" si="38"/>
        <v>332438.82745055854</v>
      </c>
      <c r="F408" s="174">
        <f t="shared" si="38"/>
        <v>39426.229508196724</v>
      </c>
      <c r="G408" s="179">
        <f t="shared" si="39"/>
        <v>8489.5</v>
      </c>
      <c r="H408" s="11">
        <f t="shared" si="40"/>
        <v>669.41795081967223</v>
      </c>
      <c r="I408" s="11">
        <f t="shared" si="41"/>
        <v>2822.2394256415168</v>
      </c>
      <c r="J408" s="12">
        <f t="shared" si="42"/>
        <v>334.70897540983611</v>
      </c>
      <c r="K408" s="24"/>
    </row>
    <row r="409" spans="2:11" ht="14.5" hidden="1" outlineLevel="1">
      <c r="B409" s="10" t="s">
        <v>3452</v>
      </c>
      <c r="C409" s="174">
        <f t="shared" si="37"/>
        <v>38.196721311475414</v>
      </c>
      <c r="D409" s="176">
        <f>$C409*C395</f>
        <v>38207.988558969293</v>
      </c>
      <c r="E409" s="11">
        <f>$C409*D395</f>
        <v>284791.78459705471</v>
      </c>
      <c r="F409" s="174">
        <f>$C409*E395</f>
        <v>19098.360655737706</v>
      </c>
      <c r="G409" s="179">
        <f t="shared" si="39"/>
        <v>8489.5</v>
      </c>
      <c r="H409" s="11">
        <f t="shared" si="40"/>
        <v>324.36671887136981</v>
      </c>
      <c r="I409" s="11">
        <f t="shared" si="41"/>
        <v>2417.7398553366961</v>
      </c>
      <c r="J409" s="12">
        <f t="shared" si="42"/>
        <v>162.13553278688525</v>
      </c>
      <c r="K409" s="24"/>
    </row>
    <row r="410" spans="2:11" ht="14.5" hidden="1" outlineLevel="1">
      <c r="B410" s="10" t="s">
        <v>3453</v>
      </c>
      <c r="C410" s="174">
        <f t="shared" si="37"/>
        <v>1002.8746016869729</v>
      </c>
      <c r="D410" s="176">
        <f>$C410*C397</f>
        <v>1004235.0707381386</v>
      </c>
      <c r="E410" s="11">
        <f>$C410*D397</f>
        <v>5483183.9345367672</v>
      </c>
      <c r="F410" s="174">
        <f>$C410*E397</f>
        <v>501437.30084348645</v>
      </c>
      <c r="G410" s="179">
        <f t="shared" si="39"/>
        <v>1935.2399604393618</v>
      </c>
      <c r="H410" s="11">
        <f t="shared" si="40"/>
        <v>1943.4358385670951</v>
      </c>
      <c r="I410" s="11">
        <f t="shared" si="41"/>
        <v>10611.276660554679</v>
      </c>
      <c r="J410" s="12">
        <f t="shared" si="42"/>
        <v>970.40150224716899</v>
      </c>
      <c r="K410" s="24"/>
    </row>
    <row r="411" spans="2:11" ht="14.5" hidden="1" outlineLevel="1">
      <c r="B411" s="10" t="s">
        <v>3454</v>
      </c>
      <c r="C411" s="174">
        <f t="shared" si="37"/>
        <v>35.799999999999997</v>
      </c>
      <c r="D411" s="176">
        <f>$C411*C397</f>
        <v>35848.565186464788</v>
      </c>
      <c r="E411" s="11">
        <f>$C411*D397</f>
        <v>195735.32376452253</v>
      </c>
      <c r="F411" s="174">
        <f>$C411*E397</f>
        <v>17900</v>
      </c>
      <c r="G411" s="179">
        <f t="shared" si="39"/>
        <v>1935.2399604393618</v>
      </c>
      <c r="H411" s="11">
        <f t="shared" si="40"/>
        <v>69.375575873262008</v>
      </c>
      <c r="I411" s="11">
        <f t="shared" si="41"/>
        <v>378.79482021864027</v>
      </c>
      <c r="J411" s="12">
        <f t="shared" si="42"/>
        <v>34.640795291864571</v>
      </c>
      <c r="K411" s="24"/>
    </row>
    <row r="412" spans="2:11" ht="14.5" hidden="1" outlineLevel="1">
      <c r="B412" s="10" t="s">
        <v>3455</v>
      </c>
      <c r="C412" s="174">
        <f t="shared" si="37"/>
        <v>4524.8999999999996</v>
      </c>
      <c r="D412" s="176">
        <f>$C412*C396</f>
        <v>4525618.5105059547</v>
      </c>
      <c r="E412" s="11">
        <f>$C412*D396</f>
        <v>23817188.081984371</v>
      </c>
      <c r="F412" s="174">
        <f>$C412*E396</f>
        <v>2262450</v>
      </c>
      <c r="G412" s="179">
        <f t="shared" si="39"/>
        <v>17.551896779522451</v>
      </c>
      <c r="H412" s="11">
        <f t="shared" si="40"/>
        <v>79.433188959896654</v>
      </c>
      <c r="I412" s="11">
        <f t="shared" si="41"/>
        <v>418.03682679346196</v>
      </c>
      <c r="J412" s="12">
        <f t="shared" si="42"/>
        <v>39.710288868830567</v>
      </c>
      <c r="K412" s="24"/>
    </row>
    <row r="413" spans="2:11" ht="14.5" hidden="1" outlineLevel="1">
      <c r="B413" s="10" t="s">
        <v>3456</v>
      </c>
      <c r="C413" s="174">
        <f t="shared" si="37"/>
        <v>2714.9399999999996</v>
      </c>
      <c r="D413" s="176">
        <f>$C413*C396</f>
        <v>2715371.1063035727</v>
      </c>
      <c r="E413" s="11">
        <f>$C413*D396</f>
        <v>14290312.849190623</v>
      </c>
      <c r="F413" s="174">
        <f>$C413*E396</f>
        <v>1357469.9999999998</v>
      </c>
      <c r="G413" s="179">
        <f t="shared" si="39"/>
        <v>154.78108433420147</v>
      </c>
      <c r="H413" s="11">
        <f t="shared" si="40"/>
        <v>420.28808420342722</v>
      </c>
      <c r="I413" s="11">
        <f t="shared" si="41"/>
        <v>2211.8701182726963</v>
      </c>
      <c r="J413" s="12">
        <f t="shared" si="42"/>
        <v>210.11067855114842</v>
      </c>
      <c r="K413" s="24"/>
    </row>
    <row r="414" spans="2:11" ht="14.5" hidden="1" outlineLevel="1">
      <c r="B414" s="10" t="s">
        <v>3457</v>
      </c>
      <c r="C414" s="174">
        <f t="shared" si="37"/>
        <v>656.53971428571435</v>
      </c>
      <c r="D414" s="176">
        <f>$C414*C401</f>
        <v>735704.09661920951</v>
      </c>
      <c r="E414" s="11">
        <f>$C414*D401</f>
        <v>1908376.2460711186</v>
      </c>
      <c r="F414" s="174">
        <f>$C414*E401</f>
        <v>328269.85714285716</v>
      </c>
      <c r="G414" s="179">
        <f t="shared" si="39"/>
        <v>12.707684057260899</v>
      </c>
      <c r="H414" s="11">
        <f t="shared" si="40"/>
        <v>9.3490952194694596</v>
      </c>
      <c r="I414" s="11">
        <f t="shared" si="41"/>
        <v>24.251042397453357</v>
      </c>
      <c r="J414" s="12">
        <f t="shared" si="42"/>
        <v>4.1715496300935984</v>
      </c>
      <c r="K414" s="24"/>
    </row>
    <row r="415" spans="2:11" ht="14.5" hidden="1" outlineLevel="1">
      <c r="B415" s="10" t="s">
        <v>3458</v>
      </c>
      <c r="C415" s="174">
        <f t="shared" si="37"/>
        <v>3520</v>
      </c>
      <c r="D415" s="176">
        <f>$C415*C401</f>
        <v>3944435.2927180817</v>
      </c>
      <c r="E415" s="11">
        <f>$C415*D401</f>
        <v>10231649.723548952</v>
      </c>
      <c r="F415" s="174">
        <f>$C415*E401</f>
        <v>1760000</v>
      </c>
      <c r="G415" s="179">
        <f t="shared" si="39"/>
        <v>118.13968530486966</v>
      </c>
      <c r="H415" s="11">
        <f t="shared" si="40"/>
        <v>465.99434418713565</v>
      </c>
      <c r="I415" s="11">
        <f t="shared" si="41"/>
        <v>1208.7638784897299</v>
      </c>
      <c r="J415" s="12">
        <f t="shared" si="42"/>
        <v>207.92584613657061</v>
      </c>
      <c r="K415" s="24"/>
    </row>
    <row r="416" spans="2:11" ht="14.5" hidden="1" outlineLevel="1">
      <c r="B416" s="10" t="s">
        <v>3459</v>
      </c>
      <c r="C416" s="174">
        <f t="shared" si="37"/>
        <v>12.9</v>
      </c>
      <c r="D416" s="176">
        <f>$C416*C397</f>
        <v>12917.499745960777</v>
      </c>
      <c r="E416" s="11">
        <f>$C416*D397</f>
        <v>70530.326160959245</v>
      </c>
      <c r="F416" s="174">
        <f>$C416*E397</f>
        <v>6450</v>
      </c>
      <c r="G416" s="179">
        <f t="shared" si="39"/>
        <v>2627.2399604393618</v>
      </c>
      <c r="H416" s="11">
        <f t="shared" si="40"/>
        <v>33.937371521553459</v>
      </c>
      <c r="I416" s="11">
        <f t="shared" si="41"/>
        <v>185.30009131289384</v>
      </c>
      <c r="J416" s="12">
        <f t="shared" si="42"/>
        <v>16.945697744833883</v>
      </c>
      <c r="K416" s="24"/>
    </row>
    <row r="417" spans="2:11" ht="14.5" hidden="1" outlineLevel="1">
      <c r="B417" s="10" t="s">
        <v>3460</v>
      </c>
      <c r="C417" s="174">
        <f t="shared" si="37"/>
        <v>9.6</v>
      </c>
      <c r="D417" s="176">
        <f>$C417*C397</f>
        <v>9613.0230667615087</v>
      </c>
      <c r="E417" s="11">
        <f>$C417*D397</f>
        <v>52487.6845848999</v>
      </c>
      <c r="F417" s="174">
        <f>$C417*E397</f>
        <v>4800</v>
      </c>
      <c r="G417" s="179">
        <f t="shared" si="39"/>
        <v>3844.797844705171</v>
      </c>
      <c r="H417" s="11">
        <f t="shared" si="40"/>
        <v>36.960130368185744</v>
      </c>
      <c r="I417" s="11">
        <f t="shared" si="41"/>
        <v>201.80453656558797</v>
      </c>
      <c r="J417" s="12">
        <f t="shared" si="42"/>
        <v>18.45502965458482</v>
      </c>
      <c r="K417" s="24"/>
    </row>
    <row r="418" spans="2:11" ht="15" hidden="1" outlineLevel="1" thickBot="1">
      <c r="B418" s="13" t="s">
        <v>83</v>
      </c>
      <c r="C418" s="175">
        <f>SUM(C406:C417)</f>
        <v>13044.931365153014</v>
      </c>
      <c r="D418" s="177">
        <f>SUM(D406:D417)</f>
        <v>13551183.202361429</v>
      </c>
      <c r="E418" s="14">
        <f t="shared" ref="E418:J418" si="43">SUM(E406:E417)</f>
        <v>59057762.092527397</v>
      </c>
      <c r="F418" s="175">
        <f t="shared" si="43"/>
        <v>6522465.6825765073</v>
      </c>
      <c r="G418" s="177"/>
      <c r="H418" s="14">
        <f t="shared" si="43"/>
        <v>7195.5245091123488</v>
      </c>
      <c r="I418" s="14">
        <f t="shared" si="43"/>
        <v>35693.548551150481</v>
      </c>
      <c r="J418" s="15">
        <f t="shared" si="43"/>
        <v>3570.5637013937003</v>
      </c>
      <c r="K418" s="24"/>
    </row>
    <row r="419" spans="2:11" hidden="1" outlineLevel="1">
      <c r="G419" s="23"/>
    </row>
    <row r="420" spans="2:11" ht="14.5" hidden="1" outlineLevel="1" thickBot="1">
      <c r="B420" s="1251" t="s">
        <v>546</v>
      </c>
    </row>
    <row r="421" spans="2:11" ht="15" hidden="1" outlineLevel="1" thickBot="1">
      <c r="B421" s="181"/>
      <c r="C421" s="185" t="s">
        <v>82</v>
      </c>
    </row>
    <row r="422" spans="2:11" ht="14.5" hidden="1" outlineLevel="1">
      <c r="B422" s="182" t="s">
        <v>550</v>
      </c>
      <c r="C422" s="183">
        <f>H418*'Annexe - Logistique'!D29/10^3</f>
        <v>1.460691475349807</v>
      </c>
    </row>
    <row r="423" spans="2:11" ht="14.5" hidden="1" outlineLevel="1">
      <c r="B423" s="10" t="s">
        <v>653</v>
      </c>
      <c r="C423" s="131">
        <f>I418*'Annexe - Logistique'!D26/10^3</f>
        <v>42.832258261380581</v>
      </c>
    </row>
    <row r="424" spans="2:11" ht="14.5" hidden="1" outlineLevel="1">
      <c r="B424" s="10" t="s">
        <v>552</v>
      </c>
      <c r="C424" s="131">
        <f>J418*'Annexe - Logistique'!D30/10^3</f>
        <v>0.55343737371602353</v>
      </c>
    </row>
    <row r="425" spans="2:11" ht="15" hidden="1" outlineLevel="1" thickBot="1">
      <c r="B425" s="1041" t="s">
        <v>3708</v>
      </c>
      <c r="C425" s="1042">
        <f>C424</f>
        <v>0.55343737371602353</v>
      </c>
    </row>
    <row r="426" spans="2:11" ht="15" hidden="1" outlineLevel="1" thickBot="1">
      <c r="B426" s="20" t="s">
        <v>2580</v>
      </c>
      <c r="C426" s="187">
        <f>SUM(C422:C425)</f>
        <v>45.39982448416243</v>
      </c>
    </row>
    <row r="427" spans="2:11" hidden="1" outlineLevel="1"/>
    <row r="428" spans="2:11" collapsed="1"/>
    <row r="429" spans="2:11" ht="20">
      <c r="B429" s="216" t="s">
        <v>3709</v>
      </c>
    </row>
    <row r="431" spans="2:11" hidden="1" outlineLevel="1">
      <c r="B431" s="1251" t="s">
        <v>3710</v>
      </c>
      <c r="C431" s="1251"/>
    </row>
    <row r="432" spans="2:11" ht="14.5" hidden="1" outlineLevel="1" thickBot="1"/>
    <row r="433" spans="2:7" ht="58" hidden="1" outlineLevel="1">
      <c r="B433" s="123"/>
      <c r="C433" s="5" t="s">
        <v>3711</v>
      </c>
      <c r="D433" s="5" t="s">
        <v>3712</v>
      </c>
      <c r="E433" s="5" t="s">
        <v>3713</v>
      </c>
      <c r="F433" s="105" t="s">
        <v>70</v>
      </c>
      <c r="G433" s="6" t="s">
        <v>3714</v>
      </c>
    </row>
    <row r="434" spans="2:7" ht="14.5" hidden="1" outlineLevel="1">
      <c r="B434" s="10" t="s">
        <v>3449</v>
      </c>
      <c r="C434" s="11">
        <f t="shared" ref="C434:C445" si="44">C147</f>
        <v>1434</v>
      </c>
      <c r="D434" s="11">
        <v>2</v>
      </c>
      <c r="E434" s="21">
        <v>3</v>
      </c>
      <c r="F434" s="1266" t="s">
        <v>3715</v>
      </c>
      <c r="G434" s="192">
        <f>C434*(D434+E434)</f>
        <v>7170</v>
      </c>
    </row>
    <row r="435" spans="2:7" ht="14.5" hidden="1" outlineLevel="1">
      <c r="B435" s="10" t="s">
        <v>3450</v>
      </c>
      <c r="C435" s="11">
        <f t="shared" si="44"/>
        <v>1313</v>
      </c>
      <c r="D435" s="11">
        <v>4</v>
      </c>
      <c r="E435" s="21">
        <v>3</v>
      </c>
      <c r="F435" s="113" t="s">
        <v>3716</v>
      </c>
      <c r="G435" s="192">
        <f t="shared" ref="G435:G445" si="45">C435*(D435+E435)</f>
        <v>9191</v>
      </c>
    </row>
    <row r="436" spans="2:7" ht="14.5" hidden="1" outlineLevel="1">
      <c r="B436" s="10" t="s">
        <v>3451</v>
      </c>
      <c r="C436" s="11">
        <f t="shared" si="44"/>
        <v>481</v>
      </c>
      <c r="D436" s="11">
        <v>2</v>
      </c>
      <c r="E436" s="21">
        <v>3</v>
      </c>
      <c r="F436" s="1266" t="s">
        <v>3717</v>
      </c>
      <c r="G436" s="192">
        <f t="shared" si="45"/>
        <v>2405</v>
      </c>
    </row>
    <row r="437" spans="2:7" ht="14.5" hidden="1" outlineLevel="1">
      <c r="B437" s="10" t="s">
        <v>3452</v>
      </c>
      <c r="C437" s="11">
        <f t="shared" si="44"/>
        <v>233</v>
      </c>
      <c r="D437" s="11">
        <v>2</v>
      </c>
      <c r="E437" s="21">
        <v>3</v>
      </c>
      <c r="F437" s="1266" t="s">
        <v>3715</v>
      </c>
      <c r="G437" s="192">
        <f t="shared" si="45"/>
        <v>1165</v>
      </c>
    </row>
    <row r="438" spans="2:7" ht="14.5" hidden="1" outlineLevel="1">
      <c r="B438" s="10" t="s">
        <v>3453</v>
      </c>
      <c r="C438" s="11">
        <f t="shared" si="44"/>
        <v>10028.746016869729</v>
      </c>
      <c r="D438" s="11">
        <v>1</v>
      </c>
      <c r="E438" s="21">
        <v>3</v>
      </c>
      <c r="F438" s="1266" t="s">
        <v>3715</v>
      </c>
      <c r="G438" s="192">
        <f t="shared" si="45"/>
        <v>40114.984067478916</v>
      </c>
    </row>
    <row r="439" spans="2:7" ht="14.5" hidden="1" outlineLevel="1">
      <c r="B439" s="10" t="s">
        <v>3454</v>
      </c>
      <c r="C439" s="11">
        <f t="shared" si="44"/>
        <v>358</v>
      </c>
      <c r="D439" s="11">
        <v>1</v>
      </c>
      <c r="E439" s="21">
        <v>3</v>
      </c>
      <c r="F439" s="1266" t="s">
        <v>3715</v>
      </c>
      <c r="G439" s="192">
        <f t="shared" si="45"/>
        <v>1432</v>
      </c>
    </row>
    <row r="440" spans="2:7" ht="14.5" hidden="1" outlineLevel="1">
      <c r="B440" s="10" t="s">
        <v>3455</v>
      </c>
      <c r="C440" s="11">
        <f t="shared" si="44"/>
        <v>45249</v>
      </c>
      <c r="D440" s="11">
        <v>1</v>
      </c>
      <c r="E440" s="21">
        <v>1</v>
      </c>
      <c r="F440" s="1266" t="s">
        <v>3718</v>
      </c>
      <c r="G440" s="192">
        <f t="shared" si="45"/>
        <v>90498</v>
      </c>
    </row>
    <row r="441" spans="2:7" ht="14.5" hidden="1" outlineLevel="1">
      <c r="B441" s="10" t="s">
        <v>3456</v>
      </c>
      <c r="C441" s="11">
        <f t="shared" si="44"/>
        <v>27149.399999999998</v>
      </c>
      <c r="D441" s="11">
        <v>1</v>
      </c>
      <c r="E441" s="21">
        <v>3</v>
      </c>
      <c r="F441" s="1266" t="s">
        <v>3715</v>
      </c>
      <c r="G441" s="192">
        <f t="shared" si="45"/>
        <v>108597.59999999999</v>
      </c>
    </row>
    <row r="442" spans="2:7" ht="14.5" hidden="1" outlineLevel="1">
      <c r="B442" s="10" t="s">
        <v>3457</v>
      </c>
      <c r="C442" s="11">
        <f t="shared" si="44"/>
        <v>4595.7780000000002</v>
      </c>
      <c r="D442" s="11"/>
      <c r="E442" s="21"/>
      <c r="F442" s="21"/>
      <c r="G442" s="192">
        <f t="shared" si="45"/>
        <v>0</v>
      </c>
    </row>
    <row r="443" spans="2:7" ht="14.5" hidden="1" outlineLevel="1">
      <c r="B443" s="10" t="s">
        <v>3458</v>
      </c>
      <c r="C443" s="11">
        <f t="shared" si="44"/>
        <v>10424.062524839392</v>
      </c>
      <c r="D443" s="11">
        <v>1</v>
      </c>
      <c r="E443" s="21">
        <v>1</v>
      </c>
      <c r="F443" s="113" t="s">
        <v>3719</v>
      </c>
      <c r="G443" s="192">
        <f t="shared" si="45"/>
        <v>20848.125049678783</v>
      </c>
    </row>
    <row r="444" spans="2:7" ht="14.5" hidden="1" outlineLevel="1">
      <c r="B444" s="10" t="s">
        <v>3459</v>
      </c>
      <c r="C444" s="11">
        <f t="shared" si="44"/>
        <v>129</v>
      </c>
      <c r="D444" s="11">
        <v>1</v>
      </c>
      <c r="E444" s="21">
        <v>3</v>
      </c>
      <c r="F444" s="1266" t="s">
        <v>3715</v>
      </c>
      <c r="G444" s="192">
        <f t="shared" si="45"/>
        <v>516</v>
      </c>
    </row>
    <row r="445" spans="2:7" ht="15" hidden="1" outlineLevel="1" thickBot="1">
      <c r="B445" s="13" t="s">
        <v>3460</v>
      </c>
      <c r="C445" s="14">
        <f t="shared" si="44"/>
        <v>96</v>
      </c>
      <c r="D445" s="14">
        <v>1</v>
      </c>
      <c r="E445" s="22">
        <v>3</v>
      </c>
      <c r="F445" s="1284" t="s">
        <v>3715</v>
      </c>
      <c r="G445" s="207">
        <f t="shared" si="45"/>
        <v>384</v>
      </c>
    </row>
    <row r="446" spans="2:7" ht="14.5" hidden="1" outlineLevel="1" thickBot="1">
      <c r="F446" s="1440" t="s">
        <v>83</v>
      </c>
      <c r="G446" s="208">
        <f>SUM(G434:G445)</f>
        <v>282321.70911715768</v>
      </c>
    </row>
    <row r="447" spans="2:7" hidden="1" outlineLevel="1"/>
    <row r="448" spans="2:7" ht="14.5" hidden="1" outlineLevel="1" thickBot="1">
      <c r="B448" s="1251" t="s">
        <v>3720</v>
      </c>
    </row>
    <row r="449" spans="2:8" ht="15" hidden="1" outlineLevel="1" thickBot="1">
      <c r="B449" s="123"/>
      <c r="C449" s="6" t="s">
        <v>69</v>
      </c>
      <c r="D449" s="6" t="s">
        <v>301</v>
      </c>
    </row>
    <row r="450" spans="2:8" ht="14.5" hidden="1" outlineLevel="1">
      <c r="B450" s="10" t="s">
        <v>3721</v>
      </c>
      <c r="C450" s="205">
        <v>100</v>
      </c>
      <c r="D450" s="1340" t="s">
        <v>2113</v>
      </c>
      <c r="F450" s="1251"/>
    </row>
    <row r="451" spans="2:8" ht="14.5" hidden="1" outlineLevel="1">
      <c r="B451" s="10" t="s">
        <v>73</v>
      </c>
      <c r="C451" s="21">
        <v>250</v>
      </c>
      <c r="D451" s="1283" t="s">
        <v>3439</v>
      </c>
    </row>
    <row r="452" spans="2:8" ht="15" hidden="1" outlineLevel="1" thickBot="1">
      <c r="B452" s="13" t="s">
        <v>83</v>
      </c>
      <c r="C452" s="206">
        <f>G446*C450*C451/10^9</f>
        <v>7.0580427279289415</v>
      </c>
      <c r="D452" s="1285" t="s">
        <v>661</v>
      </c>
    </row>
    <row r="453" spans="2:8" collapsed="1"/>
    <row r="454" spans="2:8" ht="20">
      <c r="B454" s="216" t="s">
        <v>2687</v>
      </c>
    </row>
    <row r="455" spans="2:8">
      <c r="C455" s="1251"/>
      <c r="F455" s="1251"/>
      <c r="G455" s="24"/>
      <c r="H455" s="1251"/>
    </row>
    <row r="456" spans="2:8" hidden="1" outlineLevel="1">
      <c r="B456" s="1251" t="s">
        <v>3722</v>
      </c>
    </row>
    <row r="457" spans="2:8" hidden="1" outlineLevel="1">
      <c r="B457" s="1251"/>
    </row>
    <row r="458" spans="2:8" ht="14.5" hidden="1" outlineLevel="1" thickBot="1">
      <c r="B458" t="s">
        <v>3723</v>
      </c>
    </row>
    <row r="459" spans="2:8" ht="14.5" hidden="1" outlineLevel="1">
      <c r="B459" s="123"/>
      <c r="C459" s="5" t="s">
        <v>69</v>
      </c>
      <c r="D459" s="5" t="s">
        <v>301</v>
      </c>
      <c r="E459" s="6" t="s">
        <v>301</v>
      </c>
    </row>
    <row r="460" spans="2:8" ht="15" hidden="1" outlineLevel="1" thickBot="1">
      <c r="B460" s="13" t="s">
        <v>73</v>
      </c>
      <c r="C460" s="22">
        <v>2000</v>
      </c>
      <c r="D460" s="1267" t="s">
        <v>1112</v>
      </c>
      <c r="E460" s="1285" t="s">
        <v>3724</v>
      </c>
    </row>
    <row r="461" spans="2:8" hidden="1" outlineLevel="1"/>
    <row r="462" spans="2:8" ht="14.5" hidden="1" outlineLevel="1" thickBot="1">
      <c r="B462" s="1251" t="s">
        <v>3725</v>
      </c>
      <c r="C462" s="1251"/>
    </row>
    <row r="463" spans="2:8" ht="29" hidden="1" outlineLevel="1">
      <c r="B463" s="123"/>
      <c r="C463" s="5" t="s">
        <v>3726</v>
      </c>
      <c r="D463" s="5" t="s">
        <v>3611</v>
      </c>
      <c r="E463" s="6" t="s">
        <v>3727</v>
      </c>
    </row>
    <row r="464" spans="2:8" ht="14.5" hidden="1" outlineLevel="1">
      <c r="B464" s="10" t="s">
        <v>3449</v>
      </c>
      <c r="C464" s="11">
        <f>C205</f>
        <v>3123.3333333333335</v>
      </c>
      <c r="D464" s="11">
        <f t="shared" ref="D464:D475" si="46">C464*D147</f>
        <v>734239.34426229517</v>
      </c>
      <c r="E464" s="211">
        <f>D464*C$460/10^9</f>
        <v>1.4684786885245902</v>
      </c>
    </row>
    <row r="465" spans="2:6" ht="14.5" hidden="1" outlineLevel="1">
      <c r="B465" s="10" t="s">
        <v>3450</v>
      </c>
      <c r="C465" s="11">
        <f>H190</f>
        <v>8000</v>
      </c>
      <c r="D465" s="11">
        <f t="shared" si="46"/>
        <v>1721967.2131147543</v>
      </c>
      <c r="E465" s="211">
        <f t="shared" ref="E465:E475" si="47">D465*C$460/10^9</f>
        <v>3.4439344262295082</v>
      </c>
      <c r="F465" s="1251" t="s">
        <v>3728</v>
      </c>
    </row>
    <row r="466" spans="2:6" ht="14.5" hidden="1" outlineLevel="1">
      <c r="B466" s="10" t="s">
        <v>3451</v>
      </c>
      <c r="C466" s="11">
        <f t="shared" ref="C466:C475" si="48">C207</f>
        <v>7489.5</v>
      </c>
      <c r="D466" s="11">
        <f t="shared" si="46"/>
        <v>590565.4918032788</v>
      </c>
      <c r="E466" s="211">
        <f t="shared" si="47"/>
        <v>1.1811309836065575</v>
      </c>
    </row>
    <row r="467" spans="2:6" ht="14.5" hidden="1" outlineLevel="1">
      <c r="B467" s="10" t="s">
        <v>3452</v>
      </c>
      <c r="C467" s="11">
        <f t="shared" si="48"/>
        <v>7489.5</v>
      </c>
      <c r="D467" s="11">
        <f t="shared" si="46"/>
        <v>286074.34426229511</v>
      </c>
      <c r="E467" s="211">
        <f t="shared" si="47"/>
        <v>0.57214868852459022</v>
      </c>
    </row>
    <row r="468" spans="2:6" ht="14.5" hidden="1" outlineLevel="1">
      <c r="B468" s="10" t="s">
        <v>3453</v>
      </c>
      <c r="C468" s="11">
        <f t="shared" si="48"/>
        <v>1500</v>
      </c>
      <c r="D468" s="11">
        <f t="shared" si="46"/>
        <v>1504311.9025304595</v>
      </c>
      <c r="E468" s="211">
        <f t="shared" si="47"/>
        <v>3.0086238050609189</v>
      </c>
    </row>
    <row r="469" spans="2:6" ht="14.5" hidden="1" outlineLevel="1">
      <c r="B469" s="10" t="s">
        <v>3454</v>
      </c>
      <c r="C469" s="11">
        <f t="shared" si="48"/>
        <v>1500</v>
      </c>
      <c r="D469" s="11">
        <f t="shared" si="46"/>
        <v>53699.999999999993</v>
      </c>
      <c r="E469" s="211">
        <f t="shared" si="47"/>
        <v>0.10739999999999998</v>
      </c>
    </row>
    <row r="470" spans="2:6" ht="14.5" hidden="1" outlineLevel="1">
      <c r="B470" s="10" t="s">
        <v>3455</v>
      </c>
      <c r="C470" s="11">
        <f t="shared" si="48"/>
        <v>10.7476</v>
      </c>
      <c r="D470" s="11">
        <f t="shared" si="46"/>
        <v>48631.815239999996</v>
      </c>
      <c r="E470" s="211">
        <f t="shared" si="47"/>
        <v>9.7263630479999988E-2</v>
      </c>
    </row>
    <row r="471" spans="2:6" ht="14.5" hidden="1" outlineLevel="1">
      <c r="B471" s="10" t="s">
        <v>3456</v>
      </c>
      <c r="C471" s="11">
        <f t="shared" si="48"/>
        <v>122.5</v>
      </c>
      <c r="D471" s="11">
        <f t="shared" si="46"/>
        <v>332580.14999999997</v>
      </c>
      <c r="E471" s="211">
        <f t="shared" si="47"/>
        <v>0.66516029999999993</v>
      </c>
    </row>
    <row r="472" spans="2:6" ht="14.5" hidden="1" outlineLevel="1">
      <c r="B472" s="10" t="s">
        <v>3457</v>
      </c>
      <c r="C472" s="11">
        <f t="shared" si="48"/>
        <v>7</v>
      </c>
      <c r="D472" s="11">
        <f t="shared" si="46"/>
        <v>4595.7780000000002</v>
      </c>
      <c r="E472" s="211">
        <f t="shared" si="47"/>
        <v>9.191556E-3</v>
      </c>
    </row>
    <row r="473" spans="2:6" ht="14.5" hidden="1" outlineLevel="1">
      <c r="B473" s="10" t="s">
        <v>3458</v>
      </c>
      <c r="C473" s="11">
        <f t="shared" si="48"/>
        <v>88.25</v>
      </c>
      <c r="D473" s="11">
        <f t="shared" si="46"/>
        <v>310640</v>
      </c>
      <c r="E473" s="211">
        <f t="shared" si="47"/>
        <v>0.62128000000000005</v>
      </c>
    </row>
    <row r="474" spans="2:6" ht="14.5" hidden="1" outlineLevel="1">
      <c r="B474" s="10" t="s">
        <v>3459</v>
      </c>
      <c r="C474" s="11">
        <f t="shared" si="48"/>
        <v>2192</v>
      </c>
      <c r="D474" s="11">
        <f t="shared" si="46"/>
        <v>28276.799999999999</v>
      </c>
      <c r="E474" s="211">
        <f t="shared" si="47"/>
        <v>5.6553600000000002E-2</v>
      </c>
    </row>
    <row r="475" spans="2:6" ht="15" hidden="1" outlineLevel="1" thickBot="1">
      <c r="B475" s="13" t="s">
        <v>3460</v>
      </c>
      <c r="C475" s="14">
        <f t="shared" si="48"/>
        <v>2192</v>
      </c>
      <c r="D475" s="14">
        <f t="shared" si="46"/>
        <v>21043.200000000001</v>
      </c>
      <c r="E475" s="186">
        <f t="shared" si="47"/>
        <v>4.2086400000000003E-2</v>
      </c>
    </row>
    <row r="476" spans="2:6" ht="15" hidden="1" outlineLevel="1" thickBot="1">
      <c r="D476" s="13" t="s">
        <v>83</v>
      </c>
      <c r="E476" s="217">
        <f>SUM(E464:E475)</f>
        <v>11.273252078426168</v>
      </c>
    </row>
    <row r="477" spans="2:6" hidden="1" outlineLevel="1"/>
    <row r="478" spans="2:6" collapsed="1"/>
  </sheetData>
  <mergeCells count="24">
    <mergeCell ref="J188:J189"/>
    <mergeCell ref="C188:C189"/>
    <mergeCell ref="B188:B189"/>
    <mergeCell ref="A1:XFD2"/>
    <mergeCell ref="C68:E68"/>
    <mergeCell ref="H188:H189"/>
    <mergeCell ref="I188:I189"/>
    <mergeCell ref="G55:I55"/>
    <mergeCell ref="D190:F190"/>
    <mergeCell ref="D192:F192"/>
    <mergeCell ref="D193:F193"/>
    <mergeCell ref="D188:F188"/>
    <mergeCell ref="G188:G189"/>
    <mergeCell ref="K328:O328"/>
    <mergeCell ref="B328:B329"/>
    <mergeCell ref="C328:G328"/>
    <mergeCell ref="H328:I328"/>
    <mergeCell ref="J328:J329"/>
    <mergeCell ref="I228:K228"/>
    <mergeCell ref="C203:C204"/>
    <mergeCell ref="B203:B204"/>
    <mergeCell ref="B228:B229"/>
    <mergeCell ref="C228:C229"/>
    <mergeCell ref="D228:H228"/>
  </mergeCells>
  <phoneticPr fontId="33" type="noConversion"/>
  <conditionalFormatting sqref="A1:XFD2">
    <cfRule type="containsBlanks" dxfId="10" priority="3">
      <formula>LEN(TRIM(A1))=0</formula>
    </cfRule>
  </conditionalFormatting>
  <conditionalFormatting sqref="D374:P383">
    <cfRule type="colorScale" priority="2">
      <colorScale>
        <cfvo type="min"/>
        <cfvo type="percentile" val="50"/>
        <cfvo type="max"/>
        <color rgb="FFFCFCFF"/>
        <color rgb="FFDDF0C8"/>
        <color rgb="FF63BE7B"/>
      </colorScale>
    </cfRule>
  </conditionalFormatting>
  <conditionalFormatting sqref="D384:P384">
    <cfRule type="colorScale" priority="1">
      <colorScale>
        <cfvo type="min"/>
        <cfvo type="percentile" val="50"/>
        <cfvo type="max"/>
        <color rgb="FFFCFCFF"/>
        <color rgb="FFDDF0C8"/>
        <color rgb="FF63BE7B"/>
      </colorScale>
    </cfRule>
  </conditionalFormatting>
  <hyperlinks>
    <hyperlink ref="B54" r:id="rId1" display="https://www.data.gouv.fr/fr/datasets/equipements-et-materiels-lourds-mis-en-oeuvre-au-sein-des-structures-finess-t-eml-finess/" xr:uid="{DBB176EF-A81A-445A-ABAC-E4F709BBFD89}"/>
    <hyperlink ref="D81" r:id="rId2" display="https://drees.solidarites-sante.gouv.fr/sites/default/files/2022-07/Fiche 20 - L%E2%80%99%C3%A9quipement en imagerie des %C3%A9tablissements de sant%C3%A9 publics et priv%C3%A9s %C3%A0 but non lucratif.pdf" xr:uid="{0BD60E64-09E3-4A9F-83D4-5D4F712B2CC9}"/>
    <hyperlink ref="C107" r:id="rId3" display="https://www.ch-havre.fr/notre-offre-de-soins/innovation-et-tecnologie-de-pointe/" xr:uid="{800C1748-E997-4696-B767-ACFE36506897}"/>
    <hyperlink ref="H107" r:id="rId4" display="https://www.atih.sante.fr/sites/default/files/public/content/4482/202210_aah2021_mco.pdf" xr:uid="{A59A7E60-87B3-407A-8B68-08D792BC6F5E}"/>
    <hyperlink ref="D199" r:id="rId5" location=":~:text=Dimensions%20de%20l%27unit%C3%A9%20de,Poids%20%3A%20110%20Kg%20aprox." display="https://www.dentaltix.com/fr/morita/veraview-ic5-hd-equipement-de-radiographie-panoramique - :~:text=Dimensions%20de%20l%27unit%C3%A9%20de,Poids%20%3A%20110%20Kg%20aprox." xr:uid="{66EDF2AE-F989-46F0-9384-61D593014686}"/>
    <hyperlink ref="E258" r:id="rId6" display="https://www.thelancet.com/action/showPdf?pii=S2666-6065%2822%2900074-8" xr:uid="{0F05AD56-A431-46D6-8680-FA020DA9CCE0}"/>
    <hyperlink ref="E259:E260" r:id="rId7" display="https://www.thelancet.com/action/showPdf?pii=S2666-6065%2822%2900074-8" xr:uid="{BB17494F-3CD3-4523-B116-40B1D8D3DBA6}"/>
    <hyperlink ref="E263" r:id="rId8" display="https://ajronline.org/doi/10.2214/AJR.24.30988" xr:uid="{5EC8BC1B-125D-4CB2-A4A5-7E2753C29584}"/>
    <hyperlink ref="E264:E269" r:id="rId9" display="https://ajronline.org/doi/10.2214/AJR.24.30988" xr:uid="{4A339DA7-725B-4C16-B2A2-EBC2D0D8D7EC}"/>
    <hyperlink ref="E270" r:id="rId10" display="https://betterbuildingssolutioncenter.energy.gov/sites/default/files/Medical Imaging Equipment Energy Efficiency.pdf" xr:uid="{FE322A0C-0A97-4FDA-9366-040ABA52C3E3}"/>
    <hyperlink ref="B383" r:id="rId11" display="https://www.tarifdouanier.eu/2024/9022" xr:uid="{E36BD921-7840-46D1-A085-11D79D9A157B}"/>
    <hyperlink ref="D302" r:id="rId12" display="https://cdn0.scrvt.com/39b415fb07de4d9656c7b516d8e2d907/6f1b3a60a0129031/05cde7035f3f/CT-SOMATOM-X_ceed-EPD.PDF" xr:uid="{F95306C8-9106-42CC-972F-F5F4EBB63D24}"/>
    <hyperlink ref="D303" r:id="rId13" display="https://cdn0.scrvt.com/39b415fb07de4d9656c7b516d8e2d907/1800000007020056/38fc15b1a059/ct_somatom_go_top_epd_final_1800000007020056.pdf" xr:uid="{777B645D-D7AB-426C-9B87-F6868DA03ECA}"/>
    <hyperlink ref="D312" r:id="rId14" display="https://www.diagnostikaproionta.gr/wp-content/uploads/2021/09/9080_US_ACUSON_NX2_EPD_brochure__1800000007387316.pdf" xr:uid="{6BEE1379-CC82-4D39-977C-9E83A28E6446}"/>
    <hyperlink ref="D313" r:id="rId15" display="https://www.diagnostikaproionta.gr/wp-content/uploads/2021/09/ACUSON-NX3-EPD-Environmental-Brochure.pdf" xr:uid="{F950BD29-A4D9-43E5-90A3-A62AD7A66B9E}"/>
    <hyperlink ref="D304" r:id="rId16" display="https://marketing.webassets.siemens-healthineers.com/0eb8bdd88a7d1cf8/20257d43cb15/SOMATOM-Pro.Pulse-Environment-Product-Declaration.PDF" xr:uid="{C00A4FE4-E0E3-4DDF-B224-F5076885BD16}"/>
    <hyperlink ref="D305" r:id="rId17" display="https://marketing.webassets.siemens-healthineers.com/af4273f6bf7a4704/7999446ca7a7/SOMATOM-Force-Environmental-Product-Declaration.PDF" xr:uid="{5729D26C-0561-48AD-9F31-FDF8F3B75C86}"/>
    <hyperlink ref="D306" r:id="rId18" display="https://marketing.webassets.siemens-healthineers.com/c643bcfe921c1f5b/de1d22957be1/SOMATOM-Drive-Environmental-Product-Declaration.PDF" xr:uid="{75D57C36-D610-4B80-BF66-4F896759EDA1}"/>
    <hyperlink ref="D308" r:id="rId19" display="https://marketing.webassets.siemens-healthineers.com/1800000000269017/e939e1ed1ac6/MRI-Biograph-mMR-EPD_1800000000269017.pdf" xr:uid="{C62DD554-9C7C-483E-9480-C4B5392A51CE}"/>
    <hyperlink ref="D310" r:id="rId20" display="https://marketing.webassets.siemens-healthineers.com/1800000000079271/8dbd28b3210d/MRI-MAGNETOM-ESSENZA-Environmental_product_declaration_1800000000079271.pdf" xr:uid="{E2825702-F48F-48AA-856D-F5792DBEE4FB}"/>
    <hyperlink ref="D315" r:id="rId21" display="https://marketing.webassets.siemens-healthineers.com/1800000000934423/cafafdd844ed/AX_Siemens_Artis_Q_EPD_125600505_2_1800000000934423.pdf" xr:uid="{BD279D97-0335-42A3-9DD4-F7CDBFD6FF90}"/>
    <hyperlink ref="D311" r:id="rId22" display="https://cdn0.scrvt.com/39b415fb07de4d9656c7b516d8e2d907/1800000007344914/20ff121028df/MR_EPD_Broschuere_MAGNETOM_VidaFit_Final_1800000007344914.pdf" xr:uid="{C55ECD77-6531-47BB-A369-C31BBDE90A3F}"/>
    <hyperlink ref="D314" r:id="rId23" display="https://marketing.webassets.siemens-healthineers.com/1800000007261406/3a17086faaaf/6863_us_acuson_juniper_epd_final_hood05162002999345-06201053_v2_newbrand_1800000007261406.pdf" xr:uid="{66308471-0F1D-4FC8-BEB5-5CC5BD676856}"/>
    <hyperlink ref="D309" r:id="rId24" display="https://cdn0.scrvt.com/39b415fb07de4d9656c7b516d8e2d907/1800000001114614/8cb1fac3d98d/siemens-healthineers-Magnetom_Prisma_EnvironmentalProductDeclaration.pdf" xr:uid="{FA968B52-7057-4380-84F7-6FC2A23930C4}"/>
    <hyperlink ref="D307" r:id="rId25" xr:uid="{07C31C9C-7FFC-423D-9F0D-C037D435931F}"/>
    <hyperlink ref="D316" r:id="rId26" xr:uid="{82A3BCF5-78A5-4FAB-BEF1-EEA07E134181}"/>
    <hyperlink ref="D317" r:id="rId27" display="https://marketing.webassets.siemens-healthineers.com/1800000006278815/1bc4d349c15d/MI_SPECT_Intevo-epd_apr-19_1800000006278815.pdf" xr:uid="{C0F92B2D-47B7-46EE-9950-502BD1012747}"/>
    <hyperlink ref="B384" r:id="rId28" display="https://www.tarifdouanier.eu/2024/9022" xr:uid="{EFF50DF6-3092-4C31-8A39-AC2FE2F8D49A}"/>
    <hyperlink ref="B400" r:id="rId29" display="https://www.tarifdouanier.eu/2024/9022" xr:uid="{F0F0E255-E0BE-4908-8796-2471C46557B4}"/>
    <hyperlink ref="B401" r:id="rId30" display="https://www.tarifdouanier.eu/2024/9022" xr:uid="{0833253B-16F5-4F21-B885-9A491E60CA50}"/>
    <hyperlink ref="F435" r:id="rId31" display="https://www.utc.fr/tsibh/public/3abih/11/pi/groupe5/index.html" xr:uid="{3E3D1B76-46FF-4B1E-95AE-33919189B073}"/>
    <hyperlink ref="F443" r:id="rId32" display="http://www.ch-martigues.fr/fileadmin/user_upload/CHM_MAINTENANCE_ECHO_-_19.pdf" xr:uid="{9CBCD1B1-7A3F-4FE0-8FA0-54C073BB3ECB}"/>
    <hyperlink ref="F107" r:id="rId33" display="https://www.chu-dijon.fr/sites/default/files/pdf/Chiffres-cl%C3%A9s 2023.pdf" xr:uid="{6A3B073A-A2F2-4AEF-9F62-7A4014B2C895}"/>
    <hyperlink ref="D75" r:id="rId34" xr:uid="{9E13F100-A92A-49A8-AE41-6CE85088E488}"/>
    <hyperlink ref="B127" r:id="rId35" display="https://www.irsn.fr/sites/default/files/documents/expertise/rapports_expertise/IRSN-PSE-SANTE-SER-2018-00002-Parc-Scanners.pdf" xr:uid="{58FA9ED0-2386-4E9F-A75A-EA5C4A103908}"/>
    <hyperlink ref="B134" r:id="rId36" display="https://dumas.ccsd.cnrs.fr/dumas-04716188v1/document" xr:uid="{95A9E425-2670-455A-BC46-56E13A4F9C4D}"/>
    <hyperlink ref="H86" r:id="rId37" display="https://sante.gouv.fr/IMG/pdf/ondps_nov_2021_rapport_la_demographie_des_chirurgiens-dentistes_etat_des_lieux_et_perspectives_web.pdf" xr:uid="{BDDE4B90-7BF2-4255-BE94-BEFA0AE6C5E0}"/>
    <hyperlink ref="D170" r:id="rId38" display="https://cdn0.scrvt.com/39b415fb07de4d9656c7b516d8e2d907/6f1b3a60a0129031/05cde7035f3f/CT-SOMATOM-X_ceed-EPD.PDF" xr:uid="{815641D9-DEC7-4712-92EA-378A2B46A7B6}"/>
    <hyperlink ref="D171" r:id="rId39" display="https://cdn0.scrvt.com/39b415fb07de4d9656c7b516d8e2d907/1800000007020056/38fc15b1a059/ct_somatom_go_top_epd_final_1800000007020056.pdf" xr:uid="{C9B6AC92-2FD8-4FEB-9534-EAA336A78052}"/>
    <hyperlink ref="D180" r:id="rId40" display="https://www.diagnostikaproionta.gr/wp-content/uploads/2021/09/9080_US_ACUSON_NX2_EPD_brochure__1800000007387316.pdf" xr:uid="{E8D934F2-FD79-46F4-938F-F5DDE2C65CDE}"/>
    <hyperlink ref="D181" r:id="rId41" display="https://www.diagnostikaproionta.gr/wp-content/uploads/2021/09/ACUSON-NX3-EPD-Environmental-Brochure.pdf" xr:uid="{D19A1B8B-15CC-44CE-A950-D8F89088BD36}"/>
    <hyperlink ref="D172" r:id="rId42" display="https://marketing.webassets.siemens-healthineers.com/0eb8bdd88a7d1cf8/20257d43cb15/SOMATOM-Pro.Pulse-Environment-Product-Declaration.PDF" xr:uid="{B8DD20F1-DEE8-490C-A030-00C7DAE807F4}"/>
    <hyperlink ref="D173" r:id="rId43" display="https://marketing.webassets.siemens-healthineers.com/af4273f6bf7a4704/7999446ca7a7/SOMATOM-Force-Environmental-Product-Declaration.PDF" xr:uid="{9E54DE95-0EB6-42FF-B542-540E0E2D3586}"/>
    <hyperlink ref="D174" r:id="rId44" display="https://marketing.webassets.siemens-healthineers.com/c643bcfe921c1f5b/de1d22957be1/SOMATOM-Drive-Environmental-Product-Declaration.PDF" xr:uid="{165D7042-0487-498E-B134-319A31FC038E}"/>
    <hyperlink ref="D176" r:id="rId45" display="https://marketing.webassets.siemens-healthineers.com/1800000000269017/e939e1ed1ac6/MRI-Biograph-mMR-EPD_1800000000269017.pdf" xr:uid="{F3056E54-7168-4D24-A96F-6A2A98F669C2}"/>
    <hyperlink ref="D178" r:id="rId46" display="https://marketing.webassets.siemens-healthineers.com/1800000000079271/8dbd28b3210d/MRI-MAGNETOM-ESSENZA-Environmental_product_declaration_1800000000079271.pdf" xr:uid="{09D9905E-A472-4CA2-A41D-236BB554E5E5}"/>
    <hyperlink ref="D183" r:id="rId47" display="https://marketing.webassets.siemens-healthineers.com/1800000000934423/cafafdd844ed/AX_Siemens_Artis_Q_EPD_125600505_2_1800000000934423.pdf" xr:uid="{B1EB5F86-1266-49B3-9813-C994281EB15D}"/>
    <hyperlink ref="D179" r:id="rId48" display="https://cdn0.scrvt.com/39b415fb07de4d9656c7b516d8e2d907/1800000007344914/20ff121028df/MR_EPD_Broschuere_MAGNETOM_VidaFit_Final_1800000007344914.pdf" xr:uid="{AA1E188B-47B8-4ECA-B725-CA3C66732BD5}"/>
    <hyperlink ref="D182" r:id="rId49" display="https://marketing.webassets.siemens-healthineers.com/1800000007261406/3a17086faaaf/6863_us_acuson_juniper_epd_final_hood05162002999345-06201053_v2_newbrand_1800000007261406.pdf" xr:uid="{6E3DB186-369E-4074-958F-1FAE64F59C80}"/>
    <hyperlink ref="D177" r:id="rId50" display="https://cdn0.scrvt.com/39b415fb07de4d9656c7b516d8e2d907/1800000001114614/8cb1fac3d98d/siemens-healthineers-Magnetom_Prisma_EnvironmentalProductDeclaration.pdf" xr:uid="{6D098EA5-11FB-465D-B3E8-29222B56A277}"/>
    <hyperlink ref="D175" r:id="rId51" xr:uid="{4548A595-010D-4BD6-89F8-8C7528C4477D}"/>
    <hyperlink ref="D184" r:id="rId52" xr:uid="{7138303F-A60F-4417-9E9E-DCAD83B343AE}"/>
    <hyperlink ref="D185" r:id="rId53" display="https://marketing.webassets.siemens-healthineers.com/1800000006278815/1bc4d349c15d/MI_SPECT_Intevo-epd_apr-19_1800000006278815.pdf" xr:uid="{68B1F3C9-8147-4518-84A4-D1DE239FB10C}"/>
    <hyperlink ref="E199" r:id="rId54" display="https://tovamed.com/TOVAMED-Catalogue-2018.pdf" xr:uid="{48EC3DD6-7E91-4F23-834A-B12AF9BDE93D}"/>
    <hyperlink ref="D76" r:id="rId55" xr:uid="{9EC0A8BC-DB51-4556-8D64-001E2F645C69}"/>
    <hyperlink ref="D220" r:id="rId56" display="https://www.philips.com/c-dam/corporate/about-philips/sustainability/downloads/ecovision-methodologies/epl-methodology.pdf" xr:uid="{4A56EC49-7628-443D-B0A0-6BB6F9765F7D}"/>
    <hyperlink ref="D221:D222" r:id="rId57" display="https://www.philips.com/c-dam/corporate/about-philips/sustainability/downloads/ecovision-methodologies/epl-methodology.pdf" xr:uid="{6E19E7FA-1BB8-4CD4-9E7D-97140819C498}"/>
  </hyperlinks>
  <pageMargins left="0.7" right="0.7" top="0.75" bottom="0.75" header="0.3" footer="0.3"/>
  <pageSetup paperSize="9" orientation="portrait" r:id="rId58"/>
  <drawing r:id="rId59"/>
  <legacyDrawing r:id="rId60"/>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560DD5-ED2B-4FDE-93C1-EFD15D28B5F4}">
  <sheetPr>
    <tabColor theme="7"/>
  </sheetPr>
  <dimension ref="A1:Q333"/>
  <sheetViews>
    <sheetView zoomScale="60" zoomScaleNormal="60" workbookViewId="0">
      <selection sqref="A1:XFD2"/>
    </sheetView>
  </sheetViews>
  <sheetFormatPr baseColWidth="10" defaultColWidth="11" defaultRowHeight="14" outlineLevelRow="1"/>
  <cols>
    <col min="2" max="2" width="64" customWidth="1"/>
    <col min="3" max="3" width="16.83203125" customWidth="1"/>
    <col min="4" max="4" width="14.6640625" customWidth="1"/>
    <col min="5" max="5" width="12.33203125" customWidth="1"/>
    <col min="6" max="6" width="13.83203125" customWidth="1"/>
    <col min="7" max="7" width="13.6640625" customWidth="1"/>
    <col min="8" max="8" width="17.1640625" customWidth="1"/>
    <col min="9" max="9" width="20.83203125" customWidth="1"/>
  </cols>
  <sheetData>
    <row r="1" spans="1:10" s="1505" customFormat="1">
      <c r="A1" s="1505" t="s">
        <v>3729</v>
      </c>
    </row>
    <row r="2" spans="1:10" s="1505" customFormat="1"/>
    <row r="5" spans="1:10">
      <c r="B5" s="1251" t="s">
        <v>47</v>
      </c>
    </row>
    <row r="6" spans="1:10">
      <c r="B6" s="1251"/>
    </row>
    <row r="8" spans="1:10" ht="23.5">
      <c r="B8" s="2" t="s">
        <v>180</v>
      </c>
    </row>
    <row r="10" spans="1:10" ht="14.5" hidden="1" outlineLevel="1" thickBot="1">
      <c r="B10" s="1251" t="s">
        <v>351</v>
      </c>
    </row>
    <row r="11" spans="1:10" s="1" customFormat="1" ht="24.5" hidden="1" customHeight="1" outlineLevel="1" thickBot="1">
      <c r="B11" s="456" t="s">
        <v>82</v>
      </c>
      <c r="C11" s="750" t="s">
        <v>133</v>
      </c>
      <c r="D11" s="750" t="s">
        <v>3730</v>
      </c>
      <c r="E11" s="750" t="s">
        <v>86</v>
      </c>
      <c r="F11" s="750" t="s">
        <v>87</v>
      </c>
      <c r="G11" s="750" t="s">
        <v>88</v>
      </c>
      <c r="H11" s="750" t="s">
        <v>3731</v>
      </c>
      <c r="I11" s="750" t="s">
        <v>89</v>
      </c>
      <c r="J11" s="750" t="s">
        <v>83</v>
      </c>
    </row>
    <row r="12" spans="1:10" hidden="1" outlineLevel="1">
      <c r="B12" s="744" t="s">
        <v>3732</v>
      </c>
      <c r="C12" s="588">
        <f>G131</f>
        <v>10.40006921774709</v>
      </c>
      <c r="D12" s="751">
        <f>SUM(H131:I131)</f>
        <v>1.5140202198149764</v>
      </c>
      <c r="E12" s="752">
        <f>F188</f>
        <v>1.1774630561907053</v>
      </c>
      <c r="F12" s="751">
        <f>D158</f>
        <v>24.727641039316573</v>
      </c>
      <c r="G12" s="752">
        <f>D250</f>
        <v>2.1224791741544675</v>
      </c>
      <c r="H12" s="449">
        <f>C304</f>
        <v>13.281988701923078</v>
      </c>
      <c r="I12" s="757">
        <f>E324</f>
        <v>0.70187931407051285</v>
      </c>
      <c r="J12" s="761">
        <f t="shared" ref="J12:J18" si="0">SUM(C12:I12)</f>
        <v>53.925540723217402</v>
      </c>
    </row>
    <row r="13" spans="1:10" hidden="1" outlineLevel="1">
      <c r="B13" s="744" t="s">
        <v>3733</v>
      </c>
      <c r="C13" s="213">
        <f t="shared" ref="C13:C18" si="1">G132</f>
        <v>1.7678550961957851</v>
      </c>
      <c r="D13" s="466">
        <f t="shared" ref="D13:D18" si="2">SUM(H132:I132)</f>
        <v>0.25736062955965389</v>
      </c>
      <c r="E13" s="328">
        <f t="shared" ref="E13:E18" si="3">F189</f>
        <v>0.2001509817758621</v>
      </c>
      <c r="F13" s="466">
        <f t="shared" ref="F13:F18" si="4">D159</f>
        <v>0</v>
      </c>
      <c r="G13" s="328">
        <f t="shared" ref="G13:G18" si="5">D251</f>
        <v>0.32094762602613663</v>
      </c>
      <c r="H13" s="180">
        <f t="shared" ref="H13:H18" si="6">C305</f>
        <v>0</v>
      </c>
      <c r="I13" s="758">
        <f t="shared" ref="I13:I18" si="7">E325</f>
        <v>0.11930891</v>
      </c>
      <c r="J13" s="762">
        <f t="shared" si="0"/>
        <v>2.6656232435574378</v>
      </c>
    </row>
    <row r="14" spans="1:10" hidden="1" outlineLevel="1">
      <c r="B14" s="744" t="s">
        <v>3734</v>
      </c>
      <c r="C14" s="213">
        <f t="shared" si="1"/>
        <v>14.250631425328143</v>
      </c>
      <c r="D14" s="466">
        <f t="shared" si="2"/>
        <v>2.0745769736089659</v>
      </c>
      <c r="E14" s="328">
        <f t="shared" si="3"/>
        <v>0</v>
      </c>
      <c r="F14" s="466">
        <f t="shared" si="4"/>
        <v>23.670807374603314</v>
      </c>
      <c r="G14" s="328">
        <f t="shared" si="5"/>
        <v>1.163603283714431</v>
      </c>
      <c r="H14" s="180">
        <f t="shared" si="6"/>
        <v>1.4245840000000001</v>
      </c>
      <c r="I14" s="758">
        <f t="shared" si="7"/>
        <v>0.96174585000000012</v>
      </c>
      <c r="J14" s="762">
        <f t="shared" si="0"/>
        <v>43.545948907254854</v>
      </c>
    </row>
    <row r="15" spans="1:10" hidden="1" outlineLevel="1">
      <c r="B15" s="744" t="s">
        <v>3735</v>
      </c>
      <c r="C15" s="213">
        <f t="shared" si="1"/>
        <v>0.30511010414541961</v>
      </c>
      <c r="D15" s="466">
        <f t="shared" si="2"/>
        <v>4.4417287738598987E-2</v>
      </c>
      <c r="E15" s="328">
        <f t="shared" si="3"/>
        <v>3.454360429531389E-2</v>
      </c>
      <c r="F15" s="466">
        <f t="shared" si="4"/>
        <v>0</v>
      </c>
      <c r="G15" s="328">
        <f t="shared" si="5"/>
        <v>5.5391623336540068E-2</v>
      </c>
      <c r="H15" s="180">
        <f t="shared" si="6"/>
        <v>0</v>
      </c>
      <c r="I15" s="758">
        <f t="shared" si="7"/>
        <v>2.059125435897436E-2</v>
      </c>
      <c r="J15" s="762">
        <f t="shared" si="0"/>
        <v>0.46005387387484692</v>
      </c>
    </row>
    <row r="16" spans="1:10" hidden="1" outlineLevel="1">
      <c r="B16" s="744" t="s">
        <v>3736</v>
      </c>
      <c r="C16" s="213">
        <f t="shared" si="1"/>
        <v>3.4917159271465512</v>
      </c>
      <c r="D16" s="466">
        <f t="shared" si="2"/>
        <v>0.50831666644379003</v>
      </c>
      <c r="E16" s="328">
        <f t="shared" si="3"/>
        <v>0</v>
      </c>
      <c r="F16" s="466">
        <f t="shared" si="4"/>
        <v>0</v>
      </c>
      <c r="G16" s="328">
        <f t="shared" si="5"/>
        <v>0.28510821712815082</v>
      </c>
      <c r="H16" s="180">
        <f t="shared" si="6"/>
        <v>3.4066413461538456</v>
      </c>
      <c r="I16" s="758">
        <f t="shared" si="7"/>
        <v>0.23564873738461534</v>
      </c>
      <c r="J16" s="762">
        <f t="shared" si="0"/>
        <v>7.9274308942569531</v>
      </c>
    </row>
    <row r="17" spans="2:12" hidden="1" outlineLevel="1">
      <c r="B17" s="744" t="s">
        <v>3737</v>
      </c>
      <c r="C17" s="213">
        <f t="shared" si="1"/>
        <v>0.62829989682951237</v>
      </c>
      <c r="D17" s="466">
        <f t="shared" si="2"/>
        <v>9.1466578538177384E-2</v>
      </c>
      <c r="E17" s="328">
        <f t="shared" si="3"/>
        <v>7.1134133940450955E-2</v>
      </c>
      <c r="F17" s="466">
        <f t="shared" si="4"/>
        <v>1.0236997597972302</v>
      </c>
      <c r="G17" s="328">
        <f t="shared" si="5"/>
        <v>0.12822543948730764</v>
      </c>
      <c r="H17" s="180">
        <f t="shared" si="6"/>
        <v>1.7068485576923074</v>
      </c>
      <c r="I17" s="758">
        <f t="shared" si="7"/>
        <v>4.2402669769230773E-2</v>
      </c>
      <c r="J17" s="762">
        <f t="shared" si="0"/>
        <v>3.6920770360542168</v>
      </c>
      <c r="L17" s="580"/>
    </row>
    <row r="18" spans="2:12" ht="14.5" hidden="1" outlineLevel="1" thickBot="1">
      <c r="B18" s="745" t="s">
        <v>3738</v>
      </c>
      <c r="C18" s="629">
        <f t="shared" si="1"/>
        <v>0.15194739307138219</v>
      </c>
      <c r="D18" s="666">
        <f t="shared" si="2"/>
        <v>2.2120182148949338E-2</v>
      </c>
      <c r="E18" s="753">
        <f t="shared" si="3"/>
        <v>1.7203004910845858E-2</v>
      </c>
      <c r="F18" s="666">
        <f t="shared" si="4"/>
        <v>0</v>
      </c>
      <c r="G18" s="753">
        <f t="shared" si="5"/>
        <v>3.1009906819729236E-2</v>
      </c>
      <c r="H18" s="383">
        <f t="shared" si="6"/>
        <v>0.17639823717948719</v>
      </c>
      <c r="I18" s="759">
        <f t="shared" si="7"/>
        <v>1.0254617521367521E-2</v>
      </c>
      <c r="J18" s="764">
        <f t="shared" si="0"/>
        <v>0.40893334165176137</v>
      </c>
      <c r="L18" s="580"/>
    </row>
    <row r="19" spans="2:12" ht="14.5" hidden="1" outlineLevel="1" thickBot="1">
      <c r="B19" s="756" t="s">
        <v>83</v>
      </c>
      <c r="C19" s="754">
        <f t="shared" ref="C19:J19" si="8">SUM(C12:C18)</f>
        <v>30.995629060463884</v>
      </c>
      <c r="D19" s="755">
        <f t="shared" si="8"/>
        <v>4.5122785378531116</v>
      </c>
      <c r="E19" s="755">
        <f t="shared" si="8"/>
        <v>1.5004947811131784</v>
      </c>
      <c r="F19" s="755">
        <f t="shared" si="8"/>
        <v>49.422148173717119</v>
      </c>
      <c r="G19" s="755">
        <f t="shared" si="8"/>
        <v>4.106765270666763</v>
      </c>
      <c r="H19" s="755">
        <f t="shared" si="8"/>
        <v>19.996460842948718</v>
      </c>
      <c r="I19" s="760">
        <f t="shared" si="8"/>
        <v>2.091831353104701</v>
      </c>
      <c r="J19" s="763">
        <f t="shared" si="8"/>
        <v>112.62560801986747</v>
      </c>
    </row>
    <row r="20" spans="2:12" hidden="1" outlineLevel="1"/>
    <row r="21" spans="2:12" hidden="1" outlineLevel="1"/>
    <row r="22" spans="2:12" hidden="1" outlineLevel="1"/>
    <row r="23" spans="2:12" hidden="1" outlineLevel="1"/>
    <row r="24" spans="2:12" hidden="1" outlineLevel="1"/>
    <row r="25" spans="2:12" hidden="1" outlineLevel="1"/>
    <row r="26" spans="2:12" hidden="1" outlineLevel="1"/>
    <row r="27" spans="2:12" hidden="1" outlineLevel="1"/>
    <row r="28" spans="2:12" hidden="1" outlineLevel="1"/>
    <row r="29" spans="2:12" hidden="1" outlineLevel="1"/>
    <row r="30" spans="2:12" hidden="1" outlineLevel="1"/>
    <row r="31" spans="2:12" hidden="1" outlineLevel="1"/>
    <row r="32" spans="2:12" hidden="1" outlineLevel="1"/>
    <row r="33" spans="2:4" hidden="1" outlineLevel="1"/>
    <row r="34" spans="2:4" hidden="1" outlineLevel="1"/>
    <row r="35" spans="2:4" hidden="1" outlineLevel="1"/>
    <row r="36" spans="2:4" hidden="1" outlineLevel="1"/>
    <row r="37" spans="2:4" collapsed="1"/>
    <row r="38" spans="2:4" ht="23.5">
      <c r="B38" s="2" t="s">
        <v>370</v>
      </c>
    </row>
    <row r="40" spans="2:4" ht="18">
      <c r="B40" s="258" t="s">
        <v>3739</v>
      </c>
    </row>
    <row r="42" spans="2:4" ht="14.5" hidden="1" outlineLevel="1" thickBot="1">
      <c r="B42" s="1251" t="s">
        <v>3740</v>
      </c>
    </row>
    <row r="43" spans="2:4" ht="42" hidden="1" outlineLevel="1">
      <c r="B43" s="456" t="s">
        <v>151</v>
      </c>
      <c r="C43" s="404" t="s">
        <v>3247</v>
      </c>
      <c r="D43" s="405" t="s">
        <v>3741</v>
      </c>
    </row>
    <row r="44" spans="2:4" hidden="1" outlineLevel="1">
      <c r="B44" s="562" t="s">
        <v>3742</v>
      </c>
      <c r="C44" s="563">
        <v>1842752</v>
      </c>
      <c r="D44" s="564">
        <f>C44/52</f>
        <v>35437.538461538461</v>
      </c>
    </row>
    <row r="45" spans="2:4" hidden="1" outlineLevel="1">
      <c r="B45" s="562" t="s">
        <v>3743</v>
      </c>
      <c r="C45" s="563">
        <v>85544707</v>
      </c>
      <c r="D45" s="564">
        <f>C45/52</f>
        <v>1645090.5192307692</v>
      </c>
    </row>
    <row r="46" spans="2:4" hidden="1" outlineLevel="1">
      <c r="B46" s="562" t="s">
        <v>3744</v>
      </c>
      <c r="C46" s="563">
        <v>4592314</v>
      </c>
      <c r="D46" s="564">
        <f>C46/52</f>
        <v>88313.730769230766</v>
      </c>
    </row>
    <row r="47" spans="2:4" ht="28.5" hidden="1" outlineLevel="1" thickBot="1">
      <c r="B47" s="565" t="s">
        <v>3745</v>
      </c>
      <c r="C47" s="566">
        <v>108682</v>
      </c>
      <c r="D47" s="567">
        <v>2090.0384615384614</v>
      </c>
    </row>
    <row r="48" spans="2:4" ht="14.5" hidden="1" outlineLevel="1" thickBot="1">
      <c r="B48" s="568" t="s">
        <v>3746</v>
      </c>
      <c r="C48" s="569">
        <v>92088455</v>
      </c>
      <c r="D48" s="570">
        <v>1770931.826923077</v>
      </c>
    </row>
    <row r="49" spans="2:9" hidden="1" outlineLevel="1"/>
    <row r="50" spans="2:9" ht="14.5" hidden="1" outlineLevel="1" thickBot="1">
      <c r="B50" s="1251" t="s">
        <v>3747</v>
      </c>
    </row>
    <row r="51" spans="2:9" ht="14.5" hidden="1" outlineLevel="1" thickBot="1">
      <c r="B51" s="571" t="s">
        <v>3748</v>
      </c>
      <c r="C51" s="572">
        <f>D48/6</f>
        <v>295155.3044871795</v>
      </c>
    </row>
    <row r="52" spans="2:9" collapsed="1">
      <c r="B52" s="85"/>
    </row>
    <row r="53" spans="2:9" ht="18">
      <c r="B53" s="258" t="s">
        <v>3749</v>
      </c>
    </row>
    <row r="54" spans="2:9">
      <c r="B54" s="85"/>
      <c r="F54" s="76"/>
      <c r="G54" s="76"/>
    </row>
    <row r="55" spans="2:9" ht="14.5" hidden="1" outlineLevel="1" thickBot="1">
      <c r="B55" s="1251" t="s">
        <v>3740</v>
      </c>
      <c r="F55" s="76"/>
      <c r="G55" s="76"/>
    </row>
    <row r="56" spans="2:9" ht="28.5" hidden="1" customHeight="1" outlineLevel="1">
      <c r="B56" s="456" t="s">
        <v>3247</v>
      </c>
      <c r="C56" s="404" t="s">
        <v>3750</v>
      </c>
      <c r="D56" s="404" t="s">
        <v>3751</v>
      </c>
      <c r="E56" s="573" t="s">
        <v>3741</v>
      </c>
      <c r="F56" s="456" t="s">
        <v>3752</v>
      </c>
      <c r="G56" s="404" t="s">
        <v>3753</v>
      </c>
      <c r="H56" s="404" t="s">
        <v>3754</v>
      </c>
      <c r="I56" s="405" t="s">
        <v>3755</v>
      </c>
    </row>
    <row r="57" spans="2:9" ht="28" hidden="1" outlineLevel="1">
      <c r="B57" s="562" t="s">
        <v>3756</v>
      </c>
      <c r="C57" s="563">
        <v>2182546</v>
      </c>
      <c r="D57" s="11">
        <v>655794</v>
      </c>
      <c r="E57" s="574">
        <f t="shared" ref="E57:E63" si="9">(C57+D57)/52</f>
        <v>54583.461538461539</v>
      </c>
      <c r="F57" s="1441" t="s">
        <v>3757</v>
      </c>
      <c r="G57" s="229"/>
      <c r="H57" s="229"/>
      <c r="I57" s="17"/>
    </row>
    <row r="58" spans="2:9" ht="27.5" hidden="1" customHeight="1" outlineLevel="1">
      <c r="B58" s="562" t="s">
        <v>3758</v>
      </c>
      <c r="C58" s="563">
        <v>788625</v>
      </c>
      <c r="D58" s="11">
        <v>392344</v>
      </c>
      <c r="E58" s="574">
        <f t="shared" si="9"/>
        <v>22710.942307692309</v>
      </c>
      <c r="F58" s="1441"/>
      <c r="G58" s="229"/>
      <c r="H58" s="1318" t="s">
        <v>3757</v>
      </c>
      <c r="I58" s="1283" t="s">
        <v>3757</v>
      </c>
    </row>
    <row r="59" spans="2:9" ht="28" hidden="1" outlineLevel="1">
      <c r="B59" s="562" t="s">
        <v>3759</v>
      </c>
      <c r="C59" s="563">
        <f>2288792</f>
        <v>2288792</v>
      </c>
      <c r="D59" s="11">
        <f>659973+69776</f>
        <v>729749</v>
      </c>
      <c r="E59" s="574">
        <f t="shared" si="9"/>
        <v>58048.865384615383</v>
      </c>
      <c r="F59" s="1441" t="s">
        <v>3757</v>
      </c>
      <c r="G59" s="1318" t="s">
        <v>3757</v>
      </c>
      <c r="H59" s="21"/>
      <c r="I59" s="17"/>
    </row>
    <row r="60" spans="2:9" hidden="1" outlineLevel="1">
      <c r="B60" s="562" t="s">
        <v>3760</v>
      </c>
      <c r="C60" s="201">
        <v>538916</v>
      </c>
      <c r="D60" s="11">
        <v>7471</v>
      </c>
      <c r="E60" s="574">
        <f t="shared" si="9"/>
        <v>10507.442307692309</v>
      </c>
      <c r="F60" s="237" t="s">
        <v>3757</v>
      </c>
      <c r="G60" s="1318"/>
      <c r="H60" s="1318"/>
      <c r="I60" s="17"/>
    </row>
    <row r="61" spans="2:9" hidden="1" outlineLevel="1">
      <c r="B61" s="562" t="s">
        <v>3761</v>
      </c>
      <c r="C61" s="201">
        <v>697629</v>
      </c>
      <c r="D61" s="11"/>
      <c r="E61" s="574">
        <f t="shared" si="9"/>
        <v>13415.942307692309</v>
      </c>
      <c r="F61" s="237"/>
      <c r="G61" s="1318" t="s">
        <v>3757</v>
      </c>
      <c r="H61" s="1318"/>
      <c r="I61" s="17"/>
    </row>
    <row r="62" spans="2:9" hidden="1" outlineLevel="1">
      <c r="B62" s="562" t="s">
        <v>3762</v>
      </c>
      <c r="C62" s="21">
        <v>904941</v>
      </c>
      <c r="D62" s="21">
        <v>8787</v>
      </c>
      <c r="E62" s="574">
        <f t="shared" si="9"/>
        <v>17571.692307692309</v>
      </c>
      <c r="F62" s="237"/>
      <c r="G62" s="1318" t="s">
        <v>3757</v>
      </c>
      <c r="H62" s="1318"/>
      <c r="I62" s="1283"/>
    </row>
    <row r="63" spans="2:9" ht="14.5" hidden="1" outlineLevel="1" thickBot="1">
      <c r="B63" s="562" t="s">
        <v>3763</v>
      </c>
      <c r="C63" s="21">
        <v>8371</v>
      </c>
      <c r="D63" s="21"/>
      <c r="E63" s="574">
        <f t="shared" si="9"/>
        <v>160.98076923076923</v>
      </c>
      <c r="F63" s="1442" t="s">
        <v>3757</v>
      </c>
      <c r="G63" s="376"/>
      <c r="H63" s="376"/>
      <c r="I63" s="309"/>
    </row>
    <row r="64" spans="2:9" ht="14.5" hidden="1" outlineLevel="1" thickBot="1">
      <c r="B64" s="565" t="s">
        <v>3764</v>
      </c>
      <c r="C64" s="566">
        <f>SUM(C57:C63)</f>
        <v>7409820</v>
      </c>
      <c r="D64" s="566">
        <f>SUM(D57:D63)</f>
        <v>1794145</v>
      </c>
      <c r="E64" s="567">
        <f>SUM(E57:E63)</f>
        <v>176999.32692307694</v>
      </c>
      <c r="G64" s="39"/>
      <c r="H64" s="76"/>
      <c r="I64" s="76"/>
    </row>
    <row r="65" spans="2:9" hidden="1" outlineLevel="1">
      <c r="I65" s="76"/>
    </row>
    <row r="66" spans="2:9" ht="14.5" hidden="1" outlineLevel="1" thickBot="1">
      <c r="B66" s="1251" t="s">
        <v>3765</v>
      </c>
      <c r="F66" s="76"/>
      <c r="G66" s="76"/>
    </row>
    <row r="67" spans="2:9" hidden="1" outlineLevel="1">
      <c r="B67" s="575" t="s">
        <v>3766</v>
      </c>
      <c r="C67" s="576">
        <f>(E59+E61+E62)/5</f>
        <v>17807.3</v>
      </c>
      <c r="F67" s="76"/>
      <c r="G67" s="76"/>
    </row>
    <row r="68" spans="2:9" hidden="1" outlineLevel="1">
      <c r="B68" s="562" t="s">
        <v>3767</v>
      </c>
      <c r="C68" s="577">
        <f>(E57+E59+E60+E63)/5</f>
        <v>24660.15</v>
      </c>
      <c r="F68" s="76"/>
      <c r="G68" s="76"/>
    </row>
    <row r="69" spans="2:9" hidden="1" outlineLevel="1">
      <c r="B69" s="562" t="s">
        <v>3768</v>
      </c>
      <c r="C69" s="577">
        <f>E58/5</f>
        <v>4542.1884615384615</v>
      </c>
      <c r="F69" s="76"/>
      <c r="G69" s="76"/>
    </row>
    <row r="70" spans="2:9" ht="14.5" hidden="1" outlineLevel="1" thickBot="1">
      <c r="B70" s="565" t="s">
        <v>3769</v>
      </c>
      <c r="C70" s="387">
        <f>E58/5</f>
        <v>4542.1884615384615</v>
      </c>
      <c r="F70" s="76"/>
      <c r="G70" s="76"/>
    </row>
    <row r="71" spans="2:9" collapsed="1">
      <c r="I71" s="76"/>
    </row>
    <row r="72" spans="2:9" ht="18">
      <c r="B72" s="258" t="s">
        <v>3770</v>
      </c>
      <c r="I72" s="76"/>
    </row>
    <row r="73" spans="2:9">
      <c r="H73" s="76"/>
      <c r="I73" s="76"/>
    </row>
    <row r="74" spans="2:9" ht="14.5" hidden="1" outlineLevel="1" thickBot="1">
      <c r="B74" s="1251" t="s">
        <v>3771</v>
      </c>
      <c r="I74" s="76"/>
    </row>
    <row r="75" spans="2:9" ht="28" hidden="1" outlineLevel="1">
      <c r="B75" s="456" t="s">
        <v>3247</v>
      </c>
      <c r="C75" s="404" t="s">
        <v>3750</v>
      </c>
      <c r="D75" s="404" t="s">
        <v>3751</v>
      </c>
      <c r="E75" s="405" t="s">
        <v>3741</v>
      </c>
      <c r="H75" s="76"/>
      <c r="I75" s="76"/>
    </row>
    <row r="76" spans="2:9" hidden="1" outlineLevel="1">
      <c r="B76" s="562" t="s">
        <v>3772</v>
      </c>
      <c r="C76" s="563">
        <v>423949</v>
      </c>
      <c r="D76" s="11">
        <v>16341</v>
      </c>
      <c r="E76" s="564">
        <f>(C76+D76)/52</f>
        <v>8467.1153846153848</v>
      </c>
      <c r="G76" s="39"/>
    </row>
    <row r="77" spans="2:9" hidden="1" outlineLevel="1">
      <c r="B77" s="562" t="s">
        <v>3773</v>
      </c>
      <c r="C77" s="563">
        <v>25732</v>
      </c>
      <c r="D77" s="11">
        <v>17468</v>
      </c>
      <c r="E77" s="564">
        <f>(C77+D77)/52</f>
        <v>830.76923076923072</v>
      </c>
      <c r="G77" s="39"/>
    </row>
    <row r="78" spans="2:9" hidden="1" outlineLevel="1">
      <c r="B78" s="562" t="s">
        <v>3774</v>
      </c>
      <c r="C78" s="563">
        <v>2382111</v>
      </c>
      <c r="D78" s="11">
        <f>1606283+69776</f>
        <v>1676059</v>
      </c>
      <c r="E78" s="564">
        <f>(C78+D78)/52</f>
        <v>78041.730769230766</v>
      </c>
      <c r="G78" s="39"/>
    </row>
    <row r="79" spans="2:9" hidden="1" outlineLevel="1">
      <c r="B79" s="562" t="s">
        <v>3775</v>
      </c>
      <c r="C79" s="201">
        <v>91187</v>
      </c>
      <c r="D79" s="11">
        <v>67737</v>
      </c>
      <c r="E79" s="564">
        <f>(C79+D79)/52</f>
        <v>3056.2307692307691</v>
      </c>
      <c r="G79" s="39"/>
      <c r="H79" s="76"/>
      <c r="I79" s="76"/>
    </row>
    <row r="80" spans="2:9" ht="14.5" hidden="1" outlineLevel="1" thickBot="1">
      <c r="B80" s="565" t="s">
        <v>3776</v>
      </c>
      <c r="C80" s="566">
        <f>SUM(C76:C79)</f>
        <v>2922979</v>
      </c>
      <c r="D80" s="566">
        <f>SUM(D76:D79)</f>
        <v>1777605</v>
      </c>
      <c r="E80" s="567">
        <f>SUM(E76:E79)</f>
        <v>90395.846153846142</v>
      </c>
    </row>
    <row r="81" spans="2:9" hidden="1" outlineLevel="1"/>
    <row r="82" spans="2:9" hidden="1" outlineLevel="1">
      <c r="F82" s="76"/>
      <c r="G82" s="76"/>
    </row>
    <row r="83" spans="2:9" ht="14.5" hidden="1" outlineLevel="1" thickBot="1">
      <c r="B83" s="1251" t="s">
        <v>3777</v>
      </c>
      <c r="F83" s="76"/>
      <c r="G83" s="76"/>
    </row>
    <row r="84" spans="2:9" hidden="1" outlineLevel="1">
      <c r="B84" s="575" t="s">
        <v>3778</v>
      </c>
      <c r="C84" s="576">
        <f>(E79+E78+E77)/6</f>
        <v>13654.788461538461</v>
      </c>
      <c r="F84" s="76"/>
      <c r="G84" s="76"/>
    </row>
    <row r="85" spans="2:9" ht="14.5" hidden="1" outlineLevel="1" thickBot="1">
      <c r="B85" s="565" t="s">
        <v>3779</v>
      </c>
      <c r="C85" s="195">
        <f>E76/6</f>
        <v>1411.1858974358975</v>
      </c>
    </row>
    <row r="86" spans="2:9" collapsed="1"/>
    <row r="87" spans="2:9" ht="18">
      <c r="B87" s="258" t="s">
        <v>3299</v>
      </c>
      <c r="H87" s="76"/>
      <c r="I87" s="76"/>
    </row>
    <row r="89" spans="2:9" ht="42" hidden="1" outlineLevel="1">
      <c r="B89" s="456" t="s">
        <v>977</v>
      </c>
      <c r="C89" s="404" t="s">
        <v>3255</v>
      </c>
      <c r="D89" s="405" t="s">
        <v>3256</v>
      </c>
      <c r="H89" s="76"/>
      <c r="I89" s="76"/>
    </row>
    <row r="90" spans="2:9" hidden="1" outlineLevel="1">
      <c r="B90" s="562" t="s">
        <v>3732</v>
      </c>
      <c r="C90" s="136">
        <f>D48</f>
        <v>1770931.826923077</v>
      </c>
      <c r="D90" s="1168">
        <f>C51</f>
        <v>295155.3044871795</v>
      </c>
      <c r="F90" s="579"/>
      <c r="G90" s="435"/>
    </row>
    <row r="91" spans="2:9" hidden="1" outlineLevel="1">
      <c r="B91" s="562" t="s">
        <v>3733</v>
      </c>
      <c r="C91" s="136">
        <f>(E59+E61+E62)</f>
        <v>89036.5</v>
      </c>
      <c r="D91" s="1168">
        <f>C67</f>
        <v>17807.3</v>
      </c>
      <c r="F91" s="579"/>
      <c r="G91" s="435"/>
      <c r="H91" s="76"/>
      <c r="I91" s="76"/>
    </row>
    <row r="92" spans="2:9" hidden="1" outlineLevel="1">
      <c r="B92" s="562" t="s">
        <v>3734</v>
      </c>
      <c r="C92" s="136">
        <f>(E57+E60+E59+E63)</f>
        <v>123300.74999999999</v>
      </c>
      <c r="D92" s="1168">
        <f>C68</f>
        <v>24660.15</v>
      </c>
      <c r="F92" s="579"/>
      <c r="G92" s="435"/>
    </row>
    <row r="93" spans="2:9" hidden="1" outlineLevel="1">
      <c r="B93" s="562" t="s">
        <v>3735</v>
      </c>
      <c r="C93" s="136">
        <f>E58</f>
        <v>22710.942307692309</v>
      </c>
      <c r="D93" s="1168">
        <f>C69</f>
        <v>4542.1884615384615</v>
      </c>
      <c r="F93" s="579"/>
      <c r="G93" s="435"/>
      <c r="H93" s="76"/>
      <c r="I93" s="76"/>
    </row>
    <row r="94" spans="2:9" hidden="1" outlineLevel="1">
      <c r="B94" s="562" t="s">
        <v>3736</v>
      </c>
      <c r="C94" s="136">
        <f>E58</f>
        <v>22710.942307692309</v>
      </c>
      <c r="D94" s="1168">
        <f>C70</f>
        <v>4542.1884615384615</v>
      </c>
      <c r="F94" s="579"/>
      <c r="G94" s="435"/>
    </row>
    <row r="95" spans="2:9" hidden="1" outlineLevel="1">
      <c r="B95" s="562" t="s">
        <v>3737</v>
      </c>
      <c r="C95" s="136">
        <f>E79+E78+E77</f>
        <v>81928.730769230766</v>
      </c>
      <c r="D95" s="1168">
        <f>C84</f>
        <v>13654.788461538461</v>
      </c>
      <c r="F95" s="579"/>
      <c r="G95" s="435"/>
      <c r="H95" s="76"/>
      <c r="I95" s="76"/>
    </row>
    <row r="96" spans="2:9" ht="14.5" hidden="1" outlineLevel="1" thickBot="1">
      <c r="B96" s="565" t="s">
        <v>3738</v>
      </c>
      <c r="C96" s="37">
        <f>E76</f>
        <v>8467.1153846153848</v>
      </c>
      <c r="D96" s="1169">
        <f>C85</f>
        <v>1411.1858974358975</v>
      </c>
      <c r="F96" s="579"/>
      <c r="G96" s="435"/>
    </row>
    <row r="97" spans="2:15" hidden="1" outlineLevel="1"/>
    <row r="98" spans="2:15" collapsed="1"/>
    <row r="99" spans="2:15" ht="23.5">
      <c r="B99" s="2" t="s">
        <v>406</v>
      </c>
      <c r="O99" s="1"/>
    </row>
    <row r="101" spans="2:15">
      <c r="B101" s="1251" t="s">
        <v>3545</v>
      </c>
    </row>
    <row r="103" spans="2:15" ht="20">
      <c r="B103" s="216" t="s">
        <v>3546</v>
      </c>
    </row>
    <row r="105" spans="2:15" ht="14.5" hidden="1" outlineLevel="1" thickBot="1">
      <c r="B105" s="1251" t="s">
        <v>3780</v>
      </c>
    </row>
    <row r="106" spans="2:15" hidden="1" outlineLevel="1">
      <c r="B106" s="456" t="s">
        <v>977</v>
      </c>
      <c r="C106" s="404" t="s">
        <v>3781</v>
      </c>
      <c r="D106" s="592" t="s">
        <v>3782</v>
      </c>
      <c r="E106" s="592" t="s">
        <v>3783</v>
      </c>
      <c r="F106" s="592" t="s">
        <v>3784</v>
      </c>
      <c r="G106" s="592" t="s">
        <v>3785</v>
      </c>
      <c r="H106" s="592" t="s">
        <v>3786</v>
      </c>
      <c r="I106" s="592" t="s">
        <v>3787</v>
      </c>
      <c r="J106" s="592" t="s">
        <v>3788</v>
      </c>
      <c r="K106" s="592" t="s">
        <v>3789</v>
      </c>
      <c r="L106" s="592" t="s">
        <v>3790</v>
      </c>
      <c r="M106" s="590" t="s">
        <v>3791</v>
      </c>
    </row>
    <row r="107" spans="2:15" hidden="1" outlineLevel="1">
      <c r="B107" s="562" t="s">
        <v>3732</v>
      </c>
      <c r="C107" s="168">
        <f>AVERAGE(D107:H107)</f>
        <v>1.1890000000000001</v>
      </c>
      <c r="D107" s="168">
        <v>1.1299999999999999</v>
      </c>
      <c r="E107" s="591" t="s">
        <v>3792</v>
      </c>
      <c r="F107" s="168">
        <v>1.248</v>
      </c>
      <c r="G107" s="591" t="s">
        <v>3793</v>
      </c>
      <c r="H107" s="168"/>
      <c r="I107" s="168"/>
      <c r="J107" s="168"/>
      <c r="K107" s="168"/>
      <c r="L107" s="168"/>
      <c r="M107" s="17"/>
    </row>
    <row r="108" spans="2:15" hidden="1" outlineLevel="1">
      <c r="B108" s="562" t="s">
        <v>3733</v>
      </c>
      <c r="C108" s="168">
        <f t="shared" ref="C108:C113" si="10">AVERAGE(D108:H108)</f>
        <v>3.35</v>
      </c>
      <c r="D108" s="168">
        <v>4.5</v>
      </c>
      <c r="E108" s="591" t="s">
        <v>3794</v>
      </c>
      <c r="F108" s="168">
        <v>2.2000000000000002</v>
      </c>
      <c r="G108" s="591" t="s">
        <v>3795</v>
      </c>
      <c r="H108" s="168"/>
      <c r="I108" s="168"/>
      <c r="J108" s="168"/>
      <c r="K108" s="168"/>
      <c r="L108" s="168"/>
      <c r="M108" s="17"/>
    </row>
    <row r="109" spans="2:15" hidden="1" outlineLevel="1">
      <c r="B109" s="562" t="s">
        <v>3734</v>
      </c>
      <c r="C109" s="168">
        <f t="shared" si="10"/>
        <v>19.5</v>
      </c>
      <c r="D109" s="168">
        <v>14</v>
      </c>
      <c r="E109" s="591" t="s">
        <v>3796</v>
      </c>
      <c r="F109" s="168">
        <v>25</v>
      </c>
      <c r="G109" s="591" t="s">
        <v>3796</v>
      </c>
      <c r="H109" s="168"/>
      <c r="I109" s="168"/>
      <c r="J109" s="168"/>
      <c r="K109" s="168"/>
      <c r="L109" s="168"/>
      <c r="M109" s="17"/>
    </row>
    <row r="110" spans="2:15" hidden="1" outlineLevel="1">
      <c r="B110" s="562" t="s">
        <v>3735</v>
      </c>
      <c r="C110" s="168">
        <f t="shared" si="10"/>
        <v>2.2666666666666671</v>
      </c>
      <c r="D110" s="168">
        <f>2.49</f>
        <v>2.4900000000000002</v>
      </c>
      <c r="E110" s="591" t="s">
        <v>3797</v>
      </c>
      <c r="F110" s="168">
        <v>2.04</v>
      </c>
      <c r="G110" s="591" t="s">
        <v>3798</v>
      </c>
      <c r="H110" s="168">
        <v>2.27</v>
      </c>
      <c r="I110" s="591" t="s">
        <v>3798</v>
      </c>
      <c r="J110" s="168"/>
      <c r="K110" s="168"/>
      <c r="L110" s="168"/>
      <c r="M110" s="17"/>
    </row>
    <row r="111" spans="2:15" hidden="1" outlineLevel="1">
      <c r="B111" s="562" t="s">
        <v>3736</v>
      </c>
      <c r="C111" s="168">
        <f t="shared" si="10"/>
        <v>25.939999999999998</v>
      </c>
      <c r="D111" s="168">
        <v>17.690000000000001</v>
      </c>
      <c r="E111" s="591" t="s">
        <v>3799</v>
      </c>
      <c r="F111" s="168">
        <v>34.19</v>
      </c>
      <c r="G111" s="591" t="s">
        <v>3799</v>
      </c>
      <c r="H111" s="168"/>
      <c r="I111" s="168"/>
      <c r="J111" s="168"/>
      <c r="K111" s="168"/>
      <c r="L111" s="168"/>
      <c r="M111" s="17"/>
    </row>
    <row r="112" spans="2:15" hidden="1" outlineLevel="1">
      <c r="B112" s="562" t="s">
        <v>3737</v>
      </c>
      <c r="C112" s="168">
        <f t="shared" si="10"/>
        <v>1.5526666666666669</v>
      </c>
      <c r="D112" s="168">
        <v>1.268</v>
      </c>
      <c r="E112" s="591" t="s">
        <v>3800</v>
      </c>
      <c r="F112" s="168">
        <v>2.1</v>
      </c>
      <c r="G112" s="591" t="s">
        <v>3801</v>
      </c>
      <c r="H112" s="168">
        <v>1.29</v>
      </c>
      <c r="I112" s="591" t="s">
        <v>3802</v>
      </c>
      <c r="J112" s="1298">
        <v>1.33</v>
      </c>
      <c r="K112" s="591" t="s">
        <v>3803</v>
      </c>
      <c r="L112" s="168">
        <v>1.98</v>
      </c>
      <c r="M112" s="100" t="s">
        <v>3803</v>
      </c>
    </row>
    <row r="113" spans="2:13" ht="14.5" hidden="1" outlineLevel="1" thickBot="1">
      <c r="B113" s="565" t="s">
        <v>3738</v>
      </c>
      <c r="C113" s="170">
        <f t="shared" si="10"/>
        <v>3.6333333333333333</v>
      </c>
      <c r="D113" s="170">
        <v>4.5999999999999996</v>
      </c>
      <c r="E113" s="593" t="s">
        <v>3804</v>
      </c>
      <c r="F113" s="170">
        <v>2.9</v>
      </c>
      <c r="G113" s="593" t="s">
        <v>3805</v>
      </c>
      <c r="H113" s="170">
        <v>3.4</v>
      </c>
      <c r="I113" s="593" t="s">
        <v>3806</v>
      </c>
      <c r="J113" s="1327"/>
      <c r="K113" s="170"/>
      <c r="L113" s="170"/>
      <c r="M113" s="38"/>
    </row>
    <row r="114" spans="2:13" hidden="1" outlineLevel="1"/>
    <row r="115" spans="2:13" ht="14.5" hidden="1" outlineLevel="1" thickBot="1">
      <c r="B115" s="1251" t="s">
        <v>3807</v>
      </c>
      <c r="F115" s="87"/>
    </row>
    <row r="116" spans="2:13" ht="29" hidden="1" outlineLevel="1">
      <c r="B116" s="123"/>
      <c r="C116" s="6" t="s">
        <v>1002</v>
      </c>
    </row>
    <row r="117" spans="2:13" ht="14.5" hidden="1" outlineLevel="1">
      <c r="B117" s="10" t="s">
        <v>133</v>
      </c>
      <c r="C117" s="132">
        <f>'Equipements électro-médicaux'!C191*'Equipements électro-médicaux'!C196</f>
        <v>29.634921586255125</v>
      </c>
    </row>
    <row r="118" spans="2:13" ht="14.5" hidden="1" outlineLevel="1">
      <c r="B118" s="10" t="s">
        <v>3808</v>
      </c>
      <c r="C118" s="132">
        <f>'Equipements électro-médicaux'!C196*(SUM('Equipements électro-médicaux'!C192:C194))</f>
        <v>3.5650784137448817</v>
      </c>
    </row>
    <row r="119" spans="2:13" ht="15" hidden="1" outlineLevel="1" thickBot="1">
      <c r="B119" s="25" t="s">
        <v>3809</v>
      </c>
      <c r="C119" s="389">
        <f>'Equipements électro-médicaux'!C196*'Equipements électro-médicaux'!C195</f>
        <v>0.74911118969133972</v>
      </c>
    </row>
    <row r="120" spans="2:13" ht="15" hidden="1" outlineLevel="1" thickBot="1">
      <c r="B120" s="20" t="s">
        <v>3810</v>
      </c>
      <c r="C120" s="1039">
        <f>SUM(C117:C119)</f>
        <v>33.949111189691344</v>
      </c>
    </row>
    <row r="121" spans="2:13" hidden="1" outlineLevel="1"/>
    <row r="122" spans="2:13" ht="14.5" hidden="1" outlineLevel="1" thickBot="1">
      <c r="B122" s="1251" t="s">
        <v>3811</v>
      </c>
    </row>
    <row r="123" spans="2:13" ht="43.5" hidden="1" outlineLevel="1">
      <c r="B123" s="123"/>
      <c r="C123" s="6" t="s">
        <v>3812</v>
      </c>
    </row>
    <row r="124" spans="2:13" ht="14.5" hidden="1" outlineLevel="1">
      <c r="B124" s="10" t="s">
        <v>3813</v>
      </c>
      <c r="C124" s="132">
        <v>14.410344827586208</v>
      </c>
    </row>
    <row r="125" spans="2:13" ht="15" hidden="1" outlineLevel="1" thickBot="1">
      <c r="B125" s="13" t="s">
        <v>3814</v>
      </c>
      <c r="C125" s="209">
        <v>47.978947368421053</v>
      </c>
    </row>
    <row r="126" spans="2:13" hidden="1" outlineLevel="1"/>
    <row r="127" spans="2:13" hidden="1" outlineLevel="1">
      <c r="B127" s="1251" t="s">
        <v>3815</v>
      </c>
    </row>
    <row r="128" spans="2:13" ht="14.5" hidden="1" outlineLevel="1" thickBot="1"/>
    <row r="129" spans="2:9" ht="15" hidden="1" customHeight="1" outlineLevel="1">
      <c r="B129" s="1635"/>
      <c r="C129" s="1655" t="s">
        <v>3816</v>
      </c>
      <c r="D129" s="1630" t="s">
        <v>3817</v>
      </c>
      <c r="E129" s="1631"/>
      <c r="F129" s="1632"/>
      <c r="G129" s="1657" t="s">
        <v>635</v>
      </c>
      <c r="H129" s="1631"/>
      <c r="I129" s="1632"/>
    </row>
    <row r="130" spans="2:9" ht="29" hidden="1" outlineLevel="1">
      <c r="B130" s="1636"/>
      <c r="C130" s="1656"/>
      <c r="D130" s="587" t="s">
        <v>133</v>
      </c>
      <c r="E130" s="189" t="s">
        <v>3808</v>
      </c>
      <c r="F130" s="586" t="s">
        <v>3809</v>
      </c>
      <c r="G130" s="587" t="s">
        <v>133</v>
      </c>
      <c r="H130" s="189" t="s">
        <v>3808</v>
      </c>
      <c r="I130" s="586" t="s">
        <v>3809</v>
      </c>
    </row>
    <row r="131" spans="2:9" hidden="1" outlineLevel="1">
      <c r="B131" s="562" t="s">
        <v>3732</v>
      </c>
      <c r="C131" s="738">
        <f t="shared" ref="C131:C137" si="11">C107</f>
        <v>1.1890000000000001</v>
      </c>
      <c r="D131" s="176">
        <f t="shared" ref="D131:D137" si="12">C131*C$117</f>
        <v>35.235921766057345</v>
      </c>
      <c r="E131" s="11">
        <f t="shared" ref="E131:E137" si="13">C131*C$118</f>
        <v>4.2388782339426641</v>
      </c>
      <c r="F131" s="12">
        <f t="shared" ref="F131:F137" si="14">C131*C$119</f>
        <v>0.89069320454300294</v>
      </c>
      <c r="G131" s="594">
        <f t="shared" ref="G131:I137" si="15">D131*$D90/10^6</f>
        <v>10.40006921774709</v>
      </c>
      <c r="H131" s="180">
        <f t="shared" si="15"/>
        <v>1.2511273958234246</v>
      </c>
      <c r="I131" s="131">
        <f t="shared" si="15"/>
        <v>0.26289282399155173</v>
      </c>
    </row>
    <row r="132" spans="2:9" hidden="1" outlineLevel="1">
      <c r="B132" s="562" t="s">
        <v>3733</v>
      </c>
      <c r="C132" s="738">
        <f t="shared" si="11"/>
        <v>3.35</v>
      </c>
      <c r="D132" s="176">
        <f t="shared" si="12"/>
        <v>99.276987313954677</v>
      </c>
      <c r="E132" s="11">
        <f t="shared" si="13"/>
        <v>11.943012686045353</v>
      </c>
      <c r="F132" s="12">
        <f t="shared" si="14"/>
        <v>2.5095224854659883</v>
      </c>
      <c r="G132" s="594">
        <f t="shared" si="15"/>
        <v>1.7678550961957851</v>
      </c>
      <c r="H132" s="180">
        <f t="shared" si="15"/>
        <v>0.21267280980421541</v>
      </c>
      <c r="I132" s="131">
        <f t="shared" si="15"/>
        <v>4.4687819755438486E-2</v>
      </c>
    </row>
    <row r="133" spans="2:9" hidden="1" outlineLevel="1">
      <c r="B133" s="562" t="s">
        <v>3734</v>
      </c>
      <c r="C133" s="738">
        <f t="shared" si="11"/>
        <v>19.5</v>
      </c>
      <c r="D133" s="176">
        <f t="shared" si="12"/>
        <v>577.88097093197496</v>
      </c>
      <c r="E133" s="11">
        <f t="shared" si="13"/>
        <v>69.519029068025191</v>
      </c>
      <c r="F133" s="12">
        <f t="shared" si="14"/>
        <v>14.607668198981125</v>
      </c>
      <c r="G133" s="594">
        <f t="shared" si="15"/>
        <v>14.250631425328143</v>
      </c>
      <c r="H133" s="180">
        <f t="shared" si="15"/>
        <v>1.7143496846718616</v>
      </c>
      <c r="I133" s="131">
        <f t="shared" si="15"/>
        <v>0.36022728893710437</v>
      </c>
    </row>
    <row r="134" spans="2:9" hidden="1" outlineLevel="1">
      <c r="B134" s="562" t="s">
        <v>3735</v>
      </c>
      <c r="C134" s="738">
        <f t="shared" si="11"/>
        <v>2.2666666666666671</v>
      </c>
      <c r="D134" s="176">
        <f t="shared" si="12"/>
        <v>67.172488928844956</v>
      </c>
      <c r="E134" s="11">
        <f t="shared" si="13"/>
        <v>8.0808444044883991</v>
      </c>
      <c r="F134" s="12">
        <f t="shared" si="14"/>
        <v>1.6979853633003703</v>
      </c>
      <c r="G134" s="594">
        <f t="shared" si="15"/>
        <v>0.30511010414541961</v>
      </c>
      <c r="H134" s="180">
        <f t="shared" si="15"/>
        <v>3.6704718213554852E-2</v>
      </c>
      <c r="I134" s="131">
        <f t="shared" si="15"/>
        <v>7.7125695250441348E-3</v>
      </c>
    </row>
    <row r="135" spans="2:9" hidden="1" outlineLevel="1">
      <c r="B135" s="562" t="s">
        <v>3736</v>
      </c>
      <c r="C135" s="738">
        <f t="shared" si="11"/>
        <v>25.939999999999998</v>
      </c>
      <c r="D135" s="176">
        <f t="shared" si="12"/>
        <v>768.72986594745782</v>
      </c>
      <c r="E135" s="11">
        <f t="shared" si="13"/>
        <v>92.478134052542217</v>
      </c>
      <c r="F135" s="12">
        <f t="shared" si="14"/>
        <v>19.431944260593351</v>
      </c>
      <c r="G135" s="594">
        <f t="shared" si="15"/>
        <v>3.4917159271465512</v>
      </c>
      <c r="H135" s="180">
        <f t="shared" si="15"/>
        <v>0.42005311343806434</v>
      </c>
      <c r="I135" s="131">
        <f t="shared" si="15"/>
        <v>8.8263553005725651E-2</v>
      </c>
    </row>
    <row r="136" spans="2:9" hidden="1" outlineLevel="1">
      <c r="B136" s="562" t="s">
        <v>3737</v>
      </c>
      <c r="C136" s="738">
        <f t="shared" si="11"/>
        <v>1.5526666666666669</v>
      </c>
      <c r="D136" s="176">
        <f t="shared" si="12"/>
        <v>46.013154916258799</v>
      </c>
      <c r="E136" s="11">
        <f t="shared" si="13"/>
        <v>5.5353784170745532</v>
      </c>
      <c r="F136" s="12">
        <f t="shared" si="14"/>
        <v>1.1631199738607536</v>
      </c>
      <c r="G136" s="594">
        <f t="shared" si="15"/>
        <v>0.62829989682951237</v>
      </c>
      <c r="H136" s="180">
        <f t="shared" si="15"/>
        <v>7.5584421339718641E-2</v>
      </c>
      <c r="I136" s="131">
        <f t="shared" si="15"/>
        <v>1.5882157198458736E-2</v>
      </c>
    </row>
    <row r="137" spans="2:9" ht="14.5" hidden="1" outlineLevel="1" thickBot="1">
      <c r="B137" s="565" t="s">
        <v>3738</v>
      </c>
      <c r="C137" s="739">
        <f t="shared" si="11"/>
        <v>3.6333333333333333</v>
      </c>
      <c r="D137" s="177">
        <f t="shared" si="12"/>
        <v>107.67354843006028</v>
      </c>
      <c r="E137" s="14">
        <f t="shared" si="13"/>
        <v>12.953118236606404</v>
      </c>
      <c r="F137" s="15">
        <f t="shared" si="14"/>
        <v>2.7217706558785344</v>
      </c>
      <c r="G137" s="595">
        <f t="shared" si="15"/>
        <v>0.15194739307138219</v>
      </c>
      <c r="H137" s="18">
        <f t="shared" si="15"/>
        <v>1.8279257783318698E-2</v>
      </c>
      <c r="I137" s="19">
        <f t="shared" si="15"/>
        <v>3.8409243656306407E-3</v>
      </c>
    </row>
    <row r="138" spans="2:9" ht="14.5" hidden="1" outlineLevel="1" thickBot="1"/>
    <row r="139" spans="2:9" ht="29" hidden="1" outlineLevel="1">
      <c r="B139" s="123"/>
      <c r="C139" s="6" t="s">
        <v>82</v>
      </c>
    </row>
    <row r="140" spans="2:9" ht="14.5" hidden="1" outlineLevel="1">
      <c r="B140" s="10" t="s">
        <v>133</v>
      </c>
      <c r="C140" s="589">
        <f>SUM(G131:G137)</f>
        <v>30.995629060463884</v>
      </c>
    </row>
    <row r="141" spans="2:9" ht="15" hidden="1" outlineLevel="1" thickBot="1">
      <c r="B141" s="13" t="s">
        <v>3818</v>
      </c>
      <c r="C141" s="210">
        <f>SUM(H131:I137)</f>
        <v>4.5122785378531125</v>
      </c>
    </row>
    <row r="142" spans="2:9" hidden="1" outlineLevel="1"/>
    <row r="143" spans="2:9" collapsed="1"/>
    <row r="144" spans="2:9" ht="20">
      <c r="B144" s="216" t="s">
        <v>3629</v>
      </c>
      <c r="G144" s="815"/>
    </row>
    <row r="146" spans="2:13" ht="14.5" hidden="1" outlineLevel="1" thickBot="1">
      <c r="B146" s="1251" t="s">
        <v>3819</v>
      </c>
    </row>
    <row r="147" spans="2:13" s="1" customFormat="1" ht="42" hidden="1" outlineLevel="1">
      <c r="B147" s="456" t="s">
        <v>977</v>
      </c>
      <c r="C147" s="404" t="s">
        <v>3820</v>
      </c>
      <c r="D147" s="404" t="s">
        <v>2431</v>
      </c>
      <c r="E147" s="404" t="s">
        <v>301</v>
      </c>
      <c r="F147" s="404" t="s">
        <v>3377</v>
      </c>
      <c r="G147" s="404" t="s">
        <v>70</v>
      </c>
      <c r="H147" s="404" t="s">
        <v>2431</v>
      </c>
      <c r="I147" s="404" t="s">
        <v>301</v>
      </c>
      <c r="J147" s="404" t="s">
        <v>3377</v>
      </c>
      <c r="K147" s="405" t="s">
        <v>70</v>
      </c>
      <c r="L147"/>
      <c r="M147"/>
    </row>
    <row r="148" spans="2:13" hidden="1" outlineLevel="1">
      <c r="B148" s="562" t="s">
        <v>3732</v>
      </c>
      <c r="C148" s="190">
        <f>AVERAGE(D148,H148)</f>
        <v>159.286</v>
      </c>
      <c r="D148" s="190">
        <f>365*56.1*8/1000</f>
        <v>163.81200000000001</v>
      </c>
      <c r="E148" s="1266" t="s">
        <v>416</v>
      </c>
      <c r="F148" s="1266" t="s">
        <v>3821</v>
      </c>
      <c r="G148" s="101" t="s">
        <v>3792</v>
      </c>
      <c r="H148" s="190">
        <f>365*53*8/1000</f>
        <v>154.76</v>
      </c>
      <c r="I148" s="1251" t="s">
        <v>416</v>
      </c>
      <c r="J148" s="1251" t="s">
        <v>3821</v>
      </c>
      <c r="K148" s="603" t="s">
        <v>3822</v>
      </c>
    </row>
    <row r="149" spans="2:13" hidden="1" outlineLevel="1">
      <c r="B149" s="562" t="s">
        <v>3733</v>
      </c>
      <c r="C149" s="190"/>
      <c r="D149" s="171"/>
      <c r="E149" s="1266"/>
      <c r="F149" s="1266"/>
      <c r="G149" s="598"/>
      <c r="H149" s="171"/>
      <c r="I149" s="171"/>
      <c r="J149" s="171"/>
      <c r="K149" s="547"/>
    </row>
    <row r="150" spans="2:13" hidden="1" outlineLevel="1">
      <c r="B150" s="562" t="s">
        <v>3734</v>
      </c>
      <c r="C150" s="190">
        <f t="shared" ref="C150:C153" si="16">AVERAGE(D150,H150)</f>
        <v>2190</v>
      </c>
      <c r="D150" s="190">
        <f>300*20*365/1000</f>
        <v>2190</v>
      </c>
      <c r="E150" s="1266" t="s">
        <v>416</v>
      </c>
      <c r="F150" s="1266" t="s">
        <v>3823</v>
      </c>
      <c r="G150" s="101" t="s">
        <v>3796</v>
      </c>
      <c r="H150" s="171"/>
      <c r="I150" s="171"/>
      <c r="J150" s="171"/>
      <c r="K150" s="547"/>
    </row>
    <row r="151" spans="2:13" hidden="1" outlineLevel="1">
      <c r="B151" s="562" t="s">
        <v>3735</v>
      </c>
      <c r="C151" s="101"/>
      <c r="D151" s="171"/>
      <c r="E151" s="1266"/>
      <c r="F151" s="1266"/>
      <c r="G151" s="101"/>
      <c r="H151" s="171"/>
      <c r="I151" s="596"/>
      <c r="J151" s="171"/>
      <c r="K151" s="547"/>
    </row>
    <row r="152" spans="2:13" hidden="1" outlineLevel="1">
      <c r="B152" s="562" t="s">
        <v>3736</v>
      </c>
      <c r="C152" s="190"/>
      <c r="D152" s="171"/>
      <c r="E152" s="1266"/>
      <c r="F152" s="1266"/>
      <c r="G152" s="598"/>
      <c r="H152" s="171"/>
      <c r="I152" s="171"/>
      <c r="J152" s="171"/>
      <c r="K152" s="547"/>
    </row>
    <row r="153" spans="2:13" hidden="1" outlineLevel="1">
      <c r="B153" s="562" t="s">
        <v>3737</v>
      </c>
      <c r="C153" s="190">
        <f t="shared" si="16"/>
        <v>142.53881250000001</v>
      </c>
      <c r="D153" s="190">
        <v>142.53881250000001</v>
      </c>
      <c r="E153" s="1266" t="s">
        <v>416</v>
      </c>
      <c r="F153" s="1266"/>
      <c r="G153" s="101" t="s">
        <v>3824</v>
      </c>
      <c r="H153" s="171"/>
      <c r="I153" s="596"/>
      <c r="J153" s="1302"/>
      <c r="K153" s="1170"/>
    </row>
    <row r="154" spans="2:13" ht="14.5" hidden="1" outlineLevel="1" thickBot="1">
      <c r="B154" s="565" t="s">
        <v>3738</v>
      </c>
      <c r="C154" s="722"/>
      <c r="D154" s="172"/>
      <c r="E154" s="1267"/>
      <c r="F154" s="1267"/>
      <c r="G154" s="1171"/>
      <c r="H154" s="172"/>
      <c r="I154" s="597"/>
      <c r="J154" s="1299"/>
      <c r="K154" s="709"/>
    </row>
    <row r="155" spans="2:13" hidden="1" outlineLevel="1"/>
    <row r="156" spans="2:13" ht="14.5" hidden="1" outlineLevel="1" thickBot="1">
      <c r="B156" s="1251" t="s">
        <v>3825</v>
      </c>
      <c r="F156" s="87"/>
    </row>
    <row r="157" spans="2:13" ht="54" hidden="1" customHeight="1" outlineLevel="1">
      <c r="B157" s="599"/>
      <c r="C157" s="138" t="s">
        <v>3817</v>
      </c>
      <c r="D157" s="139" t="s">
        <v>635</v>
      </c>
    </row>
    <row r="158" spans="2:13" hidden="1" outlineLevel="1">
      <c r="B158" s="562" t="s">
        <v>3732</v>
      </c>
      <c r="C158" s="201">
        <v>13.963067727050712</v>
      </c>
      <c r="D158" s="70">
        <v>24.727641039316573</v>
      </c>
    </row>
    <row r="159" spans="2:13" hidden="1" outlineLevel="1">
      <c r="B159" s="562" t="s">
        <v>3733</v>
      </c>
      <c r="C159" s="201">
        <v>0</v>
      </c>
      <c r="D159" s="70">
        <v>0</v>
      </c>
    </row>
    <row r="160" spans="2:13" hidden="1" outlineLevel="1">
      <c r="B160" s="562" t="s">
        <v>3734</v>
      </c>
      <c r="C160" s="201">
        <v>191.97618323167796</v>
      </c>
      <c r="D160" s="70">
        <v>23.670807374603314</v>
      </c>
    </row>
    <row r="161" spans="2:7" hidden="1" outlineLevel="1">
      <c r="B161" s="562" t="s">
        <v>3735</v>
      </c>
      <c r="C161" s="201">
        <v>0</v>
      </c>
      <c r="D161" s="70">
        <v>0</v>
      </c>
    </row>
    <row r="162" spans="2:7" hidden="1" outlineLevel="1">
      <c r="B162" s="562" t="s">
        <v>3736</v>
      </c>
      <c r="C162" s="201">
        <v>0</v>
      </c>
      <c r="D162" s="70">
        <v>0</v>
      </c>
    </row>
    <row r="163" spans="2:7" hidden="1" outlineLevel="1">
      <c r="B163" s="562" t="s">
        <v>3737</v>
      </c>
      <c r="C163" s="201">
        <v>12.495003281335977</v>
      </c>
      <c r="D163" s="70">
        <v>1.0236997597972302</v>
      </c>
    </row>
    <row r="164" spans="2:7" ht="14.5" hidden="1" outlineLevel="1" thickBot="1">
      <c r="B164" s="565" t="s">
        <v>3738</v>
      </c>
      <c r="C164" s="566">
        <v>0</v>
      </c>
      <c r="D164" s="71">
        <v>0</v>
      </c>
    </row>
    <row r="165" spans="2:7" ht="14.5" hidden="1" outlineLevel="1" thickBot="1"/>
    <row r="166" spans="2:7" ht="29" hidden="1" outlineLevel="1">
      <c r="B166" s="123"/>
      <c r="C166" s="6" t="s">
        <v>82</v>
      </c>
    </row>
    <row r="167" spans="2:7" ht="15" hidden="1" outlineLevel="1" thickBot="1">
      <c r="B167" s="13" t="s">
        <v>3826</v>
      </c>
      <c r="C167" s="210">
        <f>SUM(D158:D164)</f>
        <v>49.422148173717119</v>
      </c>
    </row>
    <row r="168" spans="2:7" hidden="1" outlineLevel="1"/>
    <row r="169" spans="2:7" collapsed="1"/>
    <row r="170" spans="2:7" ht="20">
      <c r="B170" s="216" t="s">
        <v>1072</v>
      </c>
    </row>
    <row r="172" spans="2:7" hidden="1" outlineLevel="1">
      <c r="B172" s="1251" t="s">
        <v>3827</v>
      </c>
    </row>
    <row r="173" spans="2:7" hidden="1" outlineLevel="1">
      <c r="G173" s="1251"/>
    </row>
    <row r="174" spans="2:7" ht="14.5" hidden="1" outlineLevel="1" thickBot="1">
      <c r="B174" s="1251" t="s">
        <v>3828</v>
      </c>
    </row>
    <row r="175" spans="2:7" ht="29" hidden="1" outlineLevel="1">
      <c r="B175" s="123"/>
      <c r="C175" s="6" t="s">
        <v>1002</v>
      </c>
    </row>
    <row r="176" spans="2:7" ht="15" hidden="1" outlineLevel="1" thickBot="1">
      <c r="B176" s="13" t="s">
        <v>1079</v>
      </c>
      <c r="C176" s="230">
        <v>2.7425089552468433</v>
      </c>
      <c r="G176" s="1251"/>
    </row>
    <row r="177" spans="2:7" hidden="1" outlineLevel="1">
      <c r="G177" s="1251"/>
    </row>
    <row r="178" spans="2:7" ht="14.5" hidden="1" outlineLevel="1" thickBot="1">
      <c r="B178" t="s">
        <v>3829</v>
      </c>
      <c r="G178" s="1251"/>
    </row>
    <row r="179" spans="2:7" ht="43.5" hidden="1" outlineLevel="1">
      <c r="B179" s="123"/>
      <c r="C179" s="5" t="s">
        <v>3830</v>
      </c>
      <c r="D179" s="5" t="s">
        <v>3831</v>
      </c>
      <c r="E179" s="5" t="s">
        <v>3832</v>
      </c>
      <c r="F179" s="6" t="s">
        <v>3833</v>
      </c>
    </row>
    <row r="180" spans="2:7" hidden="1" outlineLevel="1">
      <c r="B180" s="1572" t="s">
        <v>3834</v>
      </c>
      <c r="C180" s="168">
        <v>19.96</v>
      </c>
      <c r="D180" s="168">
        <f>C180/C176</f>
        <v>7.2780072283131245</v>
      </c>
      <c r="E180" s="168">
        <v>3.8</v>
      </c>
      <c r="F180" s="132">
        <f>D180/E180</f>
        <v>1.9152650600824013</v>
      </c>
    </row>
    <row r="181" spans="2:7" ht="14.5" hidden="1" outlineLevel="1" thickBot="1">
      <c r="B181" s="1573" t="s">
        <v>3835</v>
      </c>
      <c r="C181" s="170">
        <v>9.73</v>
      </c>
      <c r="D181" s="170">
        <f>C181/C176</f>
        <v>3.5478462089923197</v>
      </c>
      <c r="E181" s="170">
        <v>2.9</v>
      </c>
      <c r="F181" s="209">
        <f>D181/E181</f>
        <v>1.2233952444801104</v>
      </c>
    </row>
    <row r="182" spans="2:7" hidden="1" outlineLevel="1"/>
    <row r="183" spans="2:7" hidden="1" outlineLevel="1">
      <c r="B183" t="s">
        <v>627</v>
      </c>
    </row>
    <row r="184" spans="2:7" hidden="1" outlineLevel="1">
      <c r="B184" t="s">
        <v>3836</v>
      </c>
    </row>
    <row r="185" spans="2:7" hidden="1" outlineLevel="1"/>
    <row r="186" spans="2:7" ht="14.5" hidden="1" outlineLevel="1" thickBot="1">
      <c r="B186" t="s">
        <v>927</v>
      </c>
      <c r="G186" s="1251"/>
    </row>
    <row r="187" spans="2:7" ht="45" hidden="1" customHeight="1" outlineLevel="1">
      <c r="B187" s="740"/>
      <c r="C187" s="741" t="s">
        <v>3816</v>
      </c>
      <c r="D187" s="741" t="s">
        <v>3837</v>
      </c>
      <c r="E187" s="741" t="s">
        <v>3838</v>
      </c>
      <c r="F187" s="742" t="s">
        <v>363</v>
      </c>
      <c r="G187" s="1251"/>
    </row>
    <row r="188" spans="2:7" hidden="1" outlineLevel="1">
      <c r="B188" s="562" t="s">
        <v>3732</v>
      </c>
      <c r="C188" s="180">
        <f t="shared" ref="C188:C194" si="17">C131</f>
        <v>1.1890000000000001</v>
      </c>
      <c r="D188" s="168">
        <f>C188*F$181</f>
        <v>1.4546169456868514</v>
      </c>
      <c r="E188" s="168">
        <f>D188*C$176</f>
        <v>3.989300000000001</v>
      </c>
      <c r="F188" s="132">
        <f t="shared" ref="F188:F194" si="18">E188*D90/10^6</f>
        <v>1.1774630561907053</v>
      </c>
      <c r="G188" s="1251"/>
    </row>
    <row r="189" spans="2:7" hidden="1" outlineLevel="1">
      <c r="B189" s="562" t="s">
        <v>3733</v>
      </c>
      <c r="C189" s="180">
        <f t="shared" si="17"/>
        <v>3.35</v>
      </c>
      <c r="D189" s="168">
        <f t="shared" ref="D189:D194" si="19">C189*F$181</f>
        <v>4.0983740690083703</v>
      </c>
      <c r="E189" s="168">
        <f t="shared" ref="E189:E194" si="20">D189*C$176</f>
        <v>11.2398275862069</v>
      </c>
      <c r="F189" s="132">
        <f t="shared" si="18"/>
        <v>0.2001509817758621</v>
      </c>
      <c r="G189" s="1251"/>
    </row>
    <row r="190" spans="2:7" hidden="1" outlineLevel="1">
      <c r="B190" s="562" t="s">
        <v>3734</v>
      </c>
      <c r="C190" s="180">
        <f t="shared" si="17"/>
        <v>19.5</v>
      </c>
      <c r="D190" s="168">
        <v>0</v>
      </c>
      <c r="E190" s="168">
        <f t="shared" si="20"/>
        <v>0</v>
      </c>
      <c r="F190" s="132">
        <f t="shared" si="18"/>
        <v>0</v>
      </c>
      <c r="G190" s="1251"/>
    </row>
    <row r="191" spans="2:7" hidden="1" outlineLevel="1">
      <c r="B191" s="562" t="s">
        <v>3735</v>
      </c>
      <c r="C191" s="180">
        <f t="shared" si="17"/>
        <v>2.2666666666666671</v>
      </c>
      <c r="D191" s="168">
        <f t="shared" si="19"/>
        <v>2.7730292208215839</v>
      </c>
      <c r="E191" s="168">
        <f t="shared" si="20"/>
        <v>7.6050574712643702</v>
      </c>
      <c r="F191" s="132">
        <f t="shared" si="18"/>
        <v>3.454360429531389E-2</v>
      </c>
      <c r="G191" s="1251"/>
    </row>
    <row r="192" spans="2:7" hidden="1" outlineLevel="1">
      <c r="B192" s="562" t="s">
        <v>3736</v>
      </c>
      <c r="C192" s="180">
        <f t="shared" si="17"/>
        <v>25.939999999999998</v>
      </c>
      <c r="D192" s="168">
        <v>0</v>
      </c>
      <c r="E192" s="168">
        <f t="shared" si="20"/>
        <v>0</v>
      </c>
      <c r="F192" s="132">
        <f t="shared" si="18"/>
        <v>0</v>
      </c>
      <c r="G192" s="1251"/>
    </row>
    <row r="193" spans="2:17" hidden="1" outlineLevel="1">
      <c r="B193" s="562" t="s">
        <v>3737</v>
      </c>
      <c r="C193" s="180">
        <f t="shared" si="17"/>
        <v>1.5526666666666669</v>
      </c>
      <c r="D193" s="168">
        <f t="shared" si="19"/>
        <v>1.899525016262785</v>
      </c>
      <c r="E193" s="168">
        <f t="shared" si="20"/>
        <v>5.2094643678160937</v>
      </c>
      <c r="F193" s="132">
        <f t="shared" si="18"/>
        <v>7.1134133940450955E-2</v>
      </c>
      <c r="G193" s="1251"/>
    </row>
    <row r="194" spans="2:17" ht="14.5" hidden="1" outlineLevel="1" thickBot="1">
      <c r="B194" s="565" t="s">
        <v>3738</v>
      </c>
      <c r="C194" s="18">
        <f t="shared" si="17"/>
        <v>3.6333333333333333</v>
      </c>
      <c r="D194" s="170">
        <f t="shared" si="19"/>
        <v>4.4450027216110675</v>
      </c>
      <c r="E194" s="170">
        <f t="shared" si="20"/>
        <v>12.190459770114943</v>
      </c>
      <c r="F194" s="209">
        <f t="shared" si="18"/>
        <v>1.7203004910845858E-2</v>
      </c>
      <c r="G194" s="1251"/>
    </row>
    <row r="195" spans="2:17" ht="14.5" hidden="1" outlineLevel="1" thickBot="1">
      <c r="E195" s="571" t="s">
        <v>83</v>
      </c>
      <c r="F195" s="743">
        <f>SUM(F188:F194)</f>
        <v>1.5004947811131784</v>
      </c>
    </row>
    <row r="196" spans="2:17" hidden="1" outlineLevel="1"/>
    <row r="197" spans="2:17" collapsed="1"/>
    <row r="198" spans="2:17" ht="20">
      <c r="B198" s="216" t="s">
        <v>1083</v>
      </c>
    </row>
    <row r="200" spans="2:17" hidden="1" outlineLevel="1">
      <c r="B200" s="3" t="s">
        <v>523</v>
      </c>
    </row>
    <row r="201" spans="2:17" hidden="1" outlineLevel="1">
      <c r="B201" s="1251" t="s">
        <v>524</v>
      </c>
    </row>
    <row r="202" spans="2:17" ht="14.5" hidden="1" outlineLevel="1" thickBot="1"/>
    <row r="203" spans="2:17" ht="29" hidden="1" outlineLevel="1">
      <c r="B203" s="123" t="s">
        <v>525</v>
      </c>
      <c r="C203" s="155" t="s">
        <v>526</v>
      </c>
      <c r="D203" s="155" t="s">
        <v>87</v>
      </c>
      <c r="E203" s="374" t="s">
        <v>165</v>
      </c>
      <c r="F203" s="375" t="s">
        <v>175</v>
      </c>
      <c r="G203" s="375" t="s">
        <v>163</v>
      </c>
      <c r="H203" s="375" t="s">
        <v>169</v>
      </c>
      <c r="I203" s="375" t="s">
        <v>161</v>
      </c>
      <c r="J203" s="375" t="s">
        <v>153</v>
      </c>
      <c r="K203" s="375" t="s">
        <v>171</v>
      </c>
      <c r="L203" s="375" t="s">
        <v>527</v>
      </c>
      <c r="M203" s="375" t="s">
        <v>167</v>
      </c>
      <c r="N203" s="375" t="s">
        <v>173</v>
      </c>
      <c r="O203" s="375" t="s">
        <v>159</v>
      </c>
      <c r="P203" s="375" t="s">
        <v>154</v>
      </c>
      <c r="Q203" s="378" t="s">
        <v>157</v>
      </c>
    </row>
    <row r="204" spans="2:17" ht="30.5" hidden="1" customHeight="1" outlineLevel="1">
      <c r="B204" s="10" t="s">
        <v>3839</v>
      </c>
      <c r="C204" s="11">
        <v>90192020</v>
      </c>
      <c r="D204" s="1307" t="s">
        <v>3840</v>
      </c>
      <c r="E204" s="229">
        <v>2.1477147276646111E-2</v>
      </c>
      <c r="F204" s="297">
        <v>0</v>
      </c>
      <c r="G204" s="297">
        <v>1.4257563278889088E-4</v>
      </c>
      <c r="H204" s="297">
        <v>6.5075023457275896E-4</v>
      </c>
      <c r="I204" s="297">
        <v>0.55469647320454263</v>
      </c>
      <c r="J204" s="297">
        <v>0.12499183575287102</v>
      </c>
      <c r="K204" s="297">
        <v>6.2924441286717206E-5</v>
      </c>
      <c r="L204" s="297">
        <v>3.4003093652277944E-3</v>
      </c>
      <c r="M204" s="297">
        <v>9.6855848866643189E-3</v>
      </c>
      <c r="N204" s="297">
        <v>3.9772229452780382E-2</v>
      </c>
      <c r="O204" s="297">
        <v>2.4425037874141558E-2</v>
      </c>
      <c r="P204" s="297">
        <v>0.21957364310212715</v>
      </c>
      <c r="Q204" s="380">
        <v>1.1214887763506055E-3</v>
      </c>
    </row>
    <row r="205" spans="2:17" ht="30.5" hidden="1" customHeight="1" outlineLevel="1" thickBot="1">
      <c r="B205" s="13" t="s">
        <v>3841</v>
      </c>
      <c r="C205" s="14">
        <v>90192090</v>
      </c>
      <c r="D205" s="1309" t="s">
        <v>3842</v>
      </c>
      <c r="E205" s="376">
        <v>5.2787528611598141E-4</v>
      </c>
      <c r="F205" s="298">
        <v>3.1714803571721178E-6</v>
      </c>
      <c r="G205" s="298">
        <v>7.0694235288251445E-2</v>
      </c>
      <c r="H205" s="298">
        <v>8.7109993810327504E-4</v>
      </c>
      <c r="I205" s="298">
        <v>2.8892362247191168E-2</v>
      </c>
      <c r="J205" s="298">
        <v>9.3014409268616108E-2</v>
      </c>
      <c r="K205" s="298">
        <v>4.0656616245414792E-3</v>
      </c>
      <c r="L205" s="298">
        <v>1.3642651336435393E-3</v>
      </c>
      <c r="M205" s="298">
        <v>2.4952502676817518E-3</v>
      </c>
      <c r="N205" s="298">
        <v>0.14556812930054938</v>
      </c>
      <c r="O205" s="298">
        <v>0.38560690593371644</v>
      </c>
      <c r="P205" s="298">
        <v>0.22562492698987927</v>
      </c>
      <c r="Q205" s="381">
        <v>4.1271707241353005E-2</v>
      </c>
    </row>
    <row r="206" spans="2:17" hidden="1" outlineLevel="1"/>
    <row r="207" spans="2:17" hidden="1" outlineLevel="1">
      <c r="B207" s="1251" t="s">
        <v>530</v>
      </c>
    </row>
    <row r="208" spans="2:17" hidden="1" outlineLevel="1">
      <c r="B208" s="1251"/>
    </row>
    <row r="209" spans="2:12" hidden="1" outlineLevel="1">
      <c r="B209" s="1251" t="s">
        <v>531</v>
      </c>
      <c r="C209" s="87"/>
    </row>
    <row r="210" spans="2:12" hidden="1" outlineLevel="1">
      <c r="B210" s="1251" t="s">
        <v>645</v>
      </c>
      <c r="C210" s="1310"/>
      <c r="D210" s="1251"/>
      <c r="F210" t="s">
        <v>3843</v>
      </c>
    </row>
    <row r="211" spans="2:12" hidden="1" outlineLevel="1">
      <c r="B211" s="1251"/>
      <c r="C211" s="1251"/>
      <c r="D211" s="1251"/>
    </row>
    <row r="212" spans="2:12" ht="14.5" hidden="1" outlineLevel="1" thickBot="1">
      <c r="B212" s="1251" t="s">
        <v>533</v>
      </c>
      <c r="C212" s="1251"/>
      <c r="D212" s="1251"/>
    </row>
    <row r="213" spans="2:12" ht="29" hidden="1" outlineLevel="1">
      <c r="B213" s="123"/>
      <c r="C213" s="379" t="s">
        <v>534</v>
      </c>
      <c r="D213" s="1251"/>
    </row>
    <row r="214" spans="2:12" ht="14.5" hidden="1" outlineLevel="1">
      <c r="B214" s="10" t="s">
        <v>3839</v>
      </c>
      <c r="C214" s="311">
        <f>P204/(1+P204)</f>
        <v>0.18004131554008998</v>
      </c>
      <c r="D214" s="1251"/>
    </row>
    <row r="215" spans="2:12" ht="15" hidden="1" outlineLevel="1" thickBot="1">
      <c r="B215" s="13" t="s">
        <v>3841</v>
      </c>
      <c r="C215" s="313">
        <f>P205/(1+P205)</f>
        <v>0.18408970152394949</v>
      </c>
      <c r="D215" s="1251"/>
    </row>
    <row r="216" spans="2:12" hidden="1" outlineLevel="1">
      <c r="B216" s="1251"/>
      <c r="C216" s="1251"/>
      <c r="D216" s="1251"/>
      <c r="G216" s="1251"/>
      <c r="H216" s="1251"/>
    </row>
    <row r="217" spans="2:12" ht="14.5" hidden="1" outlineLevel="1" thickBot="1">
      <c r="B217" s="1251" t="s">
        <v>3844</v>
      </c>
      <c r="C217" s="1251"/>
      <c r="D217" s="1251"/>
    </row>
    <row r="218" spans="2:12" ht="46" hidden="1" customHeight="1" outlineLevel="1">
      <c r="B218" s="123" t="s">
        <v>3845</v>
      </c>
      <c r="C218" s="379" t="s">
        <v>3846</v>
      </c>
    </row>
    <row r="219" spans="2:12" ht="15" hidden="1" outlineLevel="1" thickBot="1">
      <c r="B219" s="13" t="s">
        <v>538</v>
      </c>
      <c r="C219" s="313">
        <f>25%</f>
        <v>0.25</v>
      </c>
    </row>
    <row r="220" spans="2:12" hidden="1" outlineLevel="1">
      <c r="B220" s="1251"/>
      <c r="C220" s="1251"/>
      <c r="D220" s="1251"/>
    </row>
    <row r="221" spans="2:12" ht="14.5" hidden="1" outlineLevel="1" thickBot="1">
      <c r="B221" s="1251" t="s">
        <v>540</v>
      </c>
      <c r="G221" s="1251"/>
      <c r="H221" s="1251"/>
    </row>
    <row r="222" spans="2:12" ht="15" hidden="1" customHeight="1" outlineLevel="1" thickBot="1">
      <c r="B222" s="1251"/>
      <c r="C222" s="1581" t="s">
        <v>357</v>
      </c>
      <c r="D222" s="1535"/>
      <c r="E222" s="1535"/>
      <c r="F222" s="1582"/>
      <c r="G222" s="1535" t="s">
        <v>358</v>
      </c>
      <c r="H222" s="1535"/>
      <c r="I222" s="1536"/>
      <c r="J222" s="1534" t="s">
        <v>359</v>
      </c>
      <c r="K222" s="1535"/>
      <c r="L222" s="1536"/>
    </row>
    <row r="223" spans="2:12" ht="72.5" hidden="1" outlineLevel="1">
      <c r="B223" s="123" t="s">
        <v>525</v>
      </c>
      <c r="C223" s="158" t="s">
        <v>541</v>
      </c>
      <c r="D223" s="158" t="s">
        <v>542</v>
      </c>
      <c r="E223" s="158" t="s">
        <v>649</v>
      </c>
      <c r="F223" s="159" t="s">
        <v>543</v>
      </c>
      <c r="G223" s="169" t="s">
        <v>541</v>
      </c>
      <c r="H223" s="158" t="s">
        <v>542</v>
      </c>
      <c r="I223" s="159" t="s">
        <v>543</v>
      </c>
      <c r="J223" s="169" t="s">
        <v>541</v>
      </c>
      <c r="K223" s="158" t="s">
        <v>542</v>
      </c>
      <c r="L223" s="159" t="s">
        <v>543</v>
      </c>
    </row>
    <row r="224" spans="2:12" ht="14.5" hidden="1" outlineLevel="1">
      <c r="B224" s="10" t="s">
        <v>3839</v>
      </c>
      <c r="C224" s="11">
        <f>SUMPRODUCT(E204:O204,'Annexe - Logistique'!$D$12:$N$12)/SUM(E204:O204)</f>
        <v>1000</v>
      </c>
      <c r="D224" s="11">
        <f>(1-C219)*SUMPRODUCT(E204:O204,'Annexe - Logistique'!$D$13:$N$13)/SUM(E204:O204)</f>
        <v>12797.440174884276</v>
      </c>
      <c r="E224" s="11">
        <f>C219*SUMPRODUCT(E204:O204,'Annexe - Logistique'!$D$16:$N$16)/SUM(E204:O204)</f>
        <v>2608.5770857841962</v>
      </c>
      <c r="F224" s="17">
        <f>500</f>
        <v>500</v>
      </c>
      <c r="G224" s="176">
        <f>SUMPRODUCT(P204:Q204,'Annexe - Logistique'!$O$12:$P$12)/SUM(P204:Q204)</f>
        <v>1003.0489719464266</v>
      </c>
      <c r="H224" s="11">
        <v>0</v>
      </c>
      <c r="I224" s="17">
        <f>500</f>
        <v>500</v>
      </c>
      <c r="J224" s="176">
        <f>'Annexe - Logistique'!Q$12</f>
        <v>500</v>
      </c>
      <c r="K224" s="11">
        <v>0</v>
      </c>
      <c r="L224" s="17">
        <f>500</f>
        <v>500</v>
      </c>
    </row>
    <row r="225" spans="2:15" ht="15" hidden="1" outlineLevel="1" thickBot="1">
      <c r="B225" s="13" t="s">
        <v>3841</v>
      </c>
      <c r="C225" s="14">
        <f>SUMPRODUCT(E205:O205,'Annexe - Logistique'!$D$12:$N$12)/SUM(E205:O205)</f>
        <v>999.99999999999989</v>
      </c>
      <c r="D225" s="14">
        <f>(1-C219)*SUMPRODUCT(E205:O205,'Annexe - Logistique'!$D$13:$N$13)/SUM(E205:O205)</f>
        <v>9857.3425720473315</v>
      </c>
      <c r="E225" s="14">
        <f>C219*SUMPRODUCT(E205:O205,'Annexe - Logistique'!$D$16:$N$16)/SUM(E205:O205)</f>
        <v>2515.9308889491872</v>
      </c>
      <c r="F225" s="38">
        <f>500</f>
        <v>500</v>
      </c>
      <c r="G225" s="177">
        <f>SUMPRODUCT(P205:Q205,'Annexe - Logistique'!$O$12:$P$12)/SUM(P205:Q205)</f>
        <v>1092.7813286823159</v>
      </c>
      <c r="H225" s="14">
        <v>0</v>
      </c>
      <c r="I225" s="38">
        <f>500</f>
        <v>500</v>
      </c>
      <c r="J225" s="177">
        <f>'Annexe - Logistique'!Q$12</f>
        <v>500</v>
      </c>
      <c r="K225" s="14">
        <v>0</v>
      </c>
      <c r="L225" s="38">
        <f>500</f>
        <v>500</v>
      </c>
    </row>
    <row r="226" spans="2:15" hidden="1" outlineLevel="1">
      <c r="B226" s="1251"/>
      <c r="C226" s="1251"/>
      <c r="D226" s="1251"/>
      <c r="G226" s="1251"/>
      <c r="H226" s="1251"/>
    </row>
    <row r="227" spans="2:15" ht="14.5" hidden="1" outlineLevel="1" thickBot="1">
      <c r="B227" s="1251" t="s">
        <v>3847</v>
      </c>
      <c r="C227" s="1251"/>
      <c r="D227" s="1251"/>
      <c r="G227" s="1251"/>
      <c r="H227" s="1251"/>
    </row>
    <row r="228" spans="2:15" ht="29" hidden="1" outlineLevel="1">
      <c r="B228" s="740"/>
      <c r="C228" s="742" t="s">
        <v>3816</v>
      </c>
      <c r="G228" s="1251"/>
      <c r="H228" s="1251"/>
    </row>
    <row r="229" spans="2:15" hidden="1" outlineLevel="1">
      <c r="B229" s="562" t="s">
        <v>3732</v>
      </c>
      <c r="C229" s="131">
        <f>C188+D188</f>
        <v>2.6436169456868512</v>
      </c>
      <c r="D229" s="74"/>
      <c r="E229" s="74"/>
      <c r="G229" s="1251"/>
      <c r="H229" s="1251"/>
    </row>
    <row r="230" spans="2:15" hidden="1" outlineLevel="1">
      <c r="B230" s="562" t="s">
        <v>3733</v>
      </c>
      <c r="C230" s="131">
        <f t="shared" ref="C230:C235" si="21">C189+D189</f>
        <v>7.44837406900837</v>
      </c>
      <c r="G230" s="1251"/>
      <c r="H230" s="1251"/>
    </row>
    <row r="231" spans="2:15" hidden="1" outlineLevel="1">
      <c r="B231" s="562" t="s">
        <v>3734</v>
      </c>
      <c r="C231" s="131">
        <f t="shared" si="21"/>
        <v>19.5</v>
      </c>
      <c r="F231" s="23"/>
      <c r="G231" s="1251"/>
    </row>
    <row r="232" spans="2:15" hidden="1" outlineLevel="1">
      <c r="B232" s="562" t="s">
        <v>3735</v>
      </c>
      <c r="C232" s="131">
        <f t="shared" si="21"/>
        <v>5.0396958874882509</v>
      </c>
      <c r="D232" s="1251"/>
      <c r="G232" s="1251"/>
      <c r="H232" s="1251"/>
    </row>
    <row r="233" spans="2:15" hidden="1" outlineLevel="1">
      <c r="B233" s="562" t="s">
        <v>3736</v>
      </c>
      <c r="C233" s="131">
        <f t="shared" si="21"/>
        <v>25.939999999999998</v>
      </c>
      <c r="D233" s="1251"/>
      <c r="G233" s="1251"/>
      <c r="H233" s="1251"/>
    </row>
    <row r="234" spans="2:15" hidden="1" outlineLevel="1">
      <c r="B234" s="562" t="s">
        <v>3737</v>
      </c>
      <c r="C234" s="131">
        <f t="shared" si="21"/>
        <v>3.4521916829294517</v>
      </c>
      <c r="D234" s="1251"/>
      <c r="G234" s="1251"/>
      <c r="H234" s="1251"/>
    </row>
    <row r="235" spans="2:15" ht="14.5" hidden="1" outlineLevel="1" thickBot="1">
      <c r="B235" s="565" t="s">
        <v>3738</v>
      </c>
      <c r="C235" s="19">
        <f t="shared" si="21"/>
        <v>8.0783360549444012</v>
      </c>
      <c r="D235" s="1251"/>
      <c r="G235" s="1251"/>
      <c r="H235" s="1251"/>
    </row>
    <row r="236" spans="2:15" hidden="1" outlineLevel="1">
      <c r="B236" s="1251"/>
      <c r="C236" s="1251"/>
      <c r="D236" s="1251"/>
      <c r="G236" s="1251"/>
      <c r="H236" s="1251"/>
    </row>
    <row r="237" spans="2:15" ht="14.5" hidden="1" outlineLevel="1" thickBot="1">
      <c r="B237" s="1251" t="s">
        <v>546</v>
      </c>
      <c r="D237" s="1251"/>
      <c r="G237" s="1251"/>
      <c r="H237" s="1251"/>
    </row>
    <row r="238" spans="2:15" ht="33" hidden="1" customHeight="1" outlineLevel="1">
      <c r="B238" s="1653"/>
      <c r="C238" s="1553" t="s">
        <v>3848</v>
      </c>
      <c r="D238" s="1554"/>
      <c r="E238" s="1554"/>
      <c r="F238" s="1554"/>
      <c r="G238" s="1555"/>
      <c r="H238" s="1543" t="s">
        <v>3849</v>
      </c>
      <c r="I238" s="1554"/>
      <c r="J238" s="1554"/>
      <c r="K238" s="1555"/>
      <c r="L238" s="1543" t="s">
        <v>3850</v>
      </c>
      <c r="M238" s="1554"/>
      <c r="N238" s="1554"/>
      <c r="O238" s="1555"/>
    </row>
    <row r="239" spans="2:15" ht="58" hidden="1" outlineLevel="1">
      <c r="B239" s="1654"/>
      <c r="C239" s="442" t="s">
        <v>550</v>
      </c>
      <c r="D239" s="167" t="s">
        <v>551</v>
      </c>
      <c r="E239" s="167" t="s">
        <v>653</v>
      </c>
      <c r="F239" s="167" t="s">
        <v>552</v>
      </c>
      <c r="G239" s="303" t="s">
        <v>83</v>
      </c>
      <c r="H239" s="748" t="s">
        <v>550</v>
      </c>
      <c r="I239" s="167" t="s">
        <v>551</v>
      </c>
      <c r="J239" s="167" t="s">
        <v>552</v>
      </c>
      <c r="K239" s="303" t="s">
        <v>83</v>
      </c>
      <c r="L239" s="748" t="s">
        <v>550</v>
      </c>
      <c r="M239" s="167" t="s">
        <v>551</v>
      </c>
      <c r="N239" s="167" t="s">
        <v>552</v>
      </c>
      <c r="O239" s="303" t="s">
        <v>83</v>
      </c>
    </row>
    <row r="240" spans="2:15" hidden="1" outlineLevel="1">
      <c r="B240" s="744" t="s">
        <v>3732</v>
      </c>
      <c r="C240" s="691">
        <f>$C229*C$224*'Annexe - Logistique'!$D$29/10^3</f>
        <v>0.53665423997443074</v>
      </c>
      <c r="D240" s="168">
        <f>$C229*D$224*'Annexe - Logistique'!$D$28/10^3</f>
        <v>1.5325682957605209</v>
      </c>
      <c r="E240" s="168">
        <f>$C229*E$224*'Annexe - Logistique'!$D$26/10^3</f>
        <v>8.2752943057314301</v>
      </c>
      <c r="F240" s="168">
        <f>$C229*F$224*'Annexe - Logistique'!$D$30/10^3</f>
        <v>0.20488031329073095</v>
      </c>
      <c r="G240" s="694">
        <f>SUM(C240:F240)</f>
        <v>10.549397154757113</v>
      </c>
      <c r="H240" s="746">
        <f>$C229*G$224*'Annexe - Logistique'!$D$29/10^3</f>
        <v>0.5382904836970438</v>
      </c>
      <c r="I240" s="168">
        <v>0</v>
      </c>
      <c r="J240" s="168">
        <f>$C229*I$224*'Annexe - Logistique'!$D$30/10^3</f>
        <v>0.20488031329073095</v>
      </c>
      <c r="K240" s="694">
        <f t="shared" ref="K240:K246" si="22">SUM(H240:J240)</f>
        <v>0.74317079698777477</v>
      </c>
      <c r="L240" s="746">
        <f>$C229*J$224*'Annexe - Logistique'!$D$29/10^3</f>
        <v>0.26832711998721537</v>
      </c>
      <c r="M240" s="168">
        <v>0</v>
      </c>
      <c r="N240" s="168">
        <f>$C229*L$224*'Annexe - Logistique'!$D$30/10^3</f>
        <v>0.20488031329073095</v>
      </c>
      <c r="O240" s="694">
        <f>SUM(L240:N240)</f>
        <v>0.47320743327794634</v>
      </c>
    </row>
    <row r="241" spans="2:15" hidden="1" outlineLevel="1">
      <c r="B241" s="744" t="s">
        <v>3733</v>
      </c>
      <c r="C241" s="691">
        <f>$C230*C$225*'Annexe - Logistique'!$D$29/10^3</f>
        <v>1.512019936008699</v>
      </c>
      <c r="D241" s="168">
        <f>$C230*D$225*'Annexe - Logistique'!$D$28/10^3</f>
        <v>3.3259792185745236</v>
      </c>
      <c r="E241" s="168">
        <f>$C230*E$225*'Annexe - Logistique'!$D$26/10^3</f>
        <v>22.48751327119956</v>
      </c>
      <c r="F241" s="168">
        <f>$C230*F$225*'Annexe - Logistique'!$D$30/10^3</f>
        <v>0.57724899034814858</v>
      </c>
      <c r="G241" s="694">
        <f t="shared" ref="G241:G246" si="23">SUM(C241:F241)</f>
        <v>27.902761416130932</v>
      </c>
      <c r="H241" s="746">
        <f>$C230*G$225*'Annexe - Logistique'!$D$29/10^3</f>
        <v>1.6523071546657366</v>
      </c>
      <c r="I241" s="168">
        <v>0</v>
      </c>
      <c r="J241" s="168">
        <f>$C230*I$225*'Annexe - Logistique'!$D$30/10^3</f>
        <v>0.57724899034814858</v>
      </c>
      <c r="K241" s="694">
        <f t="shared" si="22"/>
        <v>2.229556145013885</v>
      </c>
      <c r="L241" s="746">
        <f>$C230*J$225*'Annexe - Logistique'!$D$29/10^3</f>
        <v>0.75600996800434961</v>
      </c>
      <c r="M241" s="168">
        <v>0</v>
      </c>
      <c r="N241" s="168">
        <f>$C230*L$225*'Annexe - Logistique'!$D$30/10^3</f>
        <v>0.57724899034814858</v>
      </c>
      <c r="O241" s="694">
        <f t="shared" ref="O241:O246" si="24">SUM(L241:N241)</f>
        <v>1.3332589583524981</v>
      </c>
    </row>
    <row r="242" spans="2:15" hidden="1" outlineLevel="1">
      <c r="B242" s="744" t="s">
        <v>3734</v>
      </c>
      <c r="C242" s="691">
        <f>$C231*C$225*'Annexe - Logistique'!$D$29/10^3</f>
        <v>3.9584999999999995</v>
      </c>
      <c r="D242" s="168">
        <f>$C231*D$225*'Annexe - Logistique'!$D$28/10^3</f>
        <v>8.7074835610180106</v>
      </c>
      <c r="E242" s="168">
        <f>$C231*E$225*'Annexe - Logistique'!$D$26/10^3</f>
        <v>58.872782801410978</v>
      </c>
      <c r="F242" s="168">
        <f>$C231*F$225*'Annexe - Logistique'!$D$30/10^3</f>
        <v>1.51125</v>
      </c>
      <c r="G242" s="694">
        <f t="shared" si="23"/>
        <v>73.050016362428991</v>
      </c>
      <c r="H242" s="746">
        <f>$C231*G$225*'Annexe - Logistique'!$D$29/10^3</f>
        <v>4.3257748895889483</v>
      </c>
      <c r="I242" s="168">
        <v>0</v>
      </c>
      <c r="J242" s="168">
        <f>$C231*I$225*'Annexe - Logistique'!$D$30/10^3</f>
        <v>1.51125</v>
      </c>
      <c r="K242" s="694">
        <f t="shared" si="22"/>
        <v>5.8370248895889478</v>
      </c>
      <c r="L242" s="746">
        <f>$C231*J$225*'Annexe - Logistique'!$D$29/10^3</f>
        <v>1.9792500000000002</v>
      </c>
      <c r="M242" s="168">
        <v>0</v>
      </c>
      <c r="N242" s="168">
        <f>$C231*L$225*'Annexe - Logistique'!$D$30/10^3</f>
        <v>1.51125</v>
      </c>
      <c r="O242" s="694">
        <f t="shared" si="24"/>
        <v>3.4904999999999999</v>
      </c>
    </row>
    <row r="243" spans="2:15" hidden="1" outlineLevel="1">
      <c r="B243" s="744" t="s">
        <v>3735</v>
      </c>
      <c r="C243" s="691">
        <f>$C232*C$225*'Annexe - Logistique'!$D$29/10^3</f>
        <v>1.0230582651601148</v>
      </c>
      <c r="D243" s="168">
        <f>$C232*D$225*'Annexe - Logistique'!$D$28/10^3</f>
        <v>2.250413799632514</v>
      </c>
      <c r="E243" s="168">
        <f>$C232*E$225*'Annexe - Logistique'!$D$26/10^3</f>
        <v>15.215431865090252</v>
      </c>
      <c r="F243" s="168">
        <f>$C232*F$225*'Annexe - Logistique'!$D$30/10^3</f>
        <v>0.39057643128033948</v>
      </c>
      <c r="G243" s="694">
        <f t="shared" si="23"/>
        <v>18.879480361163221</v>
      </c>
      <c r="H243" s="746">
        <f>$C232*G$225*'Annexe - Logistique'!$D$29/10^3</f>
        <v>1.1179789703210954</v>
      </c>
      <c r="I243" s="168">
        <v>0</v>
      </c>
      <c r="J243" s="168">
        <f>$C232*I$225*'Annexe - Logistique'!$D$30/10^3</f>
        <v>0.39057643128033948</v>
      </c>
      <c r="K243" s="694">
        <f t="shared" si="22"/>
        <v>1.5085554016014349</v>
      </c>
      <c r="L243" s="746">
        <f>$C232*J$225*'Annexe - Logistique'!$D$29/10^3</f>
        <v>0.5115291325800575</v>
      </c>
      <c r="M243" s="168">
        <v>0</v>
      </c>
      <c r="N243" s="168">
        <f>$C232*L$225*'Annexe - Logistique'!$D$30/10^3</f>
        <v>0.39057643128033948</v>
      </c>
      <c r="O243" s="694">
        <f t="shared" si="24"/>
        <v>0.90210556386039698</v>
      </c>
    </row>
    <row r="244" spans="2:15" hidden="1" outlineLevel="1">
      <c r="B244" s="744" t="s">
        <v>3736</v>
      </c>
      <c r="C244" s="691">
        <f>$C233*C$225*'Annexe - Logistique'!$D$29/10^3</f>
        <v>5.2658199999999997</v>
      </c>
      <c r="D244" s="168">
        <f>$C233*D$225*'Annexe - Logistique'!$D$28/10^3</f>
        <v>11.583185824246522</v>
      </c>
      <c r="E244" s="168">
        <f>$C233*E$225*'Annexe - Logistique'!$D$26/10^3</f>
        <v>78.315896711210286</v>
      </c>
      <c r="F244" s="168">
        <f>$C233*F$225*'Annexe - Logistique'!$D$30/10^3</f>
        <v>2.0103499999999999</v>
      </c>
      <c r="G244" s="694">
        <f t="shared" si="23"/>
        <v>97.175252535456806</v>
      </c>
      <c r="H244" s="746">
        <f>$C233*G$225*'Annexe - Logistique'!$D$29/10^3</f>
        <v>5.7543897762019132</v>
      </c>
      <c r="I244" s="168">
        <v>0</v>
      </c>
      <c r="J244" s="168">
        <f>$C233*I$225*'Annexe - Logistique'!$D$30/10^3</f>
        <v>2.0103499999999999</v>
      </c>
      <c r="K244" s="694">
        <f t="shared" si="22"/>
        <v>7.764739776201913</v>
      </c>
      <c r="L244" s="746">
        <f>$C233*J$225*'Annexe - Logistique'!$D$29/10^3</f>
        <v>2.6329099999999999</v>
      </c>
      <c r="M244" s="168">
        <v>0</v>
      </c>
      <c r="N244" s="168">
        <f>$C233*L$225*'Annexe - Logistique'!$D$30/10^3</f>
        <v>2.0103499999999999</v>
      </c>
      <c r="O244" s="694">
        <f t="shared" si="24"/>
        <v>4.6432599999999997</v>
      </c>
    </row>
    <row r="245" spans="2:15" hidden="1" outlineLevel="1">
      <c r="B245" s="744" t="s">
        <v>3737</v>
      </c>
      <c r="C245" s="691">
        <f>$C234*C$224*'Annexe - Logistique'!$D$29/10^3</f>
        <v>0.70079491163467877</v>
      </c>
      <c r="D245" s="168">
        <f>$C234*D$224*'Annexe - Logistique'!$D$28/10^3</f>
        <v>2.0013185090138794</v>
      </c>
      <c r="E245" s="168">
        <f>$C234*E$224*'Annexe - Logistique'!$D$26/10^3</f>
        <v>10.806369743789459</v>
      </c>
      <c r="F245" s="168">
        <f>$C234*F$224*'Annexe - Logistique'!$D$30/10^3</f>
        <v>0.26754485542703255</v>
      </c>
      <c r="G245" s="694">
        <f t="shared" si="23"/>
        <v>13.77602801986505</v>
      </c>
      <c r="H245" s="746">
        <f>$C234*G$224*'Annexe - Logistique'!$D$29/10^3</f>
        <v>0.70293161566045137</v>
      </c>
      <c r="I245" s="168">
        <v>0</v>
      </c>
      <c r="J245" s="168">
        <f>$C234*I$224*'Annexe - Logistique'!$D$30/10^3</f>
        <v>0.26754485542703255</v>
      </c>
      <c r="K245" s="694">
        <f t="shared" si="22"/>
        <v>0.97047647108748392</v>
      </c>
      <c r="L245" s="746">
        <f>$C234*J$224*'Annexe - Logistique'!$D$29/10^3</f>
        <v>0.35039745581733939</v>
      </c>
      <c r="M245" s="168">
        <v>0</v>
      </c>
      <c r="N245" s="168">
        <f>$C234*L$224*'Annexe - Logistique'!$D$30/10^3</f>
        <v>0.26754485542703255</v>
      </c>
      <c r="O245" s="694">
        <f t="shared" si="24"/>
        <v>0.61794231124437193</v>
      </c>
    </row>
    <row r="246" spans="2:15" ht="14.5" hidden="1" outlineLevel="1" thickBot="1">
      <c r="B246" s="745" t="s">
        <v>3738</v>
      </c>
      <c r="C246" s="692">
        <f>$C235*C$224*'Annexe - Logistique'!$D$29/10^3</f>
        <v>1.6399022191537136</v>
      </c>
      <c r="D246" s="170">
        <f>$C235*D$224*'Annexe - Logistique'!$D$28/10^3</f>
        <v>4.6832056136220013</v>
      </c>
      <c r="E246" s="170">
        <f>$C235*E$224*'Annexe - Logistique'!$D$26/10^3</f>
        <v>25.287554789030722</v>
      </c>
      <c r="F246" s="170">
        <f>$C235*F$224*'Annexe - Logistique'!$D$30/10^3</f>
        <v>0.62607104425819116</v>
      </c>
      <c r="G246" s="327">
        <f t="shared" si="23"/>
        <v>32.23673366606463</v>
      </c>
      <c r="H246" s="747">
        <f>$C235*G$224*'Annexe - Logistique'!$D$29/10^3</f>
        <v>1.6449022350147962</v>
      </c>
      <c r="I246" s="170">
        <v>0</v>
      </c>
      <c r="J246" s="170">
        <f>$C235*I$224*'Annexe - Logistique'!$D$30/10^3</f>
        <v>0.62607104425819116</v>
      </c>
      <c r="K246" s="327">
        <f t="shared" si="22"/>
        <v>2.2709732792729875</v>
      </c>
      <c r="L246" s="747">
        <f>$C235*J$224*'Annexe - Logistique'!$D$29/10^3</f>
        <v>0.8199511095768568</v>
      </c>
      <c r="M246" s="170">
        <v>0</v>
      </c>
      <c r="N246" s="170">
        <f>$C235*L$224*'Annexe - Logistique'!$D$30/10^3</f>
        <v>0.62607104425819116</v>
      </c>
      <c r="O246" s="327">
        <f t="shared" si="24"/>
        <v>1.446022153835048</v>
      </c>
    </row>
    <row r="247" spans="2:15" hidden="1" outlineLevel="1">
      <c r="G247" s="1251"/>
    </row>
    <row r="248" spans="2:15" ht="14.5" hidden="1" outlineLevel="1" thickBot="1">
      <c r="B248" s="1251" t="s">
        <v>2734</v>
      </c>
      <c r="G248" s="1251"/>
    </row>
    <row r="249" spans="2:15" ht="43.5" hidden="1" outlineLevel="1">
      <c r="B249" s="169"/>
      <c r="C249" s="158" t="s">
        <v>3851</v>
      </c>
      <c r="D249" s="159" t="s">
        <v>363</v>
      </c>
      <c r="G249" s="1251"/>
    </row>
    <row r="250" spans="2:15" hidden="1" outlineLevel="1">
      <c r="B250" s="562" t="s">
        <v>3732</v>
      </c>
      <c r="C250" s="428">
        <f>G240*SUM(E$204:O$204)/(1+C$214) + K240*SUM(P$204:Q$204)/(1+C$214) + O240*C$214</f>
        <v>7.1910588828555531</v>
      </c>
      <c r="D250" s="132">
        <f t="shared" ref="D250:D256" si="25">C250*D90/10^6</f>
        <v>2.1224791741544675</v>
      </c>
      <c r="G250" s="1251"/>
    </row>
    <row r="251" spans="2:15" hidden="1" outlineLevel="1">
      <c r="B251" s="562" t="s">
        <v>3733</v>
      </c>
      <c r="C251" s="428">
        <f>G241*SUM(E$205:O$205)/(1+C$215) + K241*SUM(P$205:Q$205)/(1+C$215) + O241*C$215</f>
        <v>18.023373898689673</v>
      </c>
      <c r="D251" s="132">
        <f t="shared" si="25"/>
        <v>0.32094762602613663</v>
      </c>
      <c r="G251" s="1251"/>
    </row>
    <row r="252" spans="2:15" hidden="1" outlineLevel="1">
      <c r="B252" s="562" t="s">
        <v>3734</v>
      </c>
      <c r="C252" s="428">
        <f>G242*SUM(E$205:O$205)/(1+C$215) + K242*SUM(P$205:Q$205)/(1+C$215) + O242*C$215</f>
        <v>47.185572014542934</v>
      </c>
      <c r="D252" s="132">
        <f t="shared" si="25"/>
        <v>1.163603283714431</v>
      </c>
      <c r="G252" s="1251"/>
    </row>
    <row r="253" spans="2:15" hidden="1" outlineLevel="1">
      <c r="B253" s="562" t="s">
        <v>3735</v>
      </c>
      <c r="C253" s="428">
        <f>G243*SUM(E$205:O$205)/(1+C$215) + K243*SUM(P$205:Q$205)/(1+C$215) + O243*C$215</f>
        <v>12.194919652844755</v>
      </c>
      <c r="D253" s="132">
        <f t="shared" si="25"/>
        <v>5.5391623336540068E-2</v>
      </c>
      <c r="G253" s="1251"/>
    </row>
    <row r="254" spans="2:15" hidden="1" outlineLevel="1">
      <c r="B254" s="562" t="s">
        <v>3736</v>
      </c>
      <c r="C254" s="428">
        <f>G244*SUM(E$205:O$205)/(1+C$215) + K244*SUM(P$205:Q$205)/(1+C$215) + O244*C$215</f>
        <v>62.768909643961202</v>
      </c>
      <c r="D254" s="132">
        <f t="shared" si="25"/>
        <v>0.28510821712815082</v>
      </c>
      <c r="G254" s="1251"/>
    </row>
    <row r="255" spans="2:15" hidden="1" outlineLevel="1">
      <c r="B255" s="562" t="s">
        <v>3737</v>
      </c>
      <c r="C255" s="428">
        <f>G245*SUM(E$204:O$204)/(1+C$214) + K245*SUM(P$204:Q$204)/(1+C$214) + O245*C$214</f>
        <v>9.3905108708553868</v>
      </c>
      <c r="D255" s="132">
        <f t="shared" si="25"/>
        <v>0.12822543948730764</v>
      </c>
      <c r="G255" s="1251"/>
    </row>
    <row r="256" spans="2:15" ht="14.5" hidden="1" outlineLevel="1" thickBot="1">
      <c r="B256" s="565" t="s">
        <v>3738</v>
      </c>
      <c r="C256" s="430">
        <f>G246*SUM(E$204:O$204)/(1+C$214) + K246*SUM(P$204:Q$204)/(1+C$214) + O246*C$214</f>
        <v>21.974359916771949</v>
      </c>
      <c r="D256" s="209">
        <f t="shared" si="25"/>
        <v>3.1009906819729236E-2</v>
      </c>
      <c r="G256" s="1251"/>
    </row>
    <row r="257" spans="2:7" ht="14.5" hidden="1" outlineLevel="1" thickBot="1">
      <c r="C257" s="571" t="s">
        <v>83</v>
      </c>
      <c r="D257" s="743">
        <f>SUM(D250:D256)</f>
        <v>4.106765270666763</v>
      </c>
      <c r="G257" s="1251"/>
    </row>
    <row r="258" spans="2:7" hidden="1" outlineLevel="1">
      <c r="G258" s="1251"/>
    </row>
    <row r="259" spans="2:7" collapsed="1"/>
    <row r="260" spans="2:7" ht="20">
      <c r="B260" s="216" t="s">
        <v>3852</v>
      </c>
    </row>
    <row r="262" spans="2:7" hidden="1" outlineLevel="1"/>
    <row r="263" spans="2:7" hidden="1" outlineLevel="1">
      <c r="B263" t="s">
        <v>3853</v>
      </c>
    </row>
    <row r="264" spans="2:7" hidden="1" outlineLevel="1"/>
    <row r="265" spans="2:7" hidden="1" outlineLevel="1">
      <c r="B265" s="3" t="s">
        <v>3854</v>
      </c>
    </row>
    <row r="266" spans="2:7" hidden="1" outlineLevel="1">
      <c r="B266" s="1251" t="s">
        <v>3855</v>
      </c>
    </row>
    <row r="267" spans="2:7" hidden="1" outlineLevel="1">
      <c r="B267" s="1251" t="s">
        <v>3856</v>
      </c>
    </row>
    <row r="268" spans="2:7" hidden="1" outlineLevel="1">
      <c r="B268" s="1251" t="s">
        <v>3857</v>
      </c>
    </row>
    <row r="269" spans="2:7" hidden="1" outlineLevel="1"/>
    <row r="270" spans="2:7" hidden="1" outlineLevel="1">
      <c r="B270" s="3" t="s">
        <v>3858</v>
      </c>
    </row>
    <row r="271" spans="2:7" hidden="1" outlineLevel="1">
      <c r="B271" s="1251" t="s">
        <v>3859</v>
      </c>
    </row>
    <row r="272" spans="2:7" hidden="1" outlineLevel="1">
      <c r="B272" s="1251" t="s">
        <v>3860</v>
      </c>
    </row>
    <row r="273" spans="2:6" hidden="1" outlineLevel="1"/>
    <row r="274" spans="2:6" hidden="1" outlineLevel="1">
      <c r="B274" s="3" t="s">
        <v>3861</v>
      </c>
    </row>
    <row r="275" spans="2:6" hidden="1" outlineLevel="1">
      <c r="B275" s="1251" t="s">
        <v>3862</v>
      </c>
    </row>
    <row r="276" spans="2:6" hidden="1" outlineLevel="1">
      <c r="B276" s="1251" t="s">
        <v>3863</v>
      </c>
    </row>
    <row r="277" spans="2:6" hidden="1" outlineLevel="1">
      <c r="B277" s="1251" t="s">
        <v>3864</v>
      </c>
    </row>
    <row r="278" spans="2:6" hidden="1" outlineLevel="1">
      <c r="B278" s="1251"/>
    </row>
    <row r="279" spans="2:6" hidden="1" outlineLevel="1">
      <c r="B279" s="3" t="s">
        <v>3865</v>
      </c>
      <c r="D279" s="1251"/>
      <c r="E279" s="23"/>
      <c r="F279" s="1251"/>
    </row>
    <row r="280" spans="2:6" hidden="1" outlineLevel="1">
      <c r="B280" s="87" t="s">
        <v>3866</v>
      </c>
      <c r="E280" s="1251"/>
    </row>
    <row r="281" spans="2:6" hidden="1" outlineLevel="1">
      <c r="B281" s="1251" t="s">
        <v>3867</v>
      </c>
      <c r="E281" s="1251"/>
    </row>
    <row r="282" spans="2:6" hidden="1" outlineLevel="1">
      <c r="B282" s="1251" t="s">
        <v>3868</v>
      </c>
    </row>
    <row r="283" spans="2:6" hidden="1" outlineLevel="1">
      <c r="B283" s="1251" t="s">
        <v>3869</v>
      </c>
    </row>
    <row r="284" spans="2:6" hidden="1" outlineLevel="1">
      <c r="B284" s="1251"/>
    </row>
    <row r="285" spans="2:6" hidden="1" outlineLevel="1">
      <c r="B285" t="s">
        <v>3870</v>
      </c>
    </row>
    <row r="286" spans="2:6" ht="14.5" hidden="1" outlineLevel="1" thickBot="1">
      <c r="B286" s="1251"/>
    </row>
    <row r="287" spans="2:6" ht="42" hidden="1" outlineLevel="1">
      <c r="B287" s="456" t="s">
        <v>977</v>
      </c>
      <c r="C287" s="404" t="s">
        <v>3255</v>
      </c>
      <c r="D287" s="404" t="s">
        <v>3256</v>
      </c>
      <c r="E287" s="405" t="s">
        <v>3871</v>
      </c>
    </row>
    <row r="288" spans="2:6" hidden="1" outlineLevel="1">
      <c r="B288" s="562" t="s">
        <v>3732</v>
      </c>
      <c r="C288" s="136">
        <f t="shared" ref="C288:D294" si="26">C90</f>
        <v>1770931.826923077</v>
      </c>
      <c r="D288" s="136">
        <f t="shared" si="26"/>
        <v>295155.3044871795</v>
      </c>
      <c r="E288" s="192">
        <f>D288*3+C288</f>
        <v>2656397.7403846155</v>
      </c>
    </row>
    <row r="289" spans="2:9" hidden="1" outlineLevel="1">
      <c r="B289" s="562" t="s">
        <v>3733</v>
      </c>
      <c r="C289" s="136">
        <f t="shared" si="26"/>
        <v>89036.5</v>
      </c>
      <c r="D289" s="136">
        <f t="shared" si="26"/>
        <v>17807.3</v>
      </c>
      <c r="E289" s="17"/>
    </row>
    <row r="290" spans="2:9" hidden="1" outlineLevel="1">
      <c r="B290" s="562" t="s">
        <v>3734</v>
      </c>
      <c r="C290" s="136">
        <f t="shared" si="26"/>
        <v>123300.74999999999</v>
      </c>
      <c r="D290" s="136">
        <f t="shared" si="26"/>
        <v>24660.15</v>
      </c>
      <c r="E290" s="192">
        <f>3*C289+D289</f>
        <v>284916.8</v>
      </c>
    </row>
    <row r="291" spans="2:9" hidden="1" outlineLevel="1">
      <c r="B291" s="562" t="s">
        <v>3735</v>
      </c>
      <c r="C291" s="136">
        <f t="shared" si="26"/>
        <v>22710.942307692309</v>
      </c>
      <c r="D291" s="136">
        <f t="shared" si="26"/>
        <v>4542.1884615384615</v>
      </c>
      <c r="E291" s="17"/>
    </row>
    <row r="292" spans="2:9" hidden="1" outlineLevel="1">
      <c r="B292" s="562" t="s">
        <v>3736</v>
      </c>
      <c r="C292" s="136">
        <f t="shared" si="26"/>
        <v>22710.942307692309</v>
      </c>
      <c r="D292" s="136">
        <f t="shared" si="26"/>
        <v>4542.1884615384615</v>
      </c>
      <c r="E292" s="192">
        <f>30*C291</f>
        <v>681328.26923076925</v>
      </c>
    </row>
    <row r="293" spans="2:9" hidden="1" outlineLevel="1">
      <c r="B293" s="562" t="s">
        <v>3737</v>
      </c>
      <c r="C293" s="136">
        <f t="shared" si="26"/>
        <v>81928.730769230766</v>
      </c>
      <c r="D293" s="136">
        <f t="shared" si="26"/>
        <v>13654.788461538461</v>
      </c>
      <c r="E293" s="192">
        <f>4*C293+D293</f>
        <v>341369.7115384615</v>
      </c>
    </row>
    <row r="294" spans="2:9" ht="14.5" hidden="1" outlineLevel="1" thickBot="1">
      <c r="B294" s="565" t="s">
        <v>3738</v>
      </c>
      <c r="C294" s="37">
        <f t="shared" si="26"/>
        <v>8467.1153846153848</v>
      </c>
      <c r="D294" s="37">
        <f t="shared" si="26"/>
        <v>1411.1858974358975</v>
      </c>
      <c r="E294" s="195">
        <f>4*C294+D294</f>
        <v>35279.647435897437</v>
      </c>
    </row>
    <row r="295" spans="2:9" ht="14.5" hidden="1" outlineLevel="1" thickBot="1">
      <c r="B295" s="1251"/>
      <c r="D295" s="571" t="s">
        <v>83</v>
      </c>
      <c r="E295" s="208">
        <f>SUM(E288:E294)</f>
        <v>3999292.1685897438</v>
      </c>
    </row>
    <row r="296" spans="2:9" hidden="1" outlineLevel="1">
      <c r="B296" s="1251"/>
    </row>
    <row r="297" spans="2:9" ht="14.5" hidden="1" outlineLevel="1" thickBot="1">
      <c r="B297" s="1251" t="s">
        <v>3872</v>
      </c>
    </row>
    <row r="298" spans="2:9" ht="15" hidden="1" outlineLevel="1" thickBot="1">
      <c r="B298" s="123"/>
      <c r="C298" s="6" t="s">
        <v>69</v>
      </c>
      <c r="D298" s="6" t="s">
        <v>301</v>
      </c>
      <c r="I298" s="103"/>
    </row>
    <row r="299" spans="2:9" ht="14.5" hidden="1" outlineLevel="1">
      <c r="B299" s="10" t="s">
        <v>3721</v>
      </c>
      <c r="C299" s="205">
        <v>20</v>
      </c>
      <c r="D299" s="1340" t="s">
        <v>2113</v>
      </c>
    </row>
    <row r="300" spans="2:9" ht="15" hidden="1" outlineLevel="1" thickBot="1">
      <c r="B300" s="13" t="s">
        <v>73</v>
      </c>
      <c r="C300" s="22">
        <v>250</v>
      </c>
      <c r="D300" s="1285" t="s">
        <v>3439</v>
      </c>
    </row>
    <row r="301" spans="2:9" hidden="1" outlineLevel="1"/>
    <row r="302" spans="2:9" ht="14.5" hidden="1" outlineLevel="1" thickBot="1">
      <c r="B302" s="1251" t="s">
        <v>934</v>
      </c>
    </row>
    <row r="303" spans="2:9" ht="42" hidden="1" outlineLevel="1">
      <c r="B303" s="456" t="s">
        <v>977</v>
      </c>
      <c r="C303" s="405" t="s">
        <v>3873</v>
      </c>
    </row>
    <row r="304" spans="2:9" hidden="1" outlineLevel="1">
      <c r="B304" s="562" t="s">
        <v>3732</v>
      </c>
      <c r="C304" s="211">
        <f t="shared" ref="C304:C310" si="27">E288*C$299*C$300/10^9</f>
        <v>13.281988701923078</v>
      </c>
    </row>
    <row r="305" spans="2:5" hidden="1" outlineLevel="1">
      <c r="B305" s="562" t="s">
        <v>3733</v>
      </c>
      <c r="C305" s="211">
        <f t="shared" si="27"/>
        <v>0</v>
      </c>
    </row>
    <row r="306" spans="2:5" hidden="1" outlineLevel="1">
      <c r="B306" s="562" t="s">
        <v>3734</v>
      </c>
      <c r="C306" s="211">
        <f t="shared" si="27"/>
        <v>1.4245840000000001</v>
      </c>
    </row>
    <row r="307" spans="2:5" hidden="1" outlineLevel="1">
      <c r="B307" s="562" t="s">
        <v>3735</v>
      </c>
      <c r="C307" s="211">
        <f t="shared" si="27"/>
        <v>0</v>
      </c>
    </row>
    <row r="308" spans="2:5" hidden="1" outlineLevel="1">
      <c r="B308" s="562" t="s">
        <v>3736</v>
      </c>
      <c r="C308" s="211">
        <f t="shared" si="27"/>
        <v>3.4066413461538456</v>
      </c>
    </row>
    <row r="309" spans="2:5" hidden="1" outlineLevel="1">
      <c r="B309" s="562" t="s">
        <v>3737</v>
      </c>
      <c r="C309" s="211">
        <f t="shared" si="27"/>
        <v>1.7068485576923074</v>
      </c>
    </row>
    <row r="310" spans="2:5" ht="14.5" hidden="1" outlineLevel="1" thickBot="1">
      <c r="B310" s="565" t="s">
        <v>3738</v>
      </c>
      <c r="C310" s="186">
        <f t="shared" si="27"/>
        <v>0.17639823717948719</v>
      </c>
    </row>
    <row r="311" spans="2:5" ht="14.5" hidden="1" outlineLevel="1" thickBot="1">
      <c r="B311" s="571" t="s">
        <v>83</v>
      </c>
      <c r="C311" s="187">
        <f>SUM(C304:C310)</f>
        <v>19.996460842948718</v>
      </c>
    </row>
    <row r="312" spans="2:5" hidden="1" outlineLevel="1"/>
    <row r="313" spans="2:5" collapsed="1"/>
    <row r="314" spans="2:5" ht="20">
      <c r="B314" s="216" t="s">
        <v>2687</v>
      </c>
    </row>
    <row r="316" spans="2:5" hidden="1" outlineLevel="1">
      <c r="B316" s="1251" t="s">
        <v>3722</v>
      </c>
    </row>
    <row r="317" spans="2:5" hidden="1" outlineLevel="1">
      <c r="B317" s="1251"/>
    </row>
    <row r="318" spans="2:5" ht="14.5" hidden="1" outlineLevel="1" thickBot="1">
      <c r="B318" t="s">
        <v>3723</v>
      </c>
    </row>
    <row r="319" spans="2:5" ht="14.5" hidden="1" outlineLevel="1">
      <c r="B319" s="123"/>
      <c r="C319" s="5" t="s">
        <v>69</v>
      </c>
      <c r="D319" s="5" t="s">
        <v>301</v>
      </c>
      <c r="E319" s="6" t="s">
        <v>301</v>
      </c>
    </row>
    <row r="320" spans="2:5" ht="15" hidden="1" outlineLevel="1" thickBot="1">
      <c r="B320" s="13" t="s">
        <v>73</v>
      </c>
      <c r="C320" s="22">
        <v>2000</v>
      </c>
      <c r="D320" s="1267" t="s">
        <v>1112</v>
      </c>
      <c r="E320" s="1285" t="s">
        <v>2937</v>
      </c>
    </row>
    <row r="321" spans="2:6" hidden="1" outlineLevel="1"/>
    <row r="322" spans="2:6" ht="14.5" hidden="1" outlineLevel="1" thickBot="1">
      <c r="B322" s="1251" t="s">
        <v>3725</v>
      </c>
      <c r="C322" s="1251"/>
    </row>
    <row r="323" spans="2:6" ht="43.5" hidden="1" outlineLevel="1">
      <c r="B323" s="123"/>
      <c r="C323" s="5" t="s">
        <v>3726</v>
      </c>
      <c r="D323" s="6" t="s">
        <v>3838</v>
      </c>
      <c r="E323" s="6" t="s">
        <v>3727</v>
      </c>
    </row>
    <row r="324" spans="2:6" hidden="1" outlineLevel="1">
      <c r="B324" s="562" t="s">
        <v>3732</v>
      </c>
      <c r="C324" s="180">
        <f t="shared" ref="C324:C330" si="28">C131</f>
        <v>1.1890000000000001</v>
      </c>
      <c r="D324" s="180">
        <f>C324*C$320/10^3</f>
        <v>2.3780000000000001</v>
      </c>
      <c r="E324" s="211">
        <f t="shared" ref="E324:E330" si="29">D324*D90/10^6</f>
        <v>0.70187931407051285</v>
      </c>
    </row>
    <row r="325" spans="2:6" hidden="1" outlineLevel="1">
      <c r="B325" s="562" t="s">
        <v>3733</v>
      </c>
      <c r="C325" s="180">
        <f t="shared" si="28"/>
        <v>3.35</v>
      </c>
      <c r="D325" s="180">
        <f t="shared" ref="D325:D330" si="30">C325*C$320/10^3</f>
        <v>6.7</v>
      </c>
      <c r="E325" s="211">
        <f t="shared" si="29"/>
        <v>0.11930891</v>
      </c>
      <c r="F325" s="1251"/>
    </row>
    <row r="326" spans="2:6" hidden="1" outlineLevel="1">
      <c r="B326" s="562" t="s">
        <v>3734</v>
      </c>
      <c r="C326" s="180">
        <f t="shared" si="28"/>
        <v>19.5</v>
      </c>
      <c r="D326" s="180">
        <f t="shared" si="30"/>
        <v>39</v>
      </c>
      <c r="E326" s="211">
        <f t="shared" si="29"/>
        <v>0.96174585000000012</v>
      </c>
    </row>
    <row r="327" spans="2:6" hidden="1" outlineLevel="1">
      <c r="B327" s="562" t="s">
        <v>3735</v>
      </c>
      <c r="C327" s="180">
        <f t="shared" si="28"/>
        <v>2.2666666666666671</v>
      </c>
      <c r="D327" s="180">
        <f t="shared" si="30"/>
        <v>4.5333333333333341</v>
      </c>
      <c r="E327" s="211">
        <f t="shared" si="29"/>
        <v>2.059125435897436E-2</v>
      </c>
    </row>
    <row r="328" spans="2:6" hidden="1" outlineLevel="1">
      <c r="B328" s="562" t="s">
        <v>3736</v>
      </c>
      <c r="C328" s="180">
        <f t="shared" si="28"/>
        <v>25.939999999999998</v>
      </c>
      <c r="D328" s="180">
        <f t="shared" si="30"/>
        <v>51.879999999999995</v>
      </c>
      <c r="E328" s="211">
        <f t="shared" si="29"/>
        <v>0.23564873738461534</v>
      </c>
    </row>
    <row r="329" spans="2:6" hidden="1" outlineLevel="1">
      <c r="B329" s="562" t="s">
        <v>3737</v>
      </c>
      <c r="C329" s="180">
        <f t="shared" si="28"/>
        <v>1.5526666666666669</v>
      </c>
      <c r="D329" s="180">
        <f t="shared" si="30"/>
        <v>3.1053333333333337</v>
      </c>
      <c r="E329" s="211">
        <f t="shared" si="29"/>
        <v>4.2402669769230773E-2</v>
      </c>
    </row>
    <row r="330" spans="2:6" ht="14.5" hidden="1" outlineLevel="1" thickBot="1">
      <c r="B330" s="565" t="s">
        <v>3738</v>
      </c>
      <c r="C330" s="18">
        <f t="shared" si="28"/>
        <v>3.6333333333333333</v>
      </c>
      <c r="D330" s="18">
        <f t="shared" si="30"/>
        <v>7.2666666666666666</v>
      </c>
      <c r="E330" s="186">
        <f t="shared" si="29"/>
        <v>1.0254617521367521E-2</v>
      </c>
    </row>
    <row r="331" spans="2:6" ht="15" hidden="1" outlineLevel="1" thickBot="1">
      <c r="D331" s="212" t="s">
        <v>83</v>
      </c>
      <c r="E331" s="749">
        <f>SUM(E324:E330)</f>
        <v>2.091831353104701</v>
      </c>
    </row>
    <row r="332" spans="2:6" hidden="1" outlineLevel="1"/>
    <row r="333" spans="2:6" collapsed="1"/>
  </sheetData>
  <mergeCells count="13">
    <mergeCell ref="B238:B239"/>
    <mergeCell ref="A1:XFD2"/>
    <mergeCell ref="J222:L222"/>
    <mergeCell ref="C222:F222"/>
    <mergeCell ref="H238:K238"/>
    <mergeCell ref="L238:O238"/>
    <mergeCell ref="C238:G238"/>
    <mergeCell ref="B180:B181"/>
    <mergeCell ref="G222:I222"/>
    <mergeCell ref="B129:B130"/>
    <mergeCell ref="C129:C130"/>
    <mergeCell ref="D129:F129"/>
    <mergeCell ref="G129:I129"/>
  </mergeCells>
  <phoneticPr fontId="33" type="noConversion"/>
  <conditionalFormatting sqref="A1:XFD2">
    <cfRule type="containsBlanks" dxfId="9" priority="1">
      <formula>LEN(TRIM(A1))=0</formula>
    </cfRule>
  </conditionalFormatting>
  <conditionalFormatting sqref="F204:Q204">
    <cfRule type="colorScale" priority="2">
      <colorScale>
        <cfvo type="min"/>
        <cfvo type="percentile" val="50"/>
        <cfvo type="max"/>
        <color rgb="FFFCFCFF"/>
        <color rgb="FFDDF0C8"/>
        <color rgb="FF63BE7B"/>
      </colorScale>
    </cfRule>
  </conditionalFormatting>
  <conditionalFormatting sqref="F205:Q205 D205">
    <cfRule type="colorScale" priority="213">
      <colorScale>
        <cfvo type="min"/>
        <cfvo type="percentile" val="50"/>
        <cfvo type="max"/>
        <color rgb="FFFCFCFF"/>
        <color rgb="FFDDF0C8"/>
        <color rgb="FF63BE7B"/>
      </colorScale>
    </cfRule>
  </conditionalFormatting>
  <hyperlinks>
    <hyperlink ref="G153" r:id="rId1" display="https://document.resmed.com/documents/products/machine/lumis-series/user-guide/lumis-st_user-guide_fre_fre.pdf" xr:uid="{0378AAC9-62E8-4575-BF68-00F12DED94E6}"/>
    <hyperlink ref="G150" r:id="rId2" display="https://www.has-sante.fr/upload/docs/application/pdf/2013-01/rapport_oxygenotherapie.pdf" xr:uid="{58DE581C-A396-426E-AF73-577CADBAF84D}"/>
    <hyperlink ref="E107" r:id="rId3" location="tab-caracteristiques" display="https://www.cpap-store.fr/produit/airsense-11-avec-humidificateur-ppc-resmed/ - tab-caracteristiques" xr:uid="{D0F67B5D-9D86-45F0-92E9-58FE8292E26D}"/>
    <hyperlink ref="G107" r:id="rId4" display="https://www.resmed.fr/produits/traitement-apnee-sommeil/appareils/airsense-10-elite/" xr:uid="{2831968E-BF27-4459-A19D-21557C39E79F}"/>
    <hyperlink ref="E112" r:id="rId5" display="https://document.resmed.com/documents/products/machine/lumis-series/user-guide/lumis-st_user-guide_fre_fre.pdf" xr:uid="{CB8A0F78-9EBE-48A3-9116-E6428595FD50}"/>
    <hyperlink ref="G112" r:id="rId6" display="https://document.resmed.com/documents/products/machine/stellar-series/user-guide/stellar-100-150_user-guide_fre_fre.pdf" xr:uid="{7D7A889E-CE26-4EE9-9715-97ED2DB67FA5}"/>
    <hyperlink ref="I112" r:id="rId7" display="https://document.resmed.com/documents/products/machine/lumis-hft/user-guide/lumis-hft_user-guide_eur1_mul.pdf" xr:uid="{61D9EB1D-FE0F-471B-929F-39BA0B1A873E}"/>
    <hyperlink ref="K112" r:id="rId8" display="https://www.has-sante.fr/upload/docs/evamed/CNEDIMTS-7066_DREAMSTATION_BIPAP_AUTOSV_27 juin 2023_7066_avis.pdf" xr:uid="{783E007A-2955-458A-8ADD-4030834B54ED}"/>
    <hyperlink ref="E108" r:id="rId9" display="https://www.humanairmedical.com/produits/concentrateurs-d-o2-portables-68.html" xr:uid="{B0AC5EFD-0731-4609-AA9D-0D81D7A8C09F}"/>
    <hyperlink ref="E109" r:id="rId10" display="https://www.has-sante.fr/upload/docs/application/pdf/2013-01/rapport_oxygenotherapie.pdf" xr:uid="{8AF0BEA1-9E3A-4DAE-BCF3-B525AFBCF5D5}"/>
    <hyperlink ref="G108" r:id="rId11" display="https://www.oxycare.eu/fr/oxygene/concentrateurs-oxygene-mobile/inogen-rove6-8-cellules-batterie-1/?gad_source=1&amp;gclid=Cj0KCQiA6Ou5BhCrARIsAPoTxrB_ymDTMo1m1yExyAbrGbpwd6G5w6bPEz2Mnc4I_2iaoW3lmfq7SzgaAo32EALw_wcB" xr:uid="{E0A011E4-5325-424E-B029-79A21837FD80}"/>
    <hyperlink ref="E111" r:id="rId12" display="https://ca.healthcare.airliquide.com/sites/alh_ca/files/2022-08/caire-liberator-brochure.pdf" xr:uid="{9EBD6929-85F9-46C9-B773-75429BC8885C}"/>
    <hyperlink ref="E110" r:id="rId13" display="https://ca.healthcare.airliquide.com/sites/alh_ca/files/2022-08/carie-hi-flow-stroller-brochure.pdf" xr:uid="{34FD15AA-EA79-41D8-843E-77549F60E469}"/>
    <hyperlink ref="G109" r:id="rId14" display="https://www.has-sante.fr/upload/docs/application/pdf/2013-01/rapport_oxygenotherapie.pdf" xr:uid="{C14EA9D0-34AE-4C84-A102-92B037369065}"/>
    <hyperlink ref="G110" r:id="rId15" display="https://ca.healthcare.airliquide.com/sites/alh_ca/files/2022-08/caire-sprint-stroller-brochure.pdf" xr:uid="{C1CA0087-E8E9-4675-A9C4-9839DE8BC175}"/>
    <hyperlink ref="I110" r:id="rId16" display="https://ca.healthcare.airliquide.com/sites/alh_ca/files/2022-08/caire-sprint-stroller-brochure.pdf" xr:uid="{79B2CAE3-94DE-4E47-8A54-00C43013B170}"/>
    <hyperlink ref="G111" r:id="rId17" display="https://ca.healthcare.airliquide.com/sites/alh_ca/files/2022-08/caire-liberator-brochure.pdf" xr:uid="{99E780C7-6B3D-45CC-B88D-93E79CF65920}"/>
    <hyperlink ref="M112" r:id="rId18" display="https://www.has-sante.fr/upload/docs/evamed/CNEDIMTS-7066_DREAMSTATION_BIPAP_AUTOSV_27 juin 2023_7066_avis.pdf" xr:uid="{2D512AFC-8C2B-4F9F-9471-98FF040A0C02}"/>
    <hyperlink ref="E113" r:id="rId19" display="https://www.mediflux.fr/produit/aide-a-la-toux-in-exsufflateur-avec-mode-percussion-comfortcough-ii/" xr:uid="{EFF6B7E1-1312-489F-BF2B-E3CBC69D3470}"/>
    <hyperlink ref="G113" r:id="rId20" display="https://www.oxycare.eu/fr/soins-respiratoires/secretolyse/kalos-assistant-de-toux/?srsltid=AfmBOorJP6gZp4sRDQvfTIHq0Gv-abkO-kFcl0D7xbtlP0aXEXiXGwMB" xr:uid="{EDA44CF5-9DCE-4942-A728-3001C6C5A09A}"/>
    <hyperlink ref="I113" r:id="rId21" display="https://fr.medicaldevice.airliquide.com/sites/alms_fr/files/2022-07/brochure-eovetm-70.pdf" xr:uid="{D73FD4F9-E714-41A9-BC2B-8B70BB71853D}"/>
    <hyperlink ref="K148" r:id="rId22" display="https://document.resmed.com/documents/products/machine/airsense-series/user-guide/airsense10-autoset-elite_user-guide_eur4_mul.pdf" xr:uid="{8B87F187-2BC9-4ACA-8B5E-D0B448352920}"/>
    <hyperlink ref="G148" r:id="rId23" display="https://www.resmed.fr/produits/traitement-apnee-sommeil/appareils/airsense-10-elite/" xr:uid="{5F35E9C0-3177-4925-95B9-09BDEAC1F644}"/>
    <hyperlink ref="B280" r:id="rId24" display="https://www.prestataire-de-sante.fr/le-traitement-par-pression-positive-continue-ppc" xr:uid="{C8A7F8D5-263E-4435-8AFF-9465BCF2CC3C}"/>
  </hyperlinks>
  <pageMargins left="0.7" right="0.7" top="0.75" bottom="0.75" header="0.3" footer="0.3"/>
  <pageSetup paperSize="9" orientation="portrait" r:id="rId25"/>
  <drawing r:id="rId26"/>
  <legacyDrawing r:id="rId27"/>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436181-0FDF-4520-A22E-FBBE130D4874}">
  <sheetPr>
    <tabColor theme="7"/>
  </sheetPr>
  <dimension ref="A1:BA420"/>
  <sheetViews>
    <sheetView zoomScale="60" zoomScaleNormal="60" workbookViewId="0">
      <selection sqref="A1:XFD2"/>
    </sheetView>
  </sheetViews>
  <sheetFormatPr baseColWidth="10" defaultColWidth="11" defaultRowHeight="14" outlineLevelRow="1"/>
  <cols>
    <col min="2" max="2" width="51" customWidth="1"/>
    <col min="3" max="3" width="16.1640625" customWidth="1"/>
    <col min="4" max="4" width="13.83203125" customWidth="1"/>
    <col min="5" max="5" width="12.6640625" customWidth="1"/>
    <col min="6" max="6" width="10.6640625" customWidth="1"/>
    <col min="7" max="7" width="12.6640625" customWidth="1"/>
    <col min="8" max="8" width="19.33203125" customWidth="1"/>
    <col min="9" max="10" width="10.6640625" customWidth="1"/>
    <col min="11" max="11" width="12.83203125" customWidth="1"/>
    <col min="12" max="12" width="15.1640625" customWidth="1"/>
    <col min="13" max="13" width="11.83203125" bestFit="1" customWidth="1"/>
    <col min="35" max="35" width="10.6640625" customWidth="1"/>
  </cols>
  <sheetData>
    <row r="1" spans="1:9" s="1505" customFormat="1">
      <c r="A1" s="1505" t="s">
        <v>43</v>
      </c>
    </row>
    <row r="2" spans="1:9" s="1505" customFormat="1"/>
    <row r="5" spans="1:9">
      <c r="B5" s="1251" t="s">
        <v>48</v>
      </c>
    </row>
    <row r="6" spans="1:9">
      <c r="B6" s="1251"/>
    </row>
    <row r="8" spans="1:9" ht="23.5">
      <c r="B8" s="2" t="s">
        <v>180</v>
      </c>
    </row>
    <row r="10" spans="1:9" ht="14.5" hidden="1" outlineLevel="1" thickBot="1">
      <c r="B10" s="1251" t="s">
        <v>300</v>
      </c>
    </row>
    <row r="11" spans="1:9" ht="42" hidden="1" outlineLevel="1">
      <c r="B11" s="866"/>
      <c r="C11" s="871" t="s">
        <v>2922</v>
      </c>
      <c r="D11" s="867" t="s">
        <v>2947</v>
      </c>
      <c r="E11" s="867" t="s">
        <v>86</v>
      </c>
      <c r="F11" s="867" t="s">
        <v>88</v>
      </c>
      <c r="G11" s="867" t="s">
        <v>87</v>
      </c>
      <c r="H11" s="867" t="s">
        <v>3223</v>
      </c>
      <c r="I11" s="868" t="s">
        <v>89</v>
      </c>
    </row>
    <row r="12" spans="1:9" hidden="1" outlineLevel="1">
      <c r="B12" s="859" t="s">
        <v>3874</v>
      </c>
      <c r="C12" s="940">
        <f t="shared" ref="C12:C25" si="0">SUM(D12:I12)</f>
        <v>15.277699026329449</v>
      </c>
      <c r="D12" s="917">
        <f t="shared" ref="D12:D24" si="1">G135*C$196/1000</f>
        <v>5.9318759364698845</v>
      </c>
      <c r="E12" s="917">
        <f>G135*(C$206+C212)/1000</f>
        <v>1.9679664800348038</v>
      </c>
      <c r="F12" s="180">
        <f t="shared" ref="F12:F24" si="2">H258*G135/10^3</f>
        <v>0.45285660982476172</v>
      </c>
      <c r="G12" s="180">
        <f t="shared" ref="G12:G24" si="3">C328*C135/10^6</f>
        <v>1.575</v>
      </c>
      <c r="H12" s="180">
        <f t="shared" ref="H12:H24" si="4">C397*C135/10^6</f>
        <v>5</v>
      </c>
      <c r="I12" s="131">
        <f t="shared" ref="I12:I24" si="5">G135*C$418/10^6</f>
        <v>0.35</v>
      </c>
    </row>
    <row r="13" spans="1:9" hidden="1" outlineLevel="1">
      <c r="B13" s="859" t="s">
        <v>3875</v>
      </c>
      <c r="C13" s="940">
        <f t="shared" si="0"/>
        <v>12.380407318632402</v>
      </c>
      <c r="D13" s="917">
        <f t="shared" si="1"/>
        <v>7.5355840182199607</v>
      </c>
      <c r="E13" s="917">
        <f>G136*C$206/1000</f>
        <v>1.5119227551365977</v>
      </c>
      <c r="F13" s="180">
        <f t="shared" si="2"/>
        <v>0.4453998442986502</v>
      </c>
      <c r="G13" s="180">
        <f t="shared" si="3"/>
        <v>2.3502467009771939</v>
      </c>
      <c r="H13" s="180">
        <f t="shared" si="4"/>
        <v>9.2630000000000004E-2</v>
      </c>
      <c r="I13" s="131">
        <f t="shared" si="5"/>
        <v>0.44462400000000002</v>
      </c>
    </row>
    <row r="14" spans="1:9" hidden="1" outlineLevel="1">
      <c r="B14" s="859" t="s">
        <v>3876</v>
      </c>
      <c r="C14" s="940">
        <f t="shared" si="0"/>
        <v>25.263938858573404</v>
      </c>
      <c r="D14" s="917">
        <f t="shared" si="1"/>
        <v>16.779022911417446</v>
      </c>
      <c r="E14" s="917">
        <f>G137*C$209/1000</f>
        <v>8.9008538951441896E-2</v>
      </c>
      <c r="F14" s="180">
        <f t="shared" si="2"/>
        <v>1.2028938052696836</v>
      </c>
      <c r="G14" s="180">
        <f t="shared" si="3"/>
        <v>6.1847866029348291</v>
      </c>
      <c r="H14" s="180">
        <f t="shared" si="4"/>
        <v>1.821E-2</v>
      </c>
      <c r="I14" s="131">
        <f t="shared" si="5"/>
        <v>0.99001700000000004</v>
      </c>
    </row>
    <row r="15" spans="1:9" hidden="1" outlineLevel="1">
      <c r="B15" s="859" t="s">
        <v>3877</v>
      </c>
      <c r="C15" s="940">
        <f t="shared" si="0"/>
        <v>31.208935124386727</v>
      </c>
      <c r="D15" s="917">
        <f t="shared" si="1"/>
        <v>20.660557646741264</v>
      </c>
      <c r="E15" s="917">
        <f>G138*C$209/1000</f>
        <v>0.10959911430880391</v>
      </c>
      <c r="F15" s="180">
        <f t="shared" si="2"/>
        <v>1.4554837550876734</v>
      </c>
      <c r="G15" s="180">
        <f t="shared" si="3"/>
        <v>6.9692282052323407</v>
      </c>
      <c r="H15" s="180">
        <f t="shared" si="4"/>
        <v>0.79502621171709731</v>
      </c>
      <c r="I15" s="131">
        <f t="shared" si="5"/>
        <v>1.2190401912995492</v>
      </c>
    </row>
    <row r="16" spans="1:9" hidden="1" outlineLevel="1">
      <c r="B16" s="859" t="s">
        <v>3878</v>
      </c>
      <c r="C16" s="940">
        <f t="shared" si="0"/>
        <v>6.1325546081006372</v>
      </c>
      <c r="D16" s="917">
        <f t="shared" si="1"/>
        <v>4.4065364099490569</v>
      </c>
      <c r="E16" s="917">
        <f>G139*C$209/1000</f>
        <v>2.3375578527818099E-2</v>
      </c>
      <c r="F16" s="180">
        <f t="shared" si="2"/>
        <v>1.1108055921244524</v>
      </c>
      <c r="G16" s="180">
        <f t="shared" si="3"/>
        <v>0.3110972132806033</v>
      </c>
      <c r="H16" s="180">
        <f t="shared" si="4"/>
        <v>2.0739814218706885E-2</v>
      </c>
      <c r="I16" s="131">
        <f t="shared" si="5"/>
        <v>0.26</v>
      </c>
    </row>
    <row r="17" spans="2:9" hidden="1" outlineLevel="1">
      <c r="B17" s="859" t="s">
        <v>3879</v>
      </c>
      <c r="C17" s="940">
        <f t="shared" si="0"/>
        <v>1.6384203732364424</v>
      </c>
      <c r="D17" s="917">
        <f t="shared" si="1"/>
        <v>0.57950162180458953</v>
      </c>
      <c r="E17" s="917">
        <f t="shared" ref="E17:E24" si="6">G140*C$206/1000</f>
        <v>0.11626991173165722</v>
      </c>
      <c r="F17" s="180">
        <f t="shared" si="2"/>
        <v>3.9967286204830914E-2</v>
      </c>
      <c r="G17" s="180">
        <f t="shared" si="3"/>
        <v>0.18463940866950643</v>
      </c>
      <c r="H17" s="180">
        <f t="shared" si="4"/>
        <v>0.68384966173891271</v>
      </c>
      <c r="I17" s="131">
        <f t="shared" si="5"/>
        <v>3.4192483086945634E-2</v>
      </c>
    </row>
    <row r="18" spans="2:9" hidden="1" outlineLevel="1">
      <c r="B18" s="859" t="s">
        <v>3880</v>
      </c>
      <c r="C18" s="940">
        <f t="shared" si="0"/>
        <v>7.4999354499864159</v>
      </c>
      <c r="D18" s="917">
        <f t="shared" si="1"/>
        <v>2.9617371547785987</v>
      </c>
      <c r="E18" s="917">
        <f t="shared" si="6"/>
        <v>0.59423633101513096</v>
      </c>
      <c r="F18" s="180">
        <f t="shared" si="2"/>
        <v>0.2042662040528915</v>
      </c>
      <c r="G18" s="180">
        <f t="shared" si="3"/>
        <v>0.94366154695116333</v>
      </c>
      <c r="H18" s="180">
        <f t="shared" si="4"/>
        <v>2.6212820748643426</v>
      </c>
      <c r="I18" s="131">
        <f t="shared" si="5"/>
        <v>0.17475213832428949</v>
      </c>
    </row>
    <row r="19" spans="2:9" hidden="1" outlineLevel="1">
      <c r="B19" s="859" t="s">
        <v>3881</v>
      </c>
      <c r="C19" s="940">
        <f t="shared" si="0"/>
        <v>0.57904830529412243</v>
      </c>
      <c r="D19" s="917">
        <f t="shared" si="1"/>
        <v>0.1694449186563127</v>
      </c>
      <c r="E19" s="917">
        <f t="shared" si="6"/>
        <v>3.3997050213934857E-2</v>
      </c>
      <c r="F19" s="180">
        <f t="shared" si="2"/>
        <v>1.1686340995564594E-2</v>
      </c>
      <c r="G19" s="180">
        <f t="shared" si="3"/>
        <v>5.3988131189914156E-2</v>
      </c>
      <c r="H19" s="180">
        <f t="shared" si="4"/>
        <v>0.29993406216618979</v>
      </c>
      <c r="I19" s="131">
        <f t="shared" si="5"/>
        <v>9.9978020722063243E-3</v>
      </c>
    </row>
    <row r="20" spans="2:9" hidden="1" outlineLevel="1">
      <c r="B20" s="859" t="s">
        <v>3882</v>
      </c>
      <c r="C20" s="940">
        <f t="shared" si="0"/>
        <v>16.342246040265401</v>
      </c>
      <c r="D20" s="917">
        <f t="shared" si="1"/>
        <v>6.7696849252082263</v>
      </c>
      <c r="E20" s="917">
        <f t="shared" si="6"/>
        <v>1.3582544708917281</v>
      </c>
      <c r="F20" s="180">
        <f t="shared" si="2"/>
        <v>0.24234721086761615</v>
      </c>
      <c r="G20" s="180">
        <f t="shared" si="3"/>
        <v>7.5575472195573719</v>
      </c>
      <c r="H20" s="180">
        <f t="shared" si="4"/>
        <v>1.4978754713510531E-2</v>
      </c>
      <c r="I20" s="131">
        <f t="shared" si="5"/>
        <v>0.39943345902694743</v>
      </c>
    </row>
    <row r="21" spans="2:9" hidden="1" outlineLevel="1">
      <c r="B21" s="859" t="s">
        <v>3883</v>
      </c>
      <c r="C21" s="940">
        <f t="shared" si="0"/>
        <v>4.2347418540986981</v>
      </c>
      <c r="D21" s="917">
        <f t="shared" si="1"/>
        <v>1.4688454699830193</v>
      </c>
      <c r="E21" s="917">
        <f t="shared" si="6"/>
        <v>0.29470587607770121</v>
      </c>
      <c r="F21" s="180">
        <f t="shared" si="2"/>
        <v>5.2583038469101027E-2</v>
      </c>
      <c r="G21" s="180">
        <f t="shared" si="3"/>
        <v>2.3189408029022101</v>
      </c>
      <c r="H21" s="180">
        <f t="shared" si="4"/>
        <v>1.2999999999999999E-2</v>
      </c>
      <c r="I21" s="131">
        <f t="shared" si="5"/>
        <v>8.666666666666667E-2</v>
      </c>
    </row>
    <row r="22" spans="2:9" hidden="1" outlineLevel="1">
      <c r="B22" s="859" t="s">
        <v>3884</v>
      </c>
      <c r="C22" s="940">
        <f t="shared" si="0"/>
        <v>5.2833922458328129</v>
      </c>
      <c r="D22" s="917">
        <f t="shared" si="1"/>
        <v>2.9483415846198415</v>
      </c>
      <c r="E22" s="917">
        <f t="shared" si="6"/>
        <v>0.59154867372246667</v>
      </c>
      <c r="F22" s="180">
        <f t="shared" si="2"/>
        <v>0.74322189016626128</v>
      </c>
      <c r="G22" s="180">
        <f t="shared" si="3"/>
        <v>0.78282790225375531</v>
      </c>
      <c r="H22" s="180">
        <f t="shared" si="4"/>
        <v>4.3490439014097514E-2</v>
      </c>
      <c r="I22" s="131">
        <f t="shared" si="5"/>
        <v>0.17396175605639005</v>
      </c>
    </row>
    <row r="23" spans="2:9" hidden="1" outlineLevel="1">
      <c r="B23" s="859" t="s">
        <v>3885</v>
      </c>
      <c r="C23" s="940">
        <f t="shared" si="0"/>
        <v>8.2785884784145942</v>
      </c>
      <c r="D23" s="917">
        <f t="shared" si="1"/>
        <v>4.6807464329619828</v>
      </c>
      <c r="E23" s="917">
        <f t="shared" si="6"/>
        <v>0.93913451510973667</v>
      </c>
      <c r="F23" s="180">
        <f t="shared" si="2"/>
        <v>0.27666120202521438</v>
      </c>
      <c r="G23" s="180">
        <f t="shared" si="3"/>
        <v>1.2428067799918239</v>
      </c>
      <c r="H23" s="180">
        <f t="shared" si="4"/>
        <v>0.863060263883211</v>
      </c>
      <c r="I23" s="131">
        <f t="shared" si="5"/>
        <v>0.27617928444262752</v>
      </c>
    </row>
    <row r="24" spans="2:9" ht="14.5" hidden="1" outlineLevel="1" thickBot="1">
      <c r="B24" s="938" t="s">
        <v>3886</v>
      </c>
      <c r="C24" s="941">
        <f t="shared" si="0"/>
        <v>1.1348889073687003</v>
      </c>
      <c r="D24" s="939">
        <f t="shared" si="1"/>
        <v>0.6287995805529949</v>
      </c>
      <c r="E24" s="939">
        <f t="shared" si="6"/>
        <v>0.12616094412321244</v>
      </c>
      <c r="F24" s="383">
        <f t="shared" si="2"/>
        <v>4.3367286398921595E-2</v>
      </c>
      <c r="G24" s="383">
        <f t="shared" si="3"/>
        <v>0.16695550446059046</v>
      </c>
      <c r="H24" s="383">
        <f t="shared" si="4"/>
        <v>0.13250436861951623</v>
      </c>
      <c r="I24" s="184">
        <f t="shared" si="5"/>
        <v>3.7101223213464547E-2</v>
      </c>
    </row>
    <row r="25" spans="2:9" ht="14.5" hidden="1" outlineLevel="1" thickBot="1">
      <c r="B25" s="910" t="s">
        <v>83</v>
      </c>
      <c r="C25" s="763">
        <f t="shared" si="0"/>
        <v>135.25479659051979</v>
      </c>
      <c r="D25" s="942">
        <f t="shared" ref="D25:I25" si="7">SUM(D12:D24)</f>
        <v>75.520678611363167</v>
      </c>
      <c r="E25" s="942">
        <f t="shared" si="7"/>
        <v>7.7561802398450332</v>
      </c>
      <c r="F25" s="942">
        <f t="shared" si="7"/>
        <v>6.281540065785622</v>
      </c>
      <c r="G25" s="942">
        <f t="shared" si="7"/>
        <v>30.6417260184013</v>
      </c>
      <c r="H25" s="942">
        <f t="shared" si="7"/>
        <v>10.598705650935583</v>
      </c>
      <c r="I25" s="943">
        <f t="shared" si="7"/>
        <v>4.4559660041890874</v>
      </c>
    </row>
    <row r="26" spans="2:9" ht="14.5" hidden="1" outlineLevel="1" thickBot="1">
      <c r="B26" s="910" t="s">
        <v>3887</v>
      </c>
      <c r="C26" s="763">
        <f t="shared" ref="C26:I26" si="8">C25*$G150/SUM($G136:$G147) + C12</f>
        <v>197.47165827239581</v>
      </c>
      <c r="D26" s="763">
        <f t="shared" si="8"/>
        <v>107.66143960444255</v>
      </c>
      <c r="E26" s="763">
        <f t="shared" si="8"/>
        <v>12.415870895592658</v>
      </c>
      <c r="F26" s="763">
        <f t="shared" si="8"/>
        <v>8.9143580397008204</v>
      </c>
      <c r="G26" s="763">
        <f t="shared" si="8"/>
        <v>42.850707199703407</v>
      </c>
      <c r="H26" s="763">
        <f t="shared" si="8"/>
        <v>19.276906949730751</v>
      </c>
      <c r="I26" s="763">
        <f t="shared" si="8"/>
        <v>6.3523755832256192</v>
      </c>
    </row>
    <row r="27" spans="2:9" hidden="1" outlineLevel="1">
      <c r="D27" s="24"/>
    </row>
    <row r="28" spans="2:9" collapsed="1"/>
    <row r="29" spans="2:9" ht="23.5">
      <c r="B29" s="2" t="s">
        <v>370</v>
      </c>
    </row>
    <row r="31" spans="2:9" ht="18">
      <c r="B31" s="258" t="s">
        <v>3888</v>
      </c>
      <c r="H31" s="76"/>
      <c r="I31" s="76"/>
    </row>
    <row r="33" spans="2:9" ht="14.5" hidden="1" outlineLevel="1" thickBot="1">
      <c r="B33" s="1251" t="s">
        <v>3889</v>
      </c>
    </row>
    <row r="34" spans="2:9" ht="14.5" hidden="1" outlineLevel="1" thickBot="1">
      <c r="B34" s="571" t="s">
        <v>3890</v>
      </c>
      <c r="C34" s="578">
        <v>18526</v>
      </c>
    </row>
    <row r="35" spans="2:9" hidden="1" outlineLevel="1"/>
    <row r="36" spans="2:9" ht="14.5" hidden="1" outlineLevel="1" thickBot="1">
      <c r="B36" s="1251" t="s">
        <v>3891</v>
      </c>
    </row>
    <row r="37" spans="2:9" ht="14.5" hidden="1" outlineLevel="1" thickBot="1">
      <c r="B37" s="571" t="s">
        <v>3892</v>
      </c>
      <c r="C37" s="578">
        <f>C34/10</f>
        <v>1852.6</v>
      </c>
    </row>
    <row r="38" spans="2:9" collapsed="1">
      <c r="H38" s="76"/>
      <c r="I38" s="76"/>
    </row>
    <row r="39" spans="2:9" ht="18">
      <c r="B39" s="258" t="s">
        <v>3893</v>
      </c>
    </row>
    <row r="40" spans="2:9">
      <c r="C40" s="935"/>
      <c r="H40" s="76"/>
      <c r="I40" s="76"/>
    </row>
    <row r="41" spans="2:9" hidden="1" outlineLevel="1">
      <c r="B41" s="1251" t="s">
        <v>3894</v>
      </c>
      <c r="H41" s="76"/>
      <c r="I41" s="76"/>
    </row>
    <row r="42" spans="2:9" hidden="1" outlineLevel="1">
      <c r="B42" s="1251" t="s">
        <v>3895</v>
      </c>
      <c r="H42" s="76"/>
      <c r="I42" s="76"/>
    </row>
    <row r="43" spans="2:9" ht="14.5" hidden="1" outlineLevel="1" thickBot="1">
      <c r="B43" s="1251" t="s">
        <v>3896</v>
      </c>
      <c r="H43" s="76"/>
      <c r="I43" s="76"/>
    </row>
    <row r="44" spans="2:9" ht="14.5" hidden="1" outlineLevel="1" thickBot="1">
      <c r="B44" s="571" t="s">
        <v>3897</v>
      </c>
      <c r="C44" s="578">
        <v>607</v>
      </c>
      <c r="H44" s="76"/>
      <c r="I44" s="76"/>
    </row>
    <row r="45" spans="2:9" hidden="1" outlineLevel="1">
      <c r="H45" s="76"/>
      <c r="I45" s="76"/>
    </row>
    <row r="46" spans="2:9" hidden="1" outlineLevel="1">
      <c r="B46" t="s">
        <v>3898</v>
      </c>
    </row>
    <row r="47" spans="2:9" ht="14.5" hidden="1" outlineLevel="1" thickBot="1">
      <c r="B47" t="s">
        <v>3899</v>
      </c>
    </row>
    <row r="48" spans="2:9" ht="14.5" hidden="1" outlineLevel="1" thickBot="1">
      <c r="B48" s="571" t="s">
        <v>3900</v>
      </c>
      <c r="C48" s="578">
        <f>C44/10</f>
        <v>60.7</v>
      </c>
      <c r="H48" s="76"/>
      <c r="I48" s="76"/>
    </row>
    <row r="49" spans="2:9" hidden="1" outlineLevel="1">
      <c r="H49" s="76"/>
      <c r="I49" s="76"/>
    </row>
    <row r="50" spans="2:9" hidden="1" outlineLevel="1">
      <c r="B50" s="1251" t="s">
        <v>3901</v>
      </c>
    </row>
    <row r="51" spans="2:9" hidden="1" outlineLevel="1">
      <c r="B51" s="1251" t="s">
        <v>3902</v>
      </c>
    </row>
    <row r="52" spans="2:9" collapsed="1"/>
    <row r="53" spans="2:9" ht="18">
      <c r="B53" s="258" t="s">
        <v>3903</v>
      </c>
    </row>
    <row r="54" spans="2:9">
      <c r="H54" s="76"/>
      <c r="I54" s="76"/>
    </row>
    <row r="55" spans="2:9" hidden="1" outlineLevel="1">
      <c r="B55" s="1251" t="s">
        <v>3904</v>
      </c>
      <c r="H55" s="76"/>
      <c r="I55" s="76"/>
    </row>
    <row r="56" spans="2:9" ht="14.5" hidden="1" outlineLevel="1" thickBot="1">
      <c r="B56" s="87" t="s">
        <v>3905</v>
      </c>
      <c r="H56" s="76"/>
      <c r="I56" s="76"/>
    </row>
    <row r="57" spans="2:9" ht="14.5" hidden="1" outlineLevel="1" thickBot="1">
      <c r="B57" s="571" t="s">
        <v>3906</v>
      </c>
      <c r="C57" s="578">
        <v>500000</v>
      </c>
      <c r="H57" s="76"/>
      <c r="I57" s="76"/>
    </row>
    <row r="58" spans="2:9" hidden="1" outlineLevel="1">
      <c r="H58" s="76"/>
      <c r="I58" s="76"/>
    </row>
    <row r="59" spans="2:9" hidden="1" outlineLevel="1">
      <c r="B59" s="1251" t="s">
        <v>3899</v>
      </c>
    </row>
    <row r="60" spans="2:9" ht="14.5" hidden="1" outlineLevel="1" thickBot="1">
      <c r="B60" s="87" t="s">
        <v>3907</v>
      </c>
      <c r="E60" s="87"/>
    </row>
    <row r="61" spans="2:9" ht="14.5" hidden="1" outlineLevel="1" thickBot="1">
      <c r="B61" s="571" t="s">
        <v>3908</v>
      </c>
      <c r="C61" s="578">
        <f>C57/10</f>
        <v>50000</v>
      </c>
      <c r="H61" s="76"/>
      <c r="I61" s="76"/>
    </row>
    <row r="62" spans="2:9" hidden="1" outlineLevel="1">
      <c r="H62" s="76"/>
      <c r="I62" s="76"/>
    </row>
    <row r="63" spans="2:9" hidden="1" outlineLevel="1">
      <c r="B63" s="87" t="s">
        <v>3909</v>
      </c>
    </row>
    <row r="64" spans="2:9" hidden="1" outlineLevel="1">
      <c r="B64" s="1251" t="s">
        <v>3910</v>
      </c>
    </row>
    <row r="65" spans="2:12" collapsed="1"/>
    <row r="66" spans="2:12" ht="18">
      <c r="B66" s="258" t="s">
        <v>3911</v>
      </c>
    </row>
    <row r="67" spans="2:12">
      <c r="C67" s="935"/>
      <c r="H67" s="76"/>
      <c r="I67" s="76"/>
    </row>
    <row r="68" spans="2:12" hidden="1" outlineLevel="1">
      <c r="B68" s="1251" t="s">
        <v>3912</v>
      </c>
      <c r="H68" s="76"/>
      <c r="I68" s="76"/>
    </row>
    <row r="69" spans="2:12" collapsed="1"/>
    <row r="70" spans="2:12" ht="18">
      <c r="B70" s="258" t="s">
        <v>3913</v>
      </c>
    </row>
    <row r="71" spans="2:12">
      <c r="H71" s="76"/>
      <c r="I71" s="76"/>
    </row>
    <row r="72" spans="2:12" ht="14.5" hidden="1" outlineLevel="1" thickBot="1">
      <c r="B72" s="1251" t="s">
        <v>3914</v>
      </c>
      <c r="E72" s="87" t="s">
        <v>3915</v>
      </c>
      <c r="G72" s="87" t="s">
        <v>3916</v>
      </c>
    </row>
    <row r="73" spans="2:12" s="1" customFormat="1" ht="56" hidden="1" outlineLevel="1">
      <c r="B73" s="866" t="s">
        <v>3492</v>
      </c>
      <c r="C73" s="869" t="s">
        <v>3917</v>
      </c>
      <c r="D73" s="870" t="s">
        <v>3918</v>
      </c>
      <c r="E73" s="870" t="s">
        <v>3919</v>
      </c>
      <c r="F73" s="870" t="s">
        <v>3920</v>
      </c>
      <c r="G73" s="870" t="s">
        <v>3921</v>
      </c>
      <c r="H73" s="870" t="s">
        <v>3922</v>
      </c>
      <c r="I73" s="871" t="s">
        <v>3923</v>
      </c>
      <c r="J73" s="871" t="s">
        <v>3924</v>
      </c>
      <c r="K73"/>
      <c r="L73"/>
    </row>
    <row r="74" spans="2:12" hidden="1" outlineLevel="1">
      <c r="B74" s="859" t="s">
        <v>3925</v>
      </c>
      <c r="C74" s="858"/>
      <c r="D74" s="1443">
        <f>374000+85000</f>
        <v>459000</v>
      </c>
      <c r="E74" s="1443">
        <f>225401+45810+24093</f>
        <v>295304</v>
      </c>
      <c r="F74" s="1443"/>
      <c r="G74" s="1443"/>
      <c r="H74" s="1443"/>
      <c r="I74" s="856"/>
      <c r="J74" s="856"/>
    </row>
    <row r="75" spans="2:12" ht="14.5" hidden="1" outlineLevel="1" thickBot="1">
      <c r="B75" s="938" t="s">
        <v>3926</v>
      </c>
      <c r="C75" s="1172"/>
      <c r="D75" s="1444"/>
      <c r="E75" s="1444"/>
      <c r="F75" s="1444"/>
      <c r="G75" s="1444"/>
      <c r="H75" s="1444"/>
      <c r="I75" s="1173"/>
      <c r="J75" s="1173"/>
    </row>
    <row r="76" spans="2:12" hidden="1" outlineLevel="1">
      <c r="B76" s="861" t="s">
        <v>3877</v>
      </c>
      <c r="C76" s="862">
        <v>11.688439249582556</v>
      </c>
      <c r="D76" s="1445">
        <f t="shared" ref="D76:D86" si="9">MROUND(C76*D$74/100,100)</f>
        <v>53600</v>
      </c>
      <c r="E76" s="1445">
        <f t="shared" ref="E76:E86" si="10">MROUND(C76*E$74/100,100)</f>
        <v>34500</v>
      </c>
      <c r="F76" s="1445" t="s">
        <v>3927</v>
      </c>
      <c r="G76" s="1446">
        <f>1/(1-(4908+1995+22915+12731)/(54448+20720))</f>
        <v>2.304423802078543</v>
      </c>
      <c r="H76" s="1445">
        <f>E76*G76</f>
        <v>79502.621171709732</v>
      </c>
      <c r="I76" s="1175">
        <v>115</v>
      </c>
      <c r="J76" s="1175">
        <f t="shared" ref="J76:J86" si="11">H76*I76/10^3</f>
        <v>9142.8014347466196</v>
      </c>
    </row>
    <row r="77" spans="2:12" hidden="1" outlineLevel="1">
      <c r="B77" s="859" t="s">
        <v>3878</v>
      </c>
      <c r="C77" s="863">
        <v>8.8399960711128572E-2</v>
      </c>
      <c r="D77" s="1443">
        <f t="shared" si="9"/>
        <v>400</v>
      </c>
      <c r="E77" s="1443">
        <f t="shared" si="10"/>
        <v>300</v>
      </c>
      <c r="F77" s="1443" t="s">
        <v>3927</v>
      </c>
      <c r="G77" s="1447">
        <f>1/(1-(4908+1995+22915+12731)/(54448+20720))</f>
        <v>2.304423802078543</v>
      </c>
      <c r="H77" s="1443">
        <f t="shared" ref="H77:H86" si="12">E77*G77</f>
        <v>691.32714062356285</v>
      </c>
      <c r="I77" s="865">
        <v>500</v>
      </c>
      <c r="J77" s="857">
        <f t="shared" si="11"/>
        <v>345.66357031178143</v>
      </c>
    </row>
    <row r="78" spans="2:12" hidden="1" outlineLevel="1">
      <c r="B78" s="859" t="s">
        <v>3879</v>
      </c>
      <c r="C78" s="863">
        <v>30.881052941754248</v>
      </c>
      <c r="D78" s="1443">
        <f t="shared" si="9"/>
        <v>141700</v>
      </c>
      <c r="E78" s="1443">
        <f t="shared" si="10"/>
        <v>91200</v>
      </c>
      <c r="F78" s="1443" t="s">
        <v>3928</v>
      </c>
      <c r="G78" s="1447">
        <f>1/(1-(16465+3623+40950+14741)/(190291+37146))</f>
        <v>1.4996703108309488</v>
      </c>
      <c r="H78" s="1443">
        <f t="shared" si="12"/>
        <v>136769.93234778254</v>
      </c>
      <c r="I78" s="914">
        <v>1.5</v>
      </c>
      <c r="J78" s="857">
        <f t="shared" si="11"/>
        <v>205.1548985216738</v>
      </c>
    </row>
    <row r="79" spans="2:12" hidden="1" outlineLevel="1">
      <c r="B79" s="859" t="s">
        <v>3880</v>
      </c>
      <c r="C79" s="863">
        <v>77.055299086533736</v>
      </c>
      <c r="D79" s="1443">
        <f t="shared" si="9"/>
        <v>353700</v>
      </c>
      <c r="E79" s="1443">
        <f t="shared" si="10"/>
        <v>227500</v>
      </c>
      <c r="F79" s="1443" t="s">
        <v>3927</v>
      </c>
      <c r="G79" s="1447">
        <f>1/(1-(4908+1995+22915+12731)/(54448+20720))</f>
        <v>2.304423802078543</v>
      </c>
      <c r="H79" s="1443">
        <f t="shared" si="12"/>
        <v>524256.41497286852</v>
      </c>
      <c r="I79" s="914">
        <v>2</v>
      </c>
      <c r="J79" s="857">
        <f t="shared" si="11"/>
        <v>1048.5128299457369</v>
      </c>
    </row>
    <row r="80" spans="2:12" hidden="1" outlineLevel="1">
      <c r="B80" s="859" t="s">
        <v>3881</v>
      </c>
      <c r="C80" s="863">
        <v>13.544838424516255</v>
      </c>
      <c r="D80" s="1443">
        <f t="shared" si="9"/>
        <v>62200</v>
      </c>
      <c r="E80" s="1443">
        <f t="shared" si="10"/>
        <v>40000</v>
      </c>
      <c r="F80" s="1443" t="s">
        <v>3928</v>
      </c>
      <c r="G80" s="1447">
        <f>1/(1-(16465+3623+40950+14741)/(190291+37146))</f>
        <v>1.4996703108309488</v>
      </c>
      <c r="H80" s="1443">
        <f t="shared" si="12"/>
        <v>59986.812433237952</v>
      </c>
      <c r="I80" s="914">
        <v>1</v>
      </c>
      <c r="J80" s="857">
        <f t="shared" si="11"/>
        <v>59.986812433237951</v>
      </c>
    </row>
    <row r="81" spans="2:10" hidden="1" outlineLevel="1">
      <c r="B81" s="859" t="s">
        <v>3882</v>
      </c>
      <c r="C81" s="863">
        <v>0.44031311154598823</v>
      </c>
      <c r="D81" s="1443">
        <f t="shared" si="9"/>
        <v>2000</v>
      </c>
      <c r="E81" s="1443">
        <f t="shared" si="10"/>
        <v>1300</v>
      </c>
      <c r="F81" s="1443" t="s">
        <v>3927</v>
      </c>
      <c r="G81" s="1447">
        <f>1/(1-(4908+1995+22915+12731)/(54448+20720))</f>
        <v>2.304423802078543</v>
      </c>
      <c r="H81" s="1443">
        <f t="shared" si="12"/>
        <v>2995.7509427021059</v>
      </c>
      <c r="I81" s="857">
        <v>1000</v>
      </c>
      <c r="J81" s="857">
        <f t="shared" si="11"/>
        <v>2995.7509427021059</v>
      </c>
    </row>
    <row r="82" spans="2:10" hidden="1" outlineLevel="1">
      <c r="B82" s="859" t="s">
        <v>3883</v>
      </c>
      <c r="C82" s="863">
        <v>0.56941122878943173</v>
      </c>
      <c r="D82" s="1443">
        <f t="shared" si="9"/>
        <v>2600</v>
      </c>
      <c r="E82" s="1443">
        <f t="shared" si="10"/>
        <v>1700</v>
      </c>
      <c r="F82" s="1443" t="s">
        <v>3929</v>
      </c>
      <c r="G82" s="1447"/>
      <c r="H82" s="1443">
        <f>D82</f>
        <v>2600</v>
      </c>
      <c r="I82" s="857">
        <v>250</v>
      </c>
      <c r="J82" s="857">
        <f t="shared" si="11"/>
        <v>650</v>
      </c>
    </row>
    <row r="83" spans="2:10" hidden="1" outlineLevel="1">
      <c r="B83" s="859" t="s">
        <v>3884</v>
      </c>
      <c r="C83" s="863">
        <v>0.99204400353599842</v>
      </c>
      <c r="D83" s="1443">
        <f t="shared" si="9"/>
        <v>4600</v>
      </c>
      <c r="E83" s="1443">
        <f t="shared" si="10"/>
        <v>2900</v>
      </c>
      <c r="F83" s="1443" t="s">
        <v>3928</v>
      </c>
      <c r="G83" s="1447">
        <f>1/(1-(16465+3623+40950+14741)/(190291+37146))</f>
        <v>1.4996703108309488</v>
      </c>
      <c r="H83" s="1443">
        <f t="shared" si="12"/>
        <v>4349.0439014097519</v>
      </c>
      <c r="I83" s="865">
        <v>200</v>
      </c>
      <c r="J83" s="857">
        <f t="shared" si="11"/>
        <v>869.80878028195036</v>
      </c>
    </row>
    <row r="84" spans="2:10" hidden="1" outlineLevel="1">
      <c r="B84" s="859" t="s">
        <v>3930</v>
      </c>
      <c r="C84" s="863">
        <v>6.354974953344465</v>
      </c>
      <c r="D84" s="1443">
        <f t="shared" si="9"/>
        <v>29200</v>
      </c>
      <c r="E84" s="1443">
        <f t="shared" si="10"/>
        <v>18800</v>
      </c>
      <c r="F84" s="1443" t="s">
        <v>3928</v>
      </c>
      <c r="G84" s="1447">
        <f>1/(1-(16465+3623+40950+14741)/(190291+37146))</f>
        <v>1.4996703108309488</v>
      </c>
      <c r="H84" s="1443">
        <f t="shared" si="12"/>
        <v>28193.801843621837</v>
      </c>
      <c r="I84" s="865">
        <v>60</v>
      </c>
      <c r="J84" s="857">
        <f t="shared" si="11"/>
        <v>1691.6281106173103</v>
      </c>
    </row>
    <row r="85" spans="2:10" hidden="1" outlineLevel="1">
      <c r="B85" s="859" t="s">
        <v>3885</v>
      </c>
      <c r="C85" s="863">
        <v>38.964738237894117</v>
      </c>
      <c r="D85" s="1443">
        <f t="shared" si="9"/>
        <v>178800</v>
      </c>
      <c r="E85" s="1443">
        <f t="shared" si="10"/>
        <v>115100</v>
      </c>
      <c r="F85" s="1443" t="s">
        <v>3928</v>
      </c>
      <c r="G85" s="1447">
        <f>1/(1-(16465+3623+40950+14741)/(190291+37146))</f>
        <v>1.4996703108309488</v>
      </c>
      <c r="H85" s="1443">
        <f t="shared" si="12"/>
        <v>172612.0527766422</v>
      </c>
      <c r="I85" s="865">
        <v>8</v>
      </c>
      <c r="J85" s="857">
        <f t="shared" si="11"/>
        <v>1380.8964222131376</v>
      </c>
    </row>
    <row r="86" spans="2:10" ht="14.5" hidden="1" outlineLevel="1" thickBot="1">
      <c r="B86" s="860" t="s">
        <v>3886</v>
      </c>
      <c r="C86" s="864">
        <v>3.8797760534328654</v>
      </c>
      <c r="D86" s="1448">
        <f t="shared" si="9"/>
        <v>17800</v>
      </c>
      <c r="E86" s="1448">
        <f t="shared" si="10"/>
        <v>11500</v>
      </c>
      <c r="F86" s="1448" t="s">
        <v>3927</v>
      </c>
      <c r="G86" s="1449">
        <f>1/(1-(4908+1995+22915+12731)/(54448+20720))</f>
        <v>2.304423802078543</v>
      </c>
      <c r="H86" s="1448">
        <f t="shared" si="12"/>
        <v>26500.873723903245</v>
      </c>
      <c r="I86" s="1176">
        <v>7</v>
      </c>
      <c r="J86" s="1050">
        <f t="shared" si="11"/>
        <v>185.50611606732272</v>
      </c>
    </row>
    <row r="87" spans="2:10" hidden="1" outlineLevel="1"/>
    <row r="88" spans="2:10" hidden="1" outlineLevel="1"/>
    <row r="89" spans="2:10" hidden="1" outlineLevel="1"/>
    <row r="90" spans="2:10" hidden="1" outlineLevel="1"/>
    <row r="91" spans="2:10" hidden="1" outlineLevel="1"/>
    <row r="92" spans="2:10" hidden="1" outlineLevel="1"/>
    <row r="93" spans="2:10" hidden="1" outlineLevel="1"/>
    <row r="94" spans="2:10" hidden="1" outlineLevel="1"/>
    <row r="95" spans="2:10" hidden="1" outlineLevel="1"/>
    <row r="96" spans="2:10" hidden="1" outlineLevel="1"/>
    <row r="97" hidden="1" outlineLevel="1"/>
    <row r="98" hidden="1" outlineLevel="1"/>
    <row r="99" hidden="1" outlineLevel="1"/>
    <row r="100" hidden="1" outlineLevel="1"/>
    <row r="101" hidden="1" outlineLevel="1"/>
    <row r="102" hidden="1" outlineLevel="1"/>
    <row r="103" hidden="1" outlineLevel="1"/>
    <row r="104" hidden="1" outlineLevel="1"/>
    <row r="105" hidden="1" outlineLevel="1"/>
    <row r="106" hidden="1" outlineLevel="1"/>
    <row r="107" hidden="1" outlineLevel="1"/>
    <row r="108" hidden="1" outlineLevel="1"/>
    <row r="109" hidden="1" outlineLevel="1"/>
    <row r="110" hidden="1" outlineLevel="1"/>
    <row r="111" hidden="1" outlineLevel="1"/>
    <row r="112" hidden="1" outlineLevel="1"/>
    <row r="113" spans="2:3" hidden="1" outlineLevel="1"/>
    <row r="114" spans="2:3" hidden="1" outlineLevel="1"/>
    <row r="115" spans="2:3" hidden="1" outlineLevel="1"/>
    <row r="116" spans="2:3" ht="14.5" hidden="1" outlineLevel="1" thickBot="1">
      <c r="B116" s="1251" t="s">
        <v>3931</v>
      </c>
    </row>
    <row r="117" spans="2:3" hidden="1" outlineLevel="1">
      <c r="B117" s="866" t="s">
        <v>3492</v>
      </c>
      <c r="C117" s="871" t="s">
        <v>3932</v>
      </c>
    </row>
    <row r="118" spans="2:3" hidden="1" outlineLevel="1">
      <c r="B118" s="859" t="s">
        <v>3877</v>
      </c>
      <c r="C118" s="901">
        <v>15</v>
      </c>
    </row>
    <row r="119" spans="2:3" hidden="1" outlineLevel="1">
      <c r="B119" s="859" t="s">
        <v>3878</v>
      </c>
      <c r="C119" s="901">
        <v>12</v>
      </c>
    </row>
    <row r="120" spans="2:3" hidden="1" outlineLevel="1">
      <c r="B120" s="859" t="s">
        <v>3879</v>
      </c>
      <c r="C120" s="901">
        <v>12</v>
      </c>
    </row>
    <row r="121" spans="2:3" hidden="1" outlineLevel="1">
      <c r="B121" s="859" t="s">
        <v>3880</v>
      </c>
      <c r="C121" s="901">
        <v>12</v>
      </c>
    </row>
    <row r="122" spans="2:3" hidden="1" outlineLevel="1">
      <c r="B122" s="859" t="s">
        <v>3881</v>
      </c>
      <c r="C122" s="901">
        <v>12</v>
      </c>
    </row>
    <row r="123" spans="2:3" hidden="1" outlineLevel="1">
      <c r="B123" s="859" t="s">
        <v>3882</v>
      </c>
      <c r="C123" s="901">
        <v>15</v>
      </c>
    </row>
    <row r="124" spans="2:3" hidden="1" outlineLevel="1">
      <c r="B124" s="859" t="s">
        <v>3883</v>
      </c>
      <c r="C124" s="901">
        <v>15</v>
      </c>
    </row>
    <row r="125" spans="2:3" hidden="1" outlineLevel="1">
      <c r="B125" s="859" t="s">
        <v>3884</v>
      </c>
      <c r="C125" s="901">
        <v>10</v>
      </c>
    </row>
    <row r="126" spans="2:3" hidden="1" outlineLevel="1">
      <c r="B126" s="859" t="s">
        <v>3930</v>
      </c>
      <c r="C126" s="901">
        <v>8</v>
      </c>
    </row>
    <row r="127" spans="2:3" hidden="1" outlineLevel="1">
      <c r="B127" s="859" t="s">
        <v>3885</v>
      </c>
      <c r="C127" s="901">
        <v>10</v>
      </c>
    </row>
    <row r="128" spans="2:3" ht="14.5" hidden="1" outlineLevel="1" thickBot="1">
      <c r="B128" s="860" t="s">
        <v>3886</v>
      </c>
      <c r="C128" s="902">
        <v>10</v>
      </c>
    </row>
    <row r="129" spans="2:53" hidden="1" outlineLevel="1"/>
    <row r="130" spans="2:53" collapsed="1"/>
    <row r="131" spans="2:53" ht="18">
      <c r="B131" s="258" t="s">
        <v>3933</v>
      </c>
    </row>
    <row r="132" spans="2:53" ht="14.5">
      <c r="AZ132" s="110" t="s">
        <v>3449</v>
      </c>
      <c r="BA132" s="24">
        <f>'Equipements d''imagerie'!D147*'Equipements d''imagerie'!C205/10^3</f>
        <v>734.23934426229516</v>
      </c>
    </row>
    <row r="133" spans="2:53" ht="15" hidden="1" outlineLevel="1" thickBot="1">
      <c r="B133" t="s">
        <v>300</v>
      </c>
      <c r="AZ133" s="110" t="s">
        <v>3450</v>
      </c>
      <c r="BA133" s="24">
        <f>'Equipements d''imagerie'!D148*'Equipements d''imagerie'!C206/10^3</f>
        <v>1919.8858196721312</v>
      </c>
    </row>
    <row r="134" spans="2:53" ht="44" hidden="1" outlineLevel="1">
      <c r="B134" s="866" t="s">
        <v>3492</v>
      </c>
      <c r="C134" s="867" t="s">
        <v>3255</v>
      </c>
      <c r="D134" s="867" t="s">
        <v>3534</v>
      </c>
      <c r="E134" s="867" t="s">
        <v>3256</v>
      </c>
      <c r="F134" s="867" t="s">
        <v>3934</v>
      </c>
      <c r="G134" s="868" t="s">
        <v>3935</v>
      </c>
      <c r="O134" s="937" t="s">
        <v>3936</v>
      </c>
      <c r="P134" s="239"/>
      <c r="Q134" s="239"/>
      <c r="R134" s="239"/>
      <c r="S134" s="239"/>
      <c r="T134" s="239"/>
      <c r="U134" s="239"/>
      <c r="V134" s="239"/>
      <c r="W134" s="239"/>
      <c r="X134" s="239"/>
      <c r="Y134" s="239"/>
      <c r="Z134" s="239"/>
      <c r="AA134" s="239"/>
      <c r="AB134" s="239"/>
      <c r="AC134" s="239"/>
      <c r="AD134" s="239"/>
      <c r="AE134" s="239"/>
      <c r="AF134" s="239"/>
      <c r="AG134" s="239"/>
      <c r="AH134" s="239"/>
      <c r="AI134" s="240"/>
      <c r="AZ134" s="110" t="s">
        <v>3451</v>
      </c>
      <c r="BA134" s="24">
        <f>'Equipements d''imagerie'!D149*'Equipements d''imagerie'!C207/10^3</f>
        <v>590.56549180327875</v>
      </c>
    </row>
    <row r="135" spans="2:53" ht="14.5" hidden="1" outlineLevel="1">
      <c r="B135" s="859" t="s">
        <v>3874</v>
      </c>
      <c r="C135" s="905">
        <f>C57</f>
        <v>500000</v>
      </c>
      <c r="D135" s="903">
        <v>10</v>
      </c>
      <c r="E135" s="905">
        <f>C135/D135</f>
        <v>50000</v>
      </c>
      <c r="F135" s="903">
        <v>3.5</v>
      </c>
      <c r="G135" s="909">
        <f>E135*F135/10^3</f>
        <v>175</v>
      </c>
      <c r="O135" s="855" t="s">
        <v>3937</v>
      </c>
      <c r="AI135" s="234"/>
      <c r="AZ135" s="110" t="s">
        <v>3453</v>
      </c>
      <c r="BA135" s="24">
        <f>'Equipements d''imagerie'!D151*'Equipements d''imagerie'!C209/10^3</f>
        <v>1504.3119025304595</v>
      </c>
    </row>
    <row r="136" spans="2:53" ht="14.5" hidden="1" outlineLevel="1">
      <c r="B136" s="859" t="s">
        <v>3875</v>
      </c>
      <c r="C136" s="905">
        <f>C34</f>
        <v>18526</v>
      </c>
      <c r="D136" s="903">
        <v>10</v>
      </c>
      <c r="E136" s="905">
        <f>C136/D136</f>
        <v>1852.6</v>
      </c>
      <c r="F136" s="903">
        <v>120</v>
      </c>
      <c r="G136" s="909">
        <f>E136*F136/10^3</f>
        <v>222.31200000000001</v>
      </c>
      <c r="O136" s="1450" t="s">
        <v>3938</v>
      </c>
      <c r="AI136" s="234"/>
      <c r="AZ136" s="110" t="s">
        <v>3454</v>
      </c>
      <c r="BA136" s="24">
        <f>'Equipements d''imagerie'!D152*'Equipements d''imagerie'!C210/10^3</f>
        <v>53.699999999999996</v>
      </c>
    </row>
    <row r="137" spans="2:53" ht="14.5" hidden="1" outlineLevel="1">
      <c r="B137" s="859" t="s">
        <v>3876</v>
      </c>
      <c r="C137" s="905">
        <f>C44</f>
        <v>607</v>
      </c>
      <c r="D137" s="903">
        <v>10</v>
      </c>
      <c r="E137" s="905">
        <f t="shared" ref="E137:E147" si="13">C137/D137</f>
        <v>60.7</v>
      </c>
      <c r="F137" s="905">
        <v>8155</v>
      </c>
      <c r="G137" s="909">
        <f t="shared" ref="G137:G147" si="14">E137*F137/10^3</f>
        <v>495.00850000000003</v>
      </c>
      <c r="O137" s="1450" t="s">
        <v>3939</v>
      </c>
      <c r="AI137" s="234"/>
      <c r="AZ137" s="110" t="s">
        <v>3455</v>
      </c>
      <c r="BA137" s="24">
        <f>'Equipements d''imagerie'!D153*'Equipements d''imagerie'!C211/10^3</f>
        <v>48.631815239999995</v>
      </c>
    </row>
    <row r="138" spans="2:53" ht="14.5" hidden="1" outlineLevel="1">
      <c r="B138" s="859" t="s">
        <v>3877</v>
      </c>
      <c r="C138" s="906">
        <f t="shared" ref="C138:C145" si="15">H76</f>
        <v>79502.621171709732</v>
      </c>
      <c r="D138" s="908">
        <f t="shared" ref="D138:D145" si="16">C118</f>
        <v>15</v>
      </c>
      <c r="E138" s="905">
        <f t="shared" si="13"/>
        <v>5300.1747447806492</v>
      </c>
      <c r="F138" s="905">
        <f t="shared" ref="F138:F145" si="17">I76</f>
        <v>115</v>
      </c>
      <c r="G138" s="909">
        <f t="shared" si="14"/>
        <v>609.5200956497747</v>
      </c>
      <c r="O138" s="1450" t="s">
        <v>3940</v>
      </c>
      <c r="AI138" s="234"/>
      <c r="AZ138" s="110" t="s">
        <v>3456</v>
      </c>
      <c r="BA138" s="24">
        <f>'Equipements d''imagerie'!D154*'Equipements d''imagerie'!C212/10^3</f>
        <v>332.58014999999995</v>
      </c>
    </row>
    <row r="139" spans="2:53" ht="14.5" hidden="1" outlineLevel="1">
      <c r="B139" s="859" t="s">
        <v>3878</v>
      </c>
      <c r="C139" s="906">
        <f t="shared" si="15"/>
        <v>691.32714062356285</v>
      </c>
      <c r="D139" s="903">
        <f t="shared" si="16"/>
        <v>12</v>
      </c>
      <c r="E139" s="905">
        <v>260</v>
      </c>
      <c r="F139" s="905">
        <f t="shared" si="17"/>
        <v>500</v>
      </c>
      <c r="G139" s="909">
        <f t="shared" si="14"/>
        <v>130</v>
      </c>
      <c r="O139" s="233" t="s">
        <v>3941</v>
      </c>
      <c r="AI139" s="234"/>
      <c r="AZ139" s="110" t="s">
        <v>3459</v>
      </c>
      <c r="BA139" s="24">
        <f>'Equipements d''imagerie'!D157*'Equipements d''imagerie'!C215/10^3</f>
        <v>28.276799999999998</v>
      </c>
    </row>
    <row r="140" spans="2:53" ht="15" hidden="1" outlineLevel="1" thickBot="1">
      <c r="B140" s="859" t="s">
        <v>3879</v>
      </c>
      <c r="C140" s="906">
        <f t="shared" si="15"/>
        <v>136769.93234778254</v>
      </c>
      <c r="D140" s="903">
        <f t="shared" si="16"/>
        <v>12</v>
      </c>
      <c r="E140" s="905">
        <f t="shared" si="13"/>
        <v>11397.494362315212</v>
      </c>
      <c r="F140" s="905">
        <f t="shared" si="17"/>
        <v>1.5</v>
      </c>
      <c r="G140" s="909">
        <f t="shared" si="14"/>
        <v>17.096241543472818</v>
      </c>
      <c r="O140" s="233" t="s">
        <v>3942</v>
      </c>
      <c r="T140" s="1"/>
      <c r="AI140" s="234"/>
      <c r="AZ140" s="111" t="s">
        <v>3460</v>
      </c>
      <c r="BA140" s="24">
        <f>'Equipements d''imagerie'!D158*'Equipements d''imagerie'!C216/10^3</f>
        <v>21.043200000000002</v>
      </c>
    </row>
    <row r="141" spans="2:53" ht="14.5" hidden="1" outlineLevel="1" thickBot="1">
      <c r="B141" s="859" t="s">
        <v>3880</v>
      </c>
      <c r="C141" s="906">
        <f t="shared" si="15"/>
        <v>524256.41497286852</v>
      </c>
      <c r="D141" s="903">
        <f t="shared" si="16"/>
        <v>12</v>
      </c>
      <c r="E141" s="905">
        <f t="shared" si="13"/>
        <v>43688.034581072374</v>
      </c>
      <c r="F141" s="905">
        <f t="shared" si="17"/>
        <v>2</v>
      </c>
      <c r="G141" s="909">
        <f t="shared" si="14"/>
        <v>87.376069162144745</v>
      </c>
      <c r="O141" s="235" t="s">
        <v>3943</v>
      </c>
      <c r="P141" s="241"/>
      <c r="Q141" s="241"/>
      <c r="R141" s="241"/>
      <c r="S141" s="241"/>
      <c r="T141" s="241"/>
      <c r="U141" s="241"/>
      <c r="V141" s="241"/>
      <c r="W141" s="241"/>
      <c r="X141" s="241"/>
      <c r="Y141" s="241"/>
      <c r="Z141" s="241"/>
      <c r="AA141" s="241"/>
      <c r="AB141" s="241"/>
      <c r="AC141" s="241"/>
      <c r="AD141" s="241"/>
      <c r="AE141" s="241"/>
      <c r="AF141" s="241"/>
      <c r="AG141" s="241"/>
      <c r="AH141" s="241"/>
      <c r="AI141" s="236"/>
      <c r="AZ141" s="859" t="s">
        <v>3930</v>
      </c>
      <c r="BA141" s="23" t="e">
        <f>#REF!</f>
        <v>#REF!</v>
      </c>
    </row>
    <row r="142" spans="2:53" hidden="1" outlineLevel="1">
      <c r="B142" s="859" t="s">
        <v>3881</v>
      </c>
      <c r="C142" s="906">
        <f t="shared" si="15"/>
        <v>59986.812433237952</v>
      </c>
      <c r="D142" s="903">
        <f t="shared" si="16"/>
        <v>12</v>
      </c>
      <c r="E142" s="905">
        <f t="shared" si="13"/>
        <v>4998.9010361031624</v>
      </c>
      <c r="F142" s="905">
        <f t="shared" si="17"/>
        <v>1</v>
      </c>
      <c r="G142" s="909">
        <f t="shared" si="14"/>
        <v>4.9989010361031623</v>
      </c>
      <c r="AZ142" s="859" t="s">
        <v>3875</v>
      </c>
      <c r="BA142" s="23">
        <f t="shared" ref="BA142:BA147" si="18">G136</f>
        <v>222.31200000000001</v>
      </c>
    </row>
    <row r="143" spans="2:53" hidden="1" outlineLevel="1">
      <c r="B143" s="859" t="s">
        <v>3882</v>
      </c>
      <c r="C143" s="906">
        <f t="shared" si="15"/>
        <v>2995.7509427021059</v>
      </c>
      <c r="D143" s="903">
        <f t="shared" si="16"/>
        <v>15</v>
      </c>
      <c r="E143" s="905">
        <f t="shared" si="13"/>
        <v>199.71672951347372</v>
      </c>
      <c r="F143" s="905">
        <f t="shared" si="17"/>
        <v>1000</v>
      </c>
      <c r="G143" s="909">
        <f t="shared" si="14"/>
        <v>199.71672951347372</v>
      </c>
      <c r="AZ143" s="859" t="s">
        <v>3876</v>
      </c>
      <c r="BA143" s="23">
        <f t="shared" si="18"/>
        <v>495.00850000000003</v>
      </c>
    </row>
    <row r="144" spans="2:53" hidden="1" outlineLevel="1">
      <c r="B144" s="859" t="s">
        <v>3883</v>
      </c>
      <c r="C144" s="906">
        <f t="shared" si="15"/>
        <v>2600</v>
      </c>
      <c r="D144" s="903">
        <f t="shared" si="16"/>
        <v>15</v>
      </c>
      <c r="E144" s="905">
        <f t="shared" si="13"/>
        <v>173.33333333333334</v>
      </c>
      <c r="F144" s="905">
        <f t="shared" si="17"/>
        <v>250</v>
      </c>
      <c r="G144" s="909">
        <f t="shared" si="14"/>
        <v>43.333333333333336</v>
      </c>
      <c r="AZ144" s="859" t="s">
        <v>3877</v>
      </c>
      <c r="BA144" s="23">
        <f t="shared" si="18"/>
        <v>609.5200956497747</v>
      </c>
    </row>
    <row r="145" spans="2:53" hidden="1" outlineLevel="1">
      <c r="B145" s="859" t="s">
        <v>3884</v>
      </c>
      <c r="C145" s="906">
        <f t="shared" si="15"/>
        <v>4349.0439014097519</v>
      </c>
      <c r="D145" s="903">
        <f t="shared" si="16"/>
        <v>10</v>
      </c>
      <c r="E145" s="905">
        <f t="shared" si="13"/>
        <v>434.90439014097518</v>
      </c>
      <c r="F145" s="905">
        <f t="shared" si="17"/>
        <v>200</v>
      </c>
      <c r="G145" s="909">
        <f t="shared" si="14"/>
        <v>86.980878028195036</v>
      </c>
      <c r="AZ145" s="859" t="s">
        <v>3878</v>
      </c>
      <c r="BA145" s="23">
        <f t="shared" si="18"/>
        <v>130</v>
      </c>
    </row>
    <row r="146" spans="2:53" hidden="1" outlineLevel="1">
      <c r="B146" s="859" t="s">
        <v>3885</v>
      </c>
      <c r="C146" s="906">
        <f>H85</f>
        <v>172612.0527766422</v>
      </c>
      <c r="D146" s="903">
        <f>C127</f>
        <v>10</v>
      </c>
      <c r="E146" s="905">
        <f t="shared" si="13"/>
        <v>17261.205277664219</v>
      </c>
      <c r="F146" s="905">
        <f>I85</f>
        <v>8</v>
      </c>
      <c r="G146" s="909">
        <f t="shared" si="14"/>
        <v>138.08964222131377</v>
      </c>
      <c r="AZ146" s="859" t="s">
        <v>3879</v>
      </c>
      <c r="BA146" s="23">
        <f t="shared" si="18"/>
        <v>17.096241543472818</v>
      </c>
    </row>
    <row r="147" spans="2:53" ht="14.5" hidden="1" outlineLevel="1" thickBot="1">
      <c r="B147" s="860" t="s">
        <v>3886</v>
      </c>
      <c r="C147" s="907">
        <f>H86</f>
        <v>26500.873723903245</v>
      </c>
      <c r="D147" s="904">
        <f>C128</f>
        <v>10</v>
      </c>
      <c r="E147" s="912">
        <f t="shared" si="13"/>
        <v>2650.0873723903246</v>
      </c>
      <c r="F147" s="912">
        <f>I86</f>
        <v>7</v>
      </c>
      <c r="G147" s="913">
        <f t="shared" si="14"/>
        <v>18.550611606732271</v>
      </c>
      <c r="AZ147" s="859" t="s">
        <v>3880</v>
      </c>
      <c r="BA147" s="23">
        <f t="shared" si="18"/>
        <v>87.376069162144745</v>
      </c>
    </row>
    <row r="148" spans="2:53" ht="14.5" hidden="1" outlineLevel="1" thickBot="1">
      <c r="B148" s="1178" t="s">
        <v>3944</v>
      </c>
      <c r="C148" s="1179"/>
      <c r="D148" s="1180"/>
      <c r="E148" s="1181"/>
      <c r="F148" s="1182"/>
      <c r="G148" s="1183">
        <f>G150-G149</f>
        <v>712.47235213499607</v>
      </c>
      <c r="AZ148" s="859"/>
      <c r="BA148" s="23"/>
    </row>
    <row r="149" spans="2:53" ht="14.5" hidden="1" outlineLevel="1" thickBot="1">
      <c r="D149" s="1174" t="s">
        <v>3945</v>
      </c>
      <c r="E149" s="991">
        <f>SUM(E136:E147)</f>
        <v>88277.151827313719</v>
      </c>
      <c r="F149" s="1174" t="s">
        <v>3946</v>
      </c>
      <c r="G149" s="1177">
        <f>SUM(G136:G147)</f>
        <v>2052.9830020945437</v>
      </c>
      <c r="AZ149" s="859" t="s">
        <v>3881</v>
      </c>
      <c r="BA149" s="23">
        <f t="shared" ref="BA149:BA151" si="19">G142</f>
        <v>4.9989010361031623</v>
      </c>
    </row>
    <row r="150" spans="2:53" ht="14.5" hidden="1" outlineLevel="1" thickBot="1">
      <c r="D150" s="910" t="s">
        <v>3947</v>
      </c>
      <c r="E150" s="911">
        <v>360000</v>
      </c>
      <c r="F150" s="910" t="s">
        <v>83</v>
      </c>
      <c r="G150" s="369">
        <f>8600-SUMPRODUCT('Equipements d''imagerie'!C205:C216,'Equipements d''imagerie'!D147:D158)/10^3</f>
        <v>2765.4553542295398</v>
      </c>
      <c r="AZ150" s="859" t="s">
        <v>3882</v>
      </c>
      <c r="BA150" s="23">
        <f t="shared" si="19"/>
        <v>199.71672951347372</v>
      </c>
    </row>
    <row r="151" spans="2:53" hidden="1" outlineLevel="1">
      <c r="AZ151" s="859" t="s">
        <v>3883</v>
      </c>
      <c r="BA151" s="23">
        <f t="shared" si="19"/>
        <v>43.333333333333336</v>
      </c>
    </row>
    <row r="152" spans="2:53" collapsed="1">
      <c r="AZ152" s="1043" t="s">
        <v>3948</v>
      </c>
      <c r="BA152" s="23" t="e">
        <f>8600-SUM(BA132:BA141,BA142:BA151)</f>
        <v>#REF!</v>
      </c>
    </row>
    <row r="153" spans="2:53" ht="23.5">
      <c r="B153" s="2" t="s">
        <v>406</v>
      </c>
    </row>
    <row r="155" spans="2:53">
      <c r="B155" s="1251" t="s">
        <v>3545</v>
      </c>
    </row>
    <row r="157" spans="2:53" ht="20">
      <c r="B157" s="216" t="s">
        <v>3546</v>
      </c>
    </row>
    <row r="159" spans="2:53" hidden="1" outlineLevel="1">
      <c r="B159" s="3" t="s">
        <v>3949</v>
      </c>
    </row>
    <row r="160" spans="2:53" hidden="1" outlineLevel="1"/>
    <row r="161" spans="2:8" ht="14.5" hidden="1" outlineLevel="1" thickBot="1">
      <c r="B161" t="s">
        <v>3950</v>
      </c>
    </row>
    <row r="162" spans="2:8" hidden="1" outlineLevel="1">
      <c r="B162" s="866"/>
      <c r="C162" s="868" t="s">
        <v>3951</v>
      </c>
      <c r="G162" s="1251"/>
    </row>
    <row r="163" spans="2:8" hidden="1" outlineLevel="1">
      <c r="B163" s="859" t="s">
        <v>3952</v>
      </c>
      <c r="C163" s="909">
        <f>175/3.15</f>
        <v>55.555555555555557</v>
      </c>
      <c r="G163" s="1316"/>
      <c r="H163" s="39"/>
    </row>
    <row r="164" spans="2:8" hidden="1" outlineLevel="1">
      <c r="B164" s="859" t="s">
        <v>3953</v>
      </c>
      <c r="C164" s="909">
        <f>231/11.3</f>
        <v>20.442477876106192</v>
      </c>
      <c r="G164" s="1316"/>
      <c r="H164" s="39"/>
    </row>
    <row r="165" spans="2:8" hidden="1" outlineLevel="1">
      <c r="B165" s="859" t="s">
        <v>3954</v>
      </c>
      <c r="C165" s="915">
        <f>30.9/1.18</f>
        <v>26.1864406779661</v>
      </c>
      <c r="G165" s="1316"/>
      <c r="H165" s="39"/>
    </row>
    <row r="166" spans="2:8" hidden="1" outlineLevel="1">
      <c r="B166" s="859" t="s">
        <v>3955</v>
      </c>
      <c r="C166" s="132">
        <f>388/30</f>
        <v>12.933333333333334</v>
      </c>
    </row>
    <row r="167" spans="2:8" hidden="1" outlineLevel="1">
      <c r="B167" s="859" t="s">
        <v>3956</v>
      </c>
      <c r="C167" s="916">
        <v>33.299999999999997</v>
      </c>
    </row>
    <row r="168" spans="2:8" hidden="1" outlineLevel="1">
      <c r="B168" s="859" t="s">
        <v>3957</v>
      </c>
      <c r="C168" s="132">
        <f>63.4/4.61</f>
        <v>13.752711496746203</v>
      </c>
      <c r="D168" s="1251"/>
    </row>
    <row r="169" spans="2:8" hidden="1" outlineLevel="1">
      <c r="B169" s="859" t="s">
        <v>3958</v>
      </c>
      <c r="C169" s="132">
        <v>66.7</v>
      </c>
    </row>
    <row r="170" spans="2:8" hidden="1" outlineLevel="1">
      <c r="B170" s="859" t="s">
        <v>3959</v>
      </c>
      <c r="C170" s="132">
        <f>6.35/0.12</f>
        <v>52.916666666666664</v>
      </c>
    </row>
    <row r="171" spans="2:8" hidden="1" outlineLevel="1">
      <c r="B171" s="859" t="s">
        <v>3960</v>
      </c>
      <c r="C171" s="132">
        <f>91/0.519</f>
        <v>175.33718689788054</v>
      </c>
    </row>
    <row r="172" spans="2:8" hidden="1" outlineLevel="1">
      <c r="B172" s="859" t="s">
        <v>3961</v>
      </c>
      <c r="C172" s="132">
        <f>40.3/0.16345</f>
        <v>246.55858060568977</v>
      </c>
    </row>
    <row r="173" spans="2:8" ht="14.5" hidden="1" outlineLevel="1" thickBot="1">
      <c r="B173" s="860" t="s">
        <v>3962</v>
      </c>
      <c r="C173" s="327">
        <f>MEDIAN(C163:C172)</f>
        <v>43.108333333333334</v>
      </c>
    </row>
    <row r="174" spans="2:8" hidden="1" outlineLevel="1"/>
    <row r="175" spans="2:8" hidden="1" outlineLevel="1">
      <c r="B175" s="3" t="s">
        <v>3963</v>
      </c>
    </row>
    <row r="176" spans="2:8" hidden="1" outlineLevel="1">
      <c r="D176" s="1251"/>
    </row>
    <row r="177" spans="2:15" ht="14.5" hidden="1" outlineLevel="1" thickBot="1">
      <c r="B177" s="1251" t="s">
        <v>3964</v>
      </c>
    </row>
    <row r="178" spans="2:15" ht="28" hidden="1" outlineLevel="1">
      <c r="B178" s="866"/>
      <c r="C178" s="867" t="s">
        <v>2570</v>
      </c>
      <c r="D178" s="868" t="s">
        <v>3965</v>
      </c>
    </row>
    <row r="179" spans="2:15" hidden="1" outlineLevel="1">
      <c r="B179" s="859" t="s">
        <v>3966</v>
      </c>
      <c r="C179" s="920">
        <v>1.7999999999999999E-2</v>
      </c>
      <c r="D179" s="12">
        <v>102</v>
      </c>
    </row>
    <row r="180" spans="2:15" hidden="1" outlineLevel="1">
      <c r="B180" s="859" t="s">
        <v>3967</v>
      </c>
      <c r="C180" s="918">
        <v>0.5</v>
      </c>
      <c r="D180" s="12">
        <v>25</v>
      </c>
    </row>
    <row r="181" spans="2:15" hidden="1" outlineLevel="1">
      <c r="B181" s="859" t="s">
        <v>3968</v>
      </c>
      <c r="C181" s="919">
        <v>2.9</v>
      </c>
      <c r="D181" s="810">
        <v>14.4</v>
      </c>
    </row>
    <row r="182" spans="2:15" ht="14.5" hidden="1" outlineLevel="1" thickBot="1">
      <c r="B182" s="860" t="s">
        <v>3969</v>
      </c>
      <c r="C182" s="681">
        <v>3.8</v>
      </c>
      <c r="D182" s="845">
        <v>48</v>
      </c>
    </row>
    <row r="183" spans="2:15" hidden="1" outlineLevel="1"/>
    <row r="184" spans="2:15" ht="14.5" hidden="1" outlineLevel="1" thickBot="1">
      <c r="B184" s="1251" t="s">
        <v>3970</v>
      </c>
    </row>
    <row r="185" spans="2:15" ht="28" hidden="1" outlineLevel="1">
      <c r="B185" s="866" t="s">
        <v>3971</v>
      </c>
      <c r="C185" s="867" t="s">
        <v>3972</v>
      </c>
      <c r="D185" s="867" t="s">
        <v>3973</v>
      </c>
      <c r="E185" s="867" t="s">
        <v>982</v>
      </c>
      <c r="F185" s="868" t="s">
        <v>3974</v>
      </c>
    </row>
    <row r="186" spans="2:15" hidden="1" outlineLevel="1">
      <c r="B186" s="859" t="s">
        <v>3975</v>
      </c>
      <c r="C186" s="1184">
        <v>0.14000000000000001</v>
      </c>
      <c r="D186" s="1185">
        <v>0.46</v>
      </c>
      <c r="E186" s="1186">
        <v>0.32</v>
      </c>
      <c r="F186" s="1024">
        <v>0.08</v>
      </c>
    </row>
    <row r="187" spans="2:15" hidden="1" outlineLevel="1">
      <c r="B187" s="859" t="s">
        <v>3966</v>
      </c>
      <c r="C187" s="302">
        <v>3.6999999999999998E-2</v>
      </c>
      <c r="D187" s="536">
        <v>0</v>
      </c>
      <c r="E187" s="302">
        <f>100%-C187-F187</f>
        <v>0.48899999999999999</v>
      </c>
      <c r="F187" s="921">
        <v>0.47399999999999998</v>
      </c>
    </row>
    <row r="188" spans="2:15" ht="14.5" hidden="1" outlineLevel="1" thickBot="1">
      <c r="B188" s="860" t="s">
        <v>3967</v>
      </c>
      <c r="C188" s="157">
        <f>(0.17+0.5)/3.8</f>
        <v>0.17631578947368423</v>
      </c>
      <c r="D188" s="22"/>
      <c r="E188" s="22"/>
      <c r="F188" s="38"/>
    </row>
    <row r="189" spans="2:15" ht="14.5" hidden="1" outlineLevel="1" thickBot="1"/>
    <row r="190" spans="2:15" ht="42" hidden="1" outlineLevel="1">
      <c r="B190" s="924"/>
      <c r="C190" s="922" t="s">
        <v>3976</v>
      </c>
      <c r="D190" s="925" t="s">
        <v>70</v>
      </c>
    </row>
    <row r="191" spans="2:15" hidden="1" outlineLevel="1">
      <c r="B191" s="926" t="s">
        <v>3972</v>
      </c>
      <c r="C191" s="1187">
        <f>(46.8%+19.9%+11.1%+4.83%+6.73%)/(1+C195)</f>
        <v>0.87427844633597485</v>
      </c>
      <c r="D191" s="132" t="s">
        <v>3975</v>
      </c>
    </row>
    <row r="192" spans="2:15" hidden="1" outlineLevel="1">
      <c r="B192" s="926" t="s">
        <v>3973</v>
      </c>
      <c r="C192" s="1187">
        <f>(3.31%+0.448%)/(1+C195)</f>
        <v>3.6767439585167788E-2</v>
      </c>
      <c r="D192" s="132" t="s">
        <v>3977</v>
      </c>
      <c r="N192" s="41"/>
      <c r="O192" s="1251"/>
    </row>
    <row r="193" spans="2:15" hidden="1" outlineLevel="1">
      <c r="B193" s="926" t="s">
        <v>129</v>
      </c>
      <c r="C193" s="1187">
        <f>(3.01%+0.856%)/(1+C195)</f>
        <v>3.7824087662655319E-2</v>
      </c>
      <c r="D193" s="132" t="s">
        <v>3978</v>
      </c>
      <c r="N193" s="41"/>
      <c r="O193" s="1251"/>
    </row>
    <row r="194" spans="2:15" hidden="1" outlineLevel="1">
      <c r="B194" s="926" t="s">
        <v>3979</v>
      </c>
      <c r="C194" s="1187">
        <f>(0.206%+1.06%+1.86%)/(1+C195)</f>
        <v>3.0584091576166719E-2</v>
      </c>
      <c r="D194" s="132" t="s">
        <v>3980</v>
      </c>
      <c r="N194" s="1451"/>
      <c r="O194" s="1251"/>
    </row>
    <row r="195" spans="2:15" ht="14.5" hidden="1" outlineLevel="1" thickBot="1">
      <c r="B195" s="927" t="s">
        <v>3809</v>
      </c>
      <c r="C195" s="1188">
        <f>1.91%+0.3%</f>
        <v>2.2099999999999998E-2</v>
      </c>
      <c r="D195" s="209" t="s">
        <v>3981</v>
      </c>
      <c r="N195" s="41"/>
    </row>
    <row r="196" spans="2:15" ht="14.5" hidden="1" outlineLevel="1" thickBot="1">
      <c r="B196" s="928" t="s">
        <v>3982</v>
      </c>
      <c r="C196" s="930">
        <f>33.2/SUM(C191:C194)</f>
        <v>33.896433922685056</v>
      </c>
      <c r="D196" s="929" t="s">
        <v>659</v>
      </c>
    </row>
    <row r="197" spans="2:15" hidden="1" outlineLevel="1"/>
    <row r="198" spans="2:15" collapsed="1"/>
    <row r="199" spans="2:15" ht="20">
      <c r="B199" s="216" t="s">
        <v>482</v>
      </c>
    </row>
    <row r="201" spans="2:15" ht="14.5" hidden="1" outlineLevel="1" thickBot="1">
      <c r="B201" s="1251" t="s">
        <v>3983</v>
      </c>
    </row>
    <row r="202" spans="2:15" ht="42" hidden="1" outlineLevel="1">
      <c r="B202" s="924"/>
      <c r="C202" s="923" t="s">
        <v>3984</v>
      </c>
      <c r="G202" s="924"/>
      <c r="H202" s="923" t="s">
        <v>3985</v>
      </c>
    </row>
    <row r="203" spans="2:15" hidden="1" outlineLevel="1">
      <c r="B203" s="926" t="s">
        <v>3986</v>
      </c>
      <c r="C203" s="132">
        <v>5.2526315789473692</v>
      </c>
      <c r="G203" s="926" t="s">
        <v>3987</v>
      </c>
      <c r="H203" s="132">
        <f>H204</f>
        <v>0.22393911373428288</v>
      </c>
    </row>
    <row r="204" spans="2:15" hidden="1" outlineLevel="1">
      <c r="B204" s="926" t="s">
        <v>3988</v>
      </c>
      <c r="C204" s="132">
        <v>7.2611940298507465</v>
      </c>
      <c r="G204" s="926" t="s">
        <v>3989</v>
      </c>
      <c r="H204" s="132">
        <f>SUM('Equipements d''imagerie'!D358:G358)/SUMPRODUCT('Equipements d''imagerie'!C230:C241,'Equipements d''imagerie'!C346:C357)</f>
        <v>0.22393911373428288</v>
      </c>
    </row>
    <row r="205" spans="2:15" ht="14.5" hidden="1" outlineLevel="1" thickBot="1">
      <c r="B205" s="927" t="s">
        <v>3990</v>
      </c>
      <c r="C205" s="209">
        <v>7.8888888888888884</v>
      </c>
      <c r="G205" s="927" t="s">
        <v>3874</v>
      </c>
      <c r="H205" s="209">
        <f>H203+1/F135</f>
        <v>0.50965339944856858</v>
      </c>
    </row>
    <row r="206" spans="2:15" ht="14.5" hidden="1" outlineLevel="1" thickBot="1">
      <c r="B206" s="931" t="s">
        <v>144</v>
      </c>
      <c r="C206" s="743">
        <f>AVERAGE(C203:C205)</f>
        <v>6.8009048325623347</v>
      </c>
    </row>
    <row r="207" spans="2:15" hidden="1" outlineLevel="1"/>
    <row r="208" spans="2:15" ht="14.5" hidden="1" outlineLevel="1" thickBot="1">
      <c r="B208" s="1251" t="s">
        <v>3991</v>
      </c>
    </row>
    <row r="209" spans="2:16" ht="14.5" hidden="1" outlineLevel="1" thickBot="1">
      <c r="B209" s="931" t="s">
        <v>3992</v>
      </c>
      <c r="C209" s="743">
        <f>10^6*'Equipements d''imagerie'!C362/SUMPRODUCT('Equipements d''imagerie'!D147:D158,'Equipements d''imagerie'!C205:C216)</f>
        <v>0.17981214252167768</v>
      </c>
    </row>
    <row r="210" spans="2:16" hidden="1" outlineLevel="1"/>
    <row r="211" spans="2:16" ht="14.5" hidden="1" outlineLevel="1" thickBot="1">
      <c r="B211" s="1251" t="s">
        <v>3993</v>
      </c>
    </row>
    <row r="212" spans="2:16" ht="14.5" hidden="1" outlineLevel="1" thickBot="1">
      <c r="B212" s="931" t="s">
        <v>3994</v>
      </c>
      <c r="C212" s="743">
        <v>4.4446179104936867</v>
      </c>
    </row>
    <row r="213" spans="2:16" hidden="1" outlineLevel="1"/>
    <row r="214" spans="2:16" collapsed="1"/>
    <row r="215" spans="2:16" ht="20">
      <c r="B215" s="216" t="s">
        <v>3201</v>
      </c>
    </row>
    <row r="217" spans="2:16" ht="14.5" hidden="1" outlineLevel="1" thickBot="1">
      <c r="B217" s="1251" t="s">
        <v>3995</v>
      </c>
      <c r="C217" s="3"/>
    </row>
    <row r="218" spans="2:16" ht="14.5" hidden="1" outlineLevel="1">
      <c r="B218" s="934" t="s">
        <v>3996</v>
      </c>
      <c r="C218" s="374" t="s">
        <v>526</v>
      </c>
      <c r="D218" s="374" t="s">
        <v>165</v>
      </c>
      <c r="E218" s="375" t="s">
        <v>175</v>
      </c>
      <c r="F218" s="375" t="s">
        <v>163</v>
      </c>
      <c r="G218" s="375" t="s">
        <v>169</v>
      </c>
      <c r="H218" s="375" t="s">
        <v>161</v>
      </c>
      <c r="I218" s="375" t="s">
        <v>153</v>
      </c>
      <c r="J218" s="375" t="s">
        <v>171</v>
      </c>
      <c r="K218" s="375" t="s">
        <v>527</v>
      </c>
      <c r="L218" s="375" t="s">
        <v>167</v>
      </c>
      <c r="M218" s="375" t="s">
        <v>173</v>
      </c>
      <c r="N218" s="375" t="s">
        <v>159</v>
      </c>
      <c r="O218" s="375" t="s">
        <v>154</v>
      </c>
      <c r="P218" s="378" t="s">
        <v>157</v>
      </c>
    </row>
    <row r="219" spans="2:16" hidden="1" outlineLevel="1">
      <c r="B219" s="926" t="s">
        <v>3997</v>
      </c>
      <c r="C219" s="1307">
        <v>84192000</v>
      </c>
      <c r="D219" s="115"/>
      <c r="E219" s="115">
        <v>6.3370392338773054E-5</v>
      </c>
      <c r="F219" s="115">
        <v>8.6183733580731344E-4</v>
      </c>
      <c r="G219" s="115">
        <v>7.1329713616522942E-3</v>
      </c>
      <c r="H219" s="115">
        <v>3.5740901279067997E-4</v>
      </c>
      <c r="I219" s="115">
        <v>8.7835166005079776E-2</v>
      </c>
      <c r="J219" s="115">
        <v>4.8161498177467515E-5</v>
      </c>
      <c r="K219" s="115">
        <v>1.5056805219692477E-3</v>
      </c>
      <c r="L219" s="115">
        <v>1.412019082092541E-2</v>
      </c>
      <c r="M219" s="115">
        <v>3.2952604016161983E-5</v>
      </c>
      <c r="N219" s="115">
        <v>1.9379933385043572E-2</v>
      </c>
      <c r="O219" s="115">
        <v>0.8284854983194172</v>
      </c>
      <c r="P219" s="161">
        <v>4.0176828742782111E-2</v>
      </c>
    </row>
    <row r="220" spans="2:16" hidden="1" outlineLevel="1">
      <c r="B220" s="926" t="s">
        <v>3998</v>
      </c>
      <c r="C220" s="1307">
        <v>90181100</v>
      </c>
      <c r="D220" s="115">
        <v>9.6648882592839831E-4</v>
      </c>
      <c r="E220" s="115">
        <v>3.0574338957313127E-5</v>
      </c>
      <c r="F220" s="115">
        <v>3.641743484693297E-3</v>
      </c>
      <c r="G220" s="115">
        <v>6.2881223788873999E-3</v>
      </c>
      <c r="H220" s="115">
        <v>0.13824357216987782</v>
      </c>
      <c r="I220" s="115">
        <v>4.8528270222802004E-2</v>
      </c>
      <c r="J220" s="115">
        <v>0.2903475113337376</v>
      </c>
      <c r="K220" s="115">
        <v>1.8888147178073443E-3</v>
      </c>
      <c r="L220" s="115">
        <v>2.2251324463377887E-3</v>
      </c>
      <c r="M220" s="115">
        <v>1.8344603374387876E-4</v>
      </c>
      <c r="N220" s="115">
        <v>0.10172592143414033</v>
      </c>
      <c r="O220" s="115">
        <v>0.40535288732167091</v>
      </c>
      <c r="P220" s="161">
        <v>5.7751529141591464E-4</v>
      </c>
    </row>
    <row r="221" spans="2:16" hidden="1" outlineLevel="1">
      <c r="B221" s="926" t="s">
        <v>3999</v>
      </c>
      <c r="C221" s="1307">
        <v>90181910</v>
      </c>
      <c r="D221" s="115">
        <v>2.2214759103891743E-3</v>
      </c>
      <c r="E221" s="115">
        <v>2.1567727285331787E-5</v>
      </c>
      <c r="F221" s="115">
        <v>0.21489467246325014</v>
      </c>
      <c r="G221" s="115">
        <v>8.6270909141327151E-4</v>
      </c>
      <c r="H221" s="115">
        <v>3.9561374049094308E-3</v>
      </c>
      <c r="I221" s="115">
        <v>0.17115224042469937</v>
      </c>
      <c r="J221" s="115">
        <v>3.9931106516842858E-3</v>
      </c>
      <c r="K221" s="115">
        <v>1.3960481761405477E-2</v>
      </c>
      <c r="L221" s="115">
        <v>5.8540974060186284E-3</v>
      </c>
      <c r="M221" s="115">
        <v>6.7168064974319004E-4</v>
      </c>
      <c r="N221" s="115">
        <v>7.7982739655963945E-2</v>
      </c>
      <c r="O221" s="115">
        <v>0.48813929054501648</v>
      </c>
      <c r="P221" s="161">
        <v>1.6289796308221308E-2</v>
      </c>
    </row>
    <row r="222" spans="2:16" hidden="1" outlineLevel="1">
      <c r="B222" s="926" t="s">
        <v>4000</v>
      </c>
      <c r="C222" s="1307">
        <v>90192010</v>
      </c>
      <c r="D222" s="115"/>
      <c r="E222" s="115">
        <v>1.6323199347072025E-5</v>
      </c>
      <c r="F222" s="115">
        <v>4.6031422158743117E-3</v>
      </c>
      <c r="G222" s="115">
        <v>1.4690879412364824E-3</v>
      </c>
      <c r="H222" s="115">
        <v>3.5094878596204855E-4</v>
      </c>
      <c r="I222" s="115">
        <v>0.39224648031014081</v>
      </c>
      <c r="J222" s="115">
        <v>9.6143644154254235E-3</v>
      </c>
      <c r="K222" s="115">
        <v>6.8965517241379309E-3</v>
      </c>
      <c r="L222" s="115">
        <v>8.1615996735360125E-6</v>
      </c>
      <c r="M222" s="115">
        <v>9.0104060395837585E-2</v>
      </c>
      <c r="N222" s="115">
        <v>6.7986125280554985E-3</v>
      </c>
      <c r="O222" s="115">
        <v>0.46690879412364822</v>
      </c>
      <c r="P222" s="161">
        <v>2.0983472760661089E-2</v>
      </c>
    </row>
    <row r="223" spans="2:16" hidden="1" outlineLevel="1">
      <c r="B223" s="926" t="s">
        <v>3839</v>
      </c>
      <c r="C223" s="1307">
        <v>90192020</v>
      </c>
      <c r="D223" s="115">
        <v>2.1477147276646111E-2</v>
      </c>
      <c r="E223" s="115"/>
      <c r="F223" s="115">
        <v>1.4257563278889088E-4</v>
      </c>
      <c r="G223" s="115">
        <v>6.5075023457275896E-4</v>
      </c>
      <c r="H223" s="115">
        <v>0.55469647320454263</v>
      </c>
      <c r="I223" s="115">
        <v>0.12499183575287102</v>
      </c>
      <c r="J223" s="115">
        <v>6.2924441286717206E-5</v>
      </c>
      <c r="K223" s="115">
        <v>3.4003093652277944E-3</v>
      </c>
      <c r="L223" s="115">
        <v>9.6855848866643189E-3</v>
      </c>
      <c r="M223" s="115">
        <v>3.9772229452780382E-2</v>
      </c>
      <c r="N223" s="115">
        <v>2.4425037874141558E-2</v>
      </c>
      <c r="O223" s="115">
        <v>0.21957364310212715</v>
      </c>
      <c r="P223" s="161">
        <v>1.1214887763506055E-3</v>
      </c>
    </row>
    <row r="224" spans="2:16" hidden="1" outlineLevel="1">
      <c r="B224" s="926" t="s">
        <v>3841</v>
      </c>
      <c r="C224" s="11">
        <v>90192090</v>
      </c>
      <c r="D224" s="115">
        <v>5.2787528611598141E-4</v>
      </c>
      <c r="E224" s="115">
        <v>3.1714803571721178E-6</v>
      </c>
      <c r="F224" s="115">
        <v>7.0694235288251445E-2</v>
      </c>
      <c r="G224" s="115">
        <v>8.7109993810327504E-4</v>
      </c>
      <c r="H224" s="115">
        <v>2.8892362247191168E-2</v>
      </c>
      <c r="I224" s="115">
        <v>9.3014409268616108E-2</v>
      </c>
      <c r="J224" s="115">
        <v>4.0656616245414792E-3</v>
      </c>
      <c r="K224" s="115">
        <v>1.3642651336435393E-3</v>
      </c>
      <c r="L224" s="115">
        <v>2.4952502676817518E-3</v>
      </c>
      <c r="M224" s="115">
        <v>0.14556812930054938</v>
      </c>
      <c r="N224" s="115">
        <v>0.38560690593371644</v>
      </c>
      <c r="O224" s="115">
        <v>0.22562492698987927</v>
      </c>
      <c r="P224" s="161">
        <v>4.1271707241353005E-2</v>
      </c>
    </row>
    <row r="225" spans="2:16" hidden="1" outlineLevel="1">
      <c r="B225" s="926" t="s">
        <v>4001</v>
      </c>
      <c r="C225" s="11"/>
      <c r="D225" s="115">
        <v>0</v>
      </c>
      <c r="E225" s="115">
        <v>0</v>
      </c>
      <c r="F225" s="115">
        <v>3.9622953681484316E-2</v>
      </c>
      <c r="G225" s="115">
        <v>6.9697940849246611E-4</v>
      </c>
      <c r="H225" s="115">
        <v>1.1705345766924874E-3</v>
      </c>
      <c r="I225" s="115">
        <v>0.36988762346957654</v>
      </c>
      <c r="J225" s="115">
        <v>2.7214766062444145E-3</v>
      </c>
      <c r="K225" s="115">
        <v>4.4523305167548641E-2</v>
      </c>
      <c r="L225" s="115">
        <v>3.9262739089992421E-2</v>
      </c>
      <c r="M225" s="115">
        <v>6.513826247593141E-7</v>
      </c>
      <c r="N225" s="115">
        <v>0.12211144375050483</v>
      </c>
      <c r="O225" s="115">
        <v>0.37774134377629959</v>
      </c>
      <c r="P225" s="161">
        <v>2.2609490905395793E-3</v>
      </c>
    </row>
    <row r="226" spans="2:16" hidden="1" outlineLevel="1">
      <c r="B226" s="926" t="s">
        <v>3879</v>
      </c>
      <c r="C226" s="11">
        <v>90189050</v>
      </c>
      <c r="D226" s="115">
        <v>3.1201347810216565E-2</v>
      </c>
      <c r="E226" s="115">
        <v>1.943658018813832E-7</v>
      </c>
      <c r="F226" s="115">
        <v>0.13527354459859381</v>
      </c>
      <c r="G226" s="115">
        <v>7.9060233573271434E-3</v>
      </c>
      <c r="H226" s="115">
        <v>6.5229163111392202E-4</v>
      </c>
      <c r="I226" s="115">
        <v>0.31308346184152269</v>
      </c>
      <c r="J226" s="115">
        <v>3.931242708852857E-2</v>
      </c>
      <c r="K226" s="115">
        <v>6.6674467214182173E-2</v>
      </c>
      <c r="L226" s="115">
        <v>2.3055671419169679E-3</v>
      </c>
      <c r="M226" s="115">
        <v>1.1992369976081345E-4</v>
      </c>
      <c r="N226" s="115">
        <v>2.231708137202042E-3</v>
      </c>
      <c r="O226" s="115">
        <v>0.29080544799568042</v>
      </c>
      <c r="P226" s="161">
        <v>0.11043359511815302</v>
      </c>
    </row>
    <row r="227" spans="2:16" ht="14.5" hidden="1" outlineLevel="1" thickBot="1">
      <c r="B227" s="927" t="s">
        <v>4002</v>
      </c>
      <c r="C227" s="14">
        <v>90181990</v>
      </c>
      <c r="D227" s="157">
        <v>6.8711087341835056E-3</v>
      </c>
      <c r="E227" s="157">
        <v>7.3831999072367186E-5</v>
      </c>
      <c r="F227" s="157">
        <v>1.5375513806820467E-2</v>
      </c>
      <c r="G227" s="157">
        <v>3.7640121065547196E-3</v>
      </c>
      <c r="H227" s="157">
        <v>6.0035827450831908E-3</v>
      </c>
      <c r="I227" s="157">
        <v>0.12712592378739224</v>
      </c>
      <c r="J227" s="157">
        <v>1.8550289766932258E-2</v>
      </c>
      <c r="K227" s="157">
        <v>5.4995373668006841E-3</v>
      </c>
      <c r="L227" s="157">
        <v>8.87119865777212E-3</v>
      </c>
      <c r="M227" s="157">
        <v>2.834959451560766E-3</v>
      </c>
      <c r="N227" s="157">
        <v>0.63810393746997618</v>
      </c>
      <c r="O227" s="157">
        <v>0.16570550971293077</v>
      </c>
      <c r="P227" s="162">
        <v>1.2205943949207371E-3</v>
      </c>
    </row>
    <row r="228" spans="2:16" hidden="1" outlineLevel="1"/>
    <row r="229" spans="2:16" ht="14.5" hidden="1" outlineLevel="1" thickBot="1">
      <c r="B229" s="1251" t="s">
        <v>4003</v>
      </c>
      <c r="C229" s="3"/>
    </row>
    <row r="230" spans="2:16" ht="15" hidden="1" outlineLevel="1" thickBot="1">
      <c r="B230" s="934"/>
      <c r="C230" s="1658" t="s">
        <v>4004</v>
      </c>
      <c r="D230" s="1658"/>
      <c r="E230" s="1658" t="s">
        <v>4005</v>
      </c>
      <c r="F230" s="1659"/>
    </row>
    <row r="231" spans="2:16" ht="72.5" hidden="1" outlineLevel="1">
      <c r="B231" s="1014"/>
      <c r="C231" s="933" t="s">
        <v>2746</v>
      </c>
      <c r="D231" s="933" t="s">
        <v>2747</v>
      </c>
      <c r="E231" s="933" t="s">
        <v>2746</v>
      </c>
      <c r="F231" s="944" t="s">
        <v>2747</v>
      </c>
      <c r="H231" s="934"/>
      <c r="I231" s="379" t="s">
        <v>4006</v>
      </c>
    </row>
    <row r="232" spans="2:16" hidden="1" outlineLevel="1">
      <c r="B232" s="926" t="s">
        <v>4007</v>
      </c>
      <c r="C232" s="1318">
        <v>0.7311784733681771</v>
      </c>
      <c r="D232" s="1318">
        <v>0.2688215266318229</v>
      </c>
      <c r="E232" s="1318">
        <v>0.63408151783808953</v>
      </c>
      <c r="F232" s="1452">
        <v>0.36591848216191047</v>
      </c>
      <c r="H232" s="926" t="s">
        <v>4007</v>
      </c>
      <c r="I232" s="1024">
        <f>AVERAGE(F232,D232)</f>
        <v>0.31737000439686669</v>
      </c>
    </row>
    <row r="233" spans="2:16" hidden="1" outlineLevel="1">
      <c r="B233" s="926" t="s">
        <v>4008</v>
      </c>
      <c r="C233" s="1318">
        <v>0.73671604574339089</v>
      </c>
      <c r="D233" s="1318">
        <v>0.26328395425660911</v>
      </c>
      <c r="E233" s="1318">
        <v>0.50871060495010434</v>
      </c>
      <c r="F233" s="1452">
        <v>0.49128939504989572</v>
      </c>
      <c r="H233" s="926" t="s">
        <v>4008</v>
      </c>
      <c r="I233" s="320">
        <f>AVERAGE(F233,D233)</f>
        <v>0.37728667465325239</v>
      </c>
    </row>
    <row r="234" spans="2:16" hidden="1" outlineLevel="1">
      <c r="B234" s="926" t="s">
        <v>4009</v>
      </c>
      <c r="C234" s="1318">
        <v>0.1999550631262898</v>
      </c>
      <c r="D234" s="1318">
        <v>0.80004493687371026</v>
      </c>
      <c r="E234" s="1318">
        <v>0.12076277839825234</v>
      </c>
      <c r="F234" s="1452">
        <v>0.87923722160174766</v>
      </c>
      <c r="H234" s="926" t="s">
        <v>4009</v>
      </c>
      <c r="I234" s="320">
        <f>AVERAGE(F234,D234)</f>
        <v>0.8396410792377289</v>
      </c>
    </row>
    <row r="235" spans="2:16" hidden="1" outlineLevel="1">
      <c r="B235" s="926" t="s">
        <v>4010</v>
      </c>
      <c r="C235" s="1318">
        <v>0.76903831304679393</v>
      </c>
      <c r="D235" s="1318">
        <v>0.23096168695320607</v>
      </c>
      <c r="E235" s="1318">
        <v>0.83338280386132346</v>
      </c>
      <c r="F235" s="1452">
        <v>0.16661719613867648</v>
      </c>
      <c r="H235" s="926" t="s">
        <v>4010</v>
      </c>
      <c r="I235" s="1024">
        <f>AVERAGE(F235,D235)</f>
        <v>0.19878944154594128</v>
      </c>
    </row>
    <row r="236" spans="2:16" ht="14.5" hidden="1" outlineLevel="1" thickBot="1">
      <c r="B236" s="927" t="s">
        <v>4011</v>
      </c>
      <c r="C236" s="1410">
        <v>0.82881370067266913</v>
      </c>
      <c r="D236" s="1410">
        <v>0.17118629932733084</v>
      </c>
      <c r="E236" s="1410">
        <v>0.93375192672369878</v>
      </c>
      <c r="F236" s="1453">
        <v>6.6248073276301223E-2</v>
      </c>
      <c r="H236" s="927" t="s">
        <v>4011</v>
      </c>
      <c r="I236" s="321">
        <f>AVERAGE(F236,D236)</f>
        <v>0.11871718630181603</v>
      </c>
    </row>
    <row r="237" spans="2:16" hidden="1" outlineLevel="1"/>
    <row r="238" spans="2:16" hidden="1" outlineLevel="1">
      <c r="B238" s="1251" t="s">
        <v>4012</v>
      </c>
    </row>
    <row r="239" spans="2:16" hidden="1" outlineLevel="1"/>
    <row r="240" spans="2:16" ht="14.5" hidden="1" outlineLevel="1" thickBot="1">
      <c r="B240" s="1251" t="s">
        <v>540</v>
      </c>
    </row>
    <row r="241" spans="2:6" ht="58" hidden="1" outlineLevel="1">
      <c r="B241" s="123"/>
      <c r="C241" s="158" t="s">
        <v>541</v>
      </c>
      <c r="D241" s="158" t="s">
        <v>649</v>
      </c>
      <c r="E241" s="158" t="s">
        <v>4013</v>
      </c>
      <c r="F241" s="159" t="s">
        <v>543</v>
      </c>
    </row>
    <row r="242" spans="2:6" hidden="1" outlineLevel="1">
      <c r="B242" s="926" t="s">
        <v>3874</v>
      </c>
      <c r="C242" s="180">
        <f>SUMPRODUCT(D220:P220,'Annexe - Logistique'!D$12:P$12)/(1+(1/3)*O220) + (1/3)*O220*'Annexe - Logistique'!Q$12</f>
        <v>948.83004453321109</v>
      </c>
      <c r="D242" s="180">
        <f>I$235*SUMPRODUCT(D220:P220,'Annexe - Logistique'!D$16:P$16)/(1+(1/3)*O220)</f>
        <v>856.22845907697535</v>
      </c>
      <c r="E242" s="180">
        <f>(1-I$235)*SUMPRODUCT(D220:P220,'Annexe - Logistique'!D$13:P$13)/(1+(1/3)*O220)</f>
        <v>5466.5992733368621</v>
      </c>
      <c r="F242" s="17">
        <f>500</f>
        <v>500</v>
      </c>
    </row>
    <row r="243" spans="2:6" hidden="1" outlineLevel="1">
      <c r="B243" s="926" t="s">
        <v>3875</v>
      </c>
      <c r="C243" s="180">
        <f>SUMPRODUCT(D221:P221,'Annexe - Logistique'!D$12:P$12)/(1+(1/3)*O221) + (1/3)*O221*'Annexe - Logistique'!Q$12</f>
        <v>949.82004171588142</v>
      </c>
      <c r="D243" s="180">
        <f>I$235*SUMPRODUCT(D221:P221,'Annexe - Logistique'!D$16:P$16)/(1+(1/3)*O221)</f>
        <v>800.1303073117989</v>
      </c>
      <c r="E243" s="180">
        <f>(1-I$235)*SUMPRODUCT(D221:P221,'Annexe - Logistique'!D$13:P$13)/(1+(1/3)*O221)</f>
        <v>4373.2016998887948</v>
      </c>
      <c r="F243" s="17">
        <f>500</f>
        <v>500</v>
      </c>
    </row>
    <row r="244" spans="2:6" hidden="1" outlineLevel="1">
      <c r="B244" s="926" t="s">
        <v>3876</v>
      </c>
      <c r="C244" s="180">
        <f>SUMPRODUCT(D225:P225,'Annexe - Logistique'!D$12:P$12)/(1+(1/3)*O225) + (1/3)*O225*'Annexe - Logistique'!Q$12</f>
        <v>952.32922634660986</v>
      </c>
      <c r="D244" s="180">
        <f>I$235*SUMPRODUCT(D225:P225,'Annexe - Logistique'!D$16:P$16)/(1+(1/3)*O225)</f>
        <v>992.5470413531873</v>
      </c>
      <c r="E244" s="180">
        <f>(1-I$235)*SUMPRODUCT(D225:P225,'Annexe - Logistique'!D$13:P$13)/(1+(1/3)*O225)</f>
        <v>6958.2364080655634</v>
      </c>
      <c r="F244" s="17">
        <f>500</f>
        <v>500</v>
      </c>
    </row>
    <row r="245" spans="2:6" hidden="1" outlineLevel="1">
      <c r="B245" s="926" t="s">
        <v>3877</v>
      </c>
      <c r="C245" s="180">
        <f>SUMPRODUCT(D222:P222,'Annexe - Logistique'!D$12:P$12)/(1+(1/3)*O222) + (1/3)*O222*'Annexe - Logistique'!Q$12</f>
        <v>954.03681342168647</v>
      </c>
      <c r="D245" s="180">
        <f>I$235*SUMPRODUCT(D222:P222,'Annexe - Logistique'!D$16:P$16)/(1+(1/3)*O222)</f>
        <v>975.34943511549193</v>
      </c>
      <c r="E245" s="180">
        <f>(1-I$235)*SUMPRODUCT(D222:P222,'Annexe - Logistique'!D$13:P$13)/(1+(1/3)*O222)</f>
        <v>6646.3050343177465</v>
      </c>
      <c r="F245" s="17">
        <f>500</f>
        <v>500</v>
      </c>
    </row>
    <row r="246" spans="2:6" hidden="1" outlineLevel="1">
      <c r="B246" s="926" t="s">
        <v>3878</v>
      </c>
      <c r="C246" s="180">
        <f>SUMPRODUCT(D227:P227,'Annexe - Logistique'!D$12:P$12)/(1+(1/3)*O227) + (1/3)*O227*'Annexe - Logistique'!Q$12</f>
        <v>975.96766385229239</v>
      </c>
      <c r="D246" s="180">
        <f>I$234*SUMPRODUCT(D227:P227,'Annexe - Logistique'!D$16:P$16)/(1+(1/3)*O227)</f>
        <v>5362.570134078027</v>
      </c>
      <c r="E246" s="180">
        <f>(1-I$234)*SUMPRODUCT(D227:P227,'Annexe - Logistique'!D$13:P$13)/(1+(1/3)*O227)</f>
        <v>1373.6875674210969</v>
      </c>
      <c r="F246" s="17">
        <f>500</f>
        <v>500</v>
      </c>
    </row>
    <row r="247" spans="2:6" hidden="1" outlineLevel="1">
      <c r="B247" s="926" t="s">
        <v>3879</v>
      </c>
      <c r="C247" s="180">
        <f>SUMPRODUCT(D226:P226,'Annexe - Logistique'!D$12:P$12)/(1+(1/3)*O226) + (1/3)*O226*'Annexe - Logistique'!Q$12</f>
        <v>1020.5033032323212</v>
      </c>
      <c r="D247" s="180">
        <f>I$235*SUMPRODUCT(D226:P226,'Annexe - Logistique'!D$16:P$16)/(1+(1/3)*O226)</f>
        <v>945.12502803363463</v>
      </c>
      <c r="E247" s="180">
        <f>(1-I$235)*SUMPRODUCT(D226:P226,'Annexe - Logistique'!D$13:P$13)/(1+(1/3)*O226)</f>
        <v>6244.8509426007176</v>
      </c>
      <c r="F247" s="17">
        <f>500</f>
        <v>500</v>
      </c>
    </row>
    <row r="248" spans="2:6" hidden="1" outlineLevel="1">
      <c r="B248" s="926" t="s">
        <v>3880</v>
      </c>
      <c r="C248" s="180">
        <f>SUMPRODUCT(D226:P226,'Annexe - Logistique'!D$12:P$12)/(1+(1/3)*O226) + (1/3)*O226*'Annexe - Logistique'!Q$12</f>
        <v>1020.5033032323212</v>
      </c>
      <c r="D248" s="180">
        <f>I$235*SUMPRODUCT(D226:P226,'Annexe - Logistique'!D$16:P$16)/(1+(1/3)*O226)</f>
        <v>945.12502803363463</v>
      </c>
      <c r="E248" s="180">
        <f>(1-I$235)*SUMPRODUCT(D226:P226,'Annexe - Logistique'!D$13:P$13)/(1+(1/3)*O226)</f>
        <v>6244.8509426007176</v>
      </c>
      <c r="F248" s="17">
        <f>500</f>
        <v>500</v>
      </c>
    </row>
    <row r="249" spans="2:6" hidden="1" outlineLevel="1">
      <c r="B249" s="926" t="s">
        <v>3881</v>
      </c>
      <c r="C249" s="180">
        <f>SUMPRODUCT(D226:P226,'Annexe - Logistique'!D$12:P$12)/(1+(1/3)*O226) + (1/3)*O226*'Annexe - Logistique'!Q$12</f>
        <v>1020.5033032323212</v>
      </c>
      <c r="D249" s="180">
        <f>I$235*SUMPRODUCT(D226:P226,'Annexe - Logistique'!D$16:P$16)/(1+(1/3)*O226)</f>
        <v>945.12502803363463</v>
      </c>
      <c r="E249" s="180">
        <f>(1-I$235)*SUMPRODUCT(D226:P226,'Annexe - Logistique'!D$13:P$13)/(1+(1/3)*O226)</f>
        <v>6244.8509426007176</v>
      </c>
      <c r="F249" s="17">
        <f>500</f>
        <v>500</v>
      </c>
    </row>
    <row r="250" spans="2:6" hidden="1" outlineLevel="1">
      <c r="B250" s="926" t="s">
        <v>3882</v>
      </c>
      <c r="C250" s="180">
        <f>SUMPRODUCT(D219:P219,'Annexe - Logistique'!D$12:P$12)/(1+(1/3)*O219) + (1/3)*O219*'Annexe - Logistique'!Q$12</f>
        <v>940.57012343349629</v>
      </c>
      <c r="D250" s="180">
        <f>I$232*SUMPRODUCT(D219:P219,'Annexe - Logistique'!D$16:P$16)/(1+(1/3)*O219)</f>
        <v>384.70653748515451</v>
      </c>
      <c r="E250" s="180">
        <f>(1-I$232)*SUMPRODUCT(D219:P219,'Annexe - Logistique'!D$13:P$13)/(1+(1/3)*O219)</f>
        <v>1170.1242149791385</v>
      </c>
      <c r="F250" s="17">
        <f>500</f>
        <v>500</v>
      </c>
    </row>
    <row r="251" spans="2:6" hidden="1" outlineLevel="1">
      <c r="B251" s="926" t="s">
        <v>3883</v>
      </c>
      <c r="C251" s="180">
        <f>SUMPRODUCT(D219:P219,'Annexe - Logistique'!D$12:P$12)/(1+(1/3)*O219) + (1/3)*O219*'Annexe - Logistique'!Q$12</f>
        <v>940.57012343349629</v>
      </c>
      <c r="D251" s="180">
        <f>I$232*SUMPRODUCT(D219:P219,'Annexe - Logistique'!D$16:P$16)/(1+(1/3)*O219)</f>
        <v>384.70653748515451</v>
      </c>
      <c r="E251" s="180">
        <f>(1-I$232)*SUMPRODUCT(D219:P219,'Annexe - Logistique'!D$13:P$13)/(1+(1/3)*O219)</f>
        <v>1170.1242149791385</v>
      </c>
      <c r="F251" s="17">
        <f>500</f>
        <v>500</v>
      </c>
    </row>
    <row r="252" spans="2:6" hidden="1" outlineLevel="1">
      <c r="B252" s="926" t="s">
        <v>3884</v>
      </c>
      <c r="C252" s="180">
        <f>SUMPRODUCT(D227:P227,'Annexe - Logistique'!D$12:P$12)/(1+(1/3)*O227) + (1/3)*O227*'Annexe - Logistique'!Q$12</f>
        <v>975.96766385229239</v>
      </c>
      <c r="D252" s="180">
        <f>I$234*SUMPRODUCT(D227:P227,'Annexe - Logistique'!D$16:P$16)/(1+(1/3)*O227)</f>
        <v>5362.570134078027</v>
      </c>
      <c r="E252" s="180">
        <f>(1-I$234)*SUMPRODUCT(D227:P227,'Annexe - Logistique'!D$13:P$13)/(1+(1/3)*O227)</f>
        <v>1373.6875674210969</v>
      </c>
      <c r="F252" s="17">
        <f>500</f>
        <v>500</v>
      </c>
    </row>
    <row r="253" spans="2:6" hidden="1" outlineLevel="1">
      <c r="B253" s="926" t="s">
        <v>3885</v>
      </c>
      <c r="C253" s="180">
        <f>SUMPRODUCT(D221:P221,'Annexe - Logistique'!D$12:P$12)/(1+(1/3)*O221) + (1/3)*O221*'Annexe - Logistique'!Q$12</f>
        <v>949.82004171588142</v>
      </c>
      <c r="D253" s="180">
        <f>I$235*SUMPRODUCT(D221:P221,'Annexe - Logistique'!D$16:P$16)/(1+(1/3)*O221)</f>
        <v>800.1303073117989</v>
      </c>
      <c r="E253" s="180">
        <f>(1-I$235)*SUMPRODUCT(D221:P221,'Annexe - Logistique'!D$13:P$13)/(1+(1/3)*O221)</f>
        <v>4373.2016998887948</v>
      </c>
      <c r="F253" s="17">
        <f>500</f>
        <v>500</v>
      </c>
    </row>
    <row r="254" spans="2:6" ht="14.5" hidden="1" outlineLevel="1" thickBot="1">
      <c r="B254" s="927" t="s">
        <v>3886</v>
      </c>
      <c r="C254" s="18">
        <f>SUMPRODUCT(D226:P226,'Annexe - Logistique'!D$12:P$12)/(1+(1/3)*O226) + (1/3)*O226*'Annexe - Logistique'!Q$12</f>
        <v>1020.5033032323212</v>
      </c>
      <c r="D254" s="18">
        <f>I$235*SUMPRODUCT(D226:P226,'Annexe - Logistique'!D$16:P$16)/(1+(1/3)*O226)</f>
        <v>945.12502803363463</v>
      </c>
      <c r="E254" s="18">
        <f>(1-I$235)*SUMPRODUCT(D226:P226,'Annexe - Logistique'!D$13:P$13)/(1+(1/3)*O226)</f>
        <v>6244.8509426007176</v>
      </c>
      <c r="F254" s="38">
        <f>500</f>
        <v>500</v>
      </c>
    </row>
    <row r="255" spans="2:6" hidden="1" outlineLevel="1"/>
    <row r="256" spans="2:6" ht="14.5" hidden="1" outlineLevel="1" thickBot="1">
      <c r="B256" s="1251" t="s">
        <v>361</v>
      </c>
    </row>
    <row r="257" spans="2:8" ht="43.5" hidden="1" outlineLevel="1">
      <c r="B257" s="123" t="s">
        <v>4014</v>
      </c>
      <c r="C257" s="158" t="s">
        <v>4015</v>
      </c>
      <c r="D257" s="158" t="s">
        <v>4016</v>
      </c>
      <c r="E257" s="158" t="s">
        <v>4017</v>
      </c>
      <c r="F257" s="158" t="s">
        <v>4018</v>
      </c>
      <c r="G257" s="159" t="s">
        <v>4019</v>
      </c>
      <c r="H257" s="300" t="s">
        <v>2333</v>
      </c>
    </row>
    <row r="258" spans="2:8" hidden="1" outlineLevel="1">
      <c r="B258" s="926" t="s">
        <v>3874</v>
      </c>
      <c r="C258" s="168">
        <f>(1+$H$205)*C242*'Annexe - Logistique'!D$29/10^3</f>
        <v>0.29077811395238529</v>
      </c>
      <c r="D258" s="168">
        <f>(1+$H$205)*D242*'Annexe - Logistique'!D$26/10^3</f>
        <v>1.5511298447401984</v>
      </c>
      <c r="E258" s="168">
        <f>(1+$H$205)*E242*'Annexe - Logistique'!D$28/10^3</f>
        <v>0.37384595899164785</v>
      </c>
      <c r="F258" s="1025">
        <f>(1+H$205)*F242*'Annexe - Logistique'!D$30/10^3</f>
        <v>0.11699813845726406</v>
      </c>
      <c r="G258" s="17">
        <f>'Annexe - Logistique'!C$42</f>
        <v>0.255</v>
      </c>
      <c r="H258" s="1026">
        <f>SUM(C258:G258)</f>
        <v>2.5877520561414955</v>
      </c>
    </row>
    <row r="259" spans="2:8" hidden="1" outlineLevel="1">
      <c r="B259" s="926" t="s">
        <v>3875</v>
      </c>
      <c r="C259" s="168">
        <f>(1+H$203)*C243*'Annexe - Logistique'!D$29/10^3</f>
        <v>0.23599194571315352</v>
      </c>
      <c r="D259" s="168">
        <f>(1+$H$203)*D243*'Annexe - Logistique'!D$26/10^3</f>
        <v>1.1751729350437712</v>
      </c>
      <c r="E259" s="168">
        <f>(1+$H$203)*E243*'Annexe - Logistique'!D$28/10^3</f>
        <v>0.2424697273572648</v>
      </c>
      <c r="F259" s="168">
        <f>(1+H$203)*F243*'Annexe - Logistique'!D$30/10^3</f>
        <v>9.4855281314406917E-2</v>
      </c>
      <c r="G259" s="17">
        <f>'Annexe - Logistique'!C$42</f>
        <v>0.255</v>
      </c>
      <c r="H259" s="1026">
        <f t="shared" ref="H259:H270" si="20">SUM(C259:G259)</f>
        <v>2.0034898894285966</v>
      </c>
    </row>
    <row r="260" spans="2:8" hidden="1" outlineLevel="1">
      <c r="B260" s="926" t="s">
        <v>3876</v>
      </c>
      <c r="C260" s="168">
        <f>(1+H$204)*C244*'Annexe - Logistique'!D$29/10^3</f>
        <v>0.23661537682341879</v>
      </c>
      <c r="D260" s="168">
        <f>(1+$H$204)*D244*'Annexe - Logistique'!D$26/10^3</f>
        <v>1.4577805753600859</v>
      </c>
      <c r="E260" s="168">
        <f>(1+$H$204)*E244*'Annexe - Logistique'!D$28/10^3</f>
        <v>0.38579553392059485</v>
      </c>
      <c r="F260" s="168">
        <f>(1+H$204)*F244*'Annexe - Logistique'!D$30/10^3</f>
        <v>9.4855281314406917E-2</v>
      </c>
      <c r="G260" s="17">
        <f>'Annexe - Logistique'!C$42</f>
        <v>0.255</v>
      </c>
      <c r="H260" s="1026">
        <f t="shared" si="20"/>
        <v>2.430046767418506</v>
      </c>
    </row>
    <row r="261" spans="2:8" hidden="1" outlineLevel="1">
      <c r="B261" s="926" t="s">
        <v>3877</v>
      </c>
      <c r="C261" s="168">
        <f>(1+H$203)*C245*'Annexe - Logistique'!D$29/10^3</f>
        <v>0.23703964329351135</v>
      </c>
      <c r="D261" s="168">
        <f>(1+$H$203)*D245*'Annexe - Logistique'!D$26/10^3</f>
        <v>1.4325219878357867</v>
      </c>
      <c r="E261" s="168">
        <f>(1+$H$203)*E245*'Annexe - Logistique'!D$28/10^3</f>
        <v>0.36850067300696859</v>
      </c>
      <c r="F261" s="168">
        <f>(1+H$203)*F245*'Annexe - Logistique'!D$30/10^3</f>
        <v>9.4855281314406917E-2</v>
      </c>
      <c r="G261" s="17">
        <f>'Annexe - Logistique'!C$42</f>
        <v>0.255</v>
      </c>
      <c r="H261" s="1026">
        <f t="shared" si="20"/>
        <v>2.3879175854506731</v>
      </c>
    </row>
    <row r="262" spans="2:8" hidden="1" outlineLevel="1">
      <c r="B262" s="926" t="s">
        <v>3878</v>
      </c>
      <c r="C262" s="168">
        <f>(1+H$204)*C246*'Annexe - Logistique'!D$29/10^3</f>
        <v>0.24248857449832475</v>
      </c>
      <c r="D262" s="168">
        <f>(1+$H$204)*D246*'Annexe - Logistique'!D$26/10^3</f>
        <v>7.8761512046896742</v>
      </c>
      <c r="E262" s="168">
        <f>(1+$H$204)*E246*'Annexe - Logistique'!D$28/10^3</f>
        <v>7.616334045491828E-2</v>
      </c>
      <c r="F262" s="168">
        <f>(1+H$204)*F246*'Annexe - Logistique'!D$30/10^3</f>
        <v>9.4855281314406917E-2</v>
      </c>
      <c r="G262" s="17">
        <f>'Annexe - Logistique'!C$42</f>
        <v>0.255</v>
      </c>
      <c r="H262" s="1026">
        <f t="shared" si="20"/>
        <v>8.5446584009573261</v>
      </c>
    </row>
    <row r="263" spans="2:8" hidden="1" outlineLevel="1">
      <c r="B263" s="926" t="s">
        <v>3879</v>
      </c>
      <c r="C263" s="168">
        <f>(1+H$203)*C247*'Annexe - Logistique'!D$29/10^3</f>
        <v>0.2535538834297783</v>
      </c>
      <c r="D263" s="168">
        <f>(1+$H$203)*D247*'Annexe - Logistique'!D$26/10^3</f>
        <v>1.3881305870154912</v>
      </c>
      <c r="E263" s="168">
        <f>(1+$H$203)*E247*'Annexe - Logistique'!D$28/10^3</f>
        <v>0.34624227496245097</v>
      </c>
      <c r="F263" s="168">
        <f>(1+H$203)*F247*'Annexe - Logistique'!D$30/10^3</f>
        <v>9.4855281314406917E-2</v>
      </c>
      <c r="G263" s="17">
        <f>'Annexe - Logistique'!C$42</f>
        <v>0.255</v>
      </c>
      <c r="H263" s="1026">
        <f t="shared" si="20"/>
        <v>2.3377820267221274</v>
      </c>
    </row>
    <row r="264" spans="2:8" hidden="1" outlineLevel="1">
      <c r="B264" s="926" t="s">
        <v>3880</v>
      </c>
      <c r="C264" s="168">
        <f>(1+H$203)*C248*'Annexe - Logistique'!D$29/10^3</f>
        <v>0.2535538834297783</v>
      </c>
      <c r="D264" s="168">
        <f>(1+$H$203)*D248*'Annexe - Logistique'!D$26/10^3</f>
        <v>1.3881305870154912</v>
      </c>
      <c r="E264" s="168">
        <f>(1+$H$203)*E248*'Annexe - Logistique'!D$28/10^3</f>
        <v>0.34624227496245097</v>
      </c>
      <c r="F264" s="168">
        <f>(1+H$203)*F248*'Annexe - Logistique'!D$30/10^3</f>
        <v>9.4855281314406917E-2</v>
      </c>
      <c r="G264" s="17">
        <f>'Annexe - Logistique'!C$42</f>
        <v>0.255</v>
      </c>
      <c r="H264" s="1026">
        <f t="shared" si="20"/>
        <v>2.3377820267221274</v>
      </c>
    </row>
    <row r="265" spans="2:8" hidden="1" outlineLevel="1">
      <c r="B265" s="926" t="s">
        <v>3881</v>
      </c>
      <c r="C265" s="168">
        <f>(1+H$203)*C249*'Annexe - Logistique'!D$29/10^3</f>
        <v>0.2535538834297783</v>
      </c>
      <c r="D265" s="168">
        <f>(1+$H$203)*D249*'Annexe - Logistique'!D$26/10^3</f>
        <v>1.3881305870154912</v>
      </c>
      <c r="E265" s="168">
        <f>(1+$H$203)*E249*'Annexe - Logistique'!D$28/10^3</f>
        <v>0.34624227496245097</v>
      </c>
      <c r="F265" s="168">
        <f>(1+H$203)*F249*'Annexe - Logistique'!D$30/10^3</f>
        <v>9.4855281314406917E-2</v>
      </c>
      <c r="G265" s="17">
        <f>'Annexe - Logistique'!C$42</f>
        <v>0.255</v>
      </c>
      <c r="H265" s="1026">
        <f t="shared" si="20"/>
        <v>2.3377820267221274</v>
      </c>
    </row>
    <row r="266" spans="2:8" hidden="1" outlineLevel="1">
      <c r="B266" s="926" t="s">
        <v>3882</v>
      </c>
      <c r="C266" s="168">
        <f>(1+H$203)*C250*'Annexe - Logistique'!D$29/10^3</f>
        <v>0.23369371434586816</v>
      </c>
      <c r="D266" s="168">
        <f>(1+$H$203)*D250*'Annexe - Logistique'!D$26/10^3</f>
        <v>0.56502885424483773</v>
      </c>
      <c r="E266" s="168">
        <f>(1+$H$203)*E250*'Annexe - Logistique'!D$28/10^3</f>
        <v>6.4876883997218734E-2</v>
      </c>
      <c r="F266" s="168">
        <f>(1+H$203)*F250*'Annexe - Logistique'!D$30/10^3</f>
        <v>9.4855281314406917E-2</v>
      </c>
      <c r="G266" s="17">
        <f>'Annexe - Logistique'!C$42</f>
        <v>0.255</v>
      </c>
      <c r="H266" s="1026">
        <f t="shared" si="20"/>
        <v>1.2134547339023314</v>
      </c>
    </row>
    <row r="267" spans="2:8" hidden="1" outlineLevel="1">
      <c r="B267" s="926" t="s">
        <v>3883</v>
      </c>
      <c r="C267" s="168">
        <f>(1+H$203)*C251*'Annexe - Logistique'!D$29/10^3</f>
        <v>0.23369371434586816</v>
      </c>
      <c r="D267" s="168">
        <f>(1+$H$203)*D251*'Annexe - Logistique'!D$26/10^3</f>
        <v>0.56502885424483773</v>
      </c>
      <c r="E267" s="168">
        <f>(1+$H$203)*E251*'Annexe - Logistique'!D$28/10^3</f>
        <v>6.4876883997218734E-2</v>
      </c>
      <c r="F267" s="168">
        <f>(1+H$203)*F251*'Annexe - Logistique'!D$30/10^3</f>
        <v>9.4855281314406917E-2</v>
      </c>
      <c r="G267" s="17">
        <f>'Annexe - Logistique'!C$42</f>
        <v>0.255</v>
      </c>
      <c r="H267" s="1026">
        <f t="shared" si="20"/>
        <v>1.2134547339023314</v>
      </c>
    </row>
    <row r="268" spans="2:8" hidden="1" outlineLevel="1">
      <c r="B268" s="926" t="s">
        <v>3884</v>
      </c>
      <c r="C268" s="168">
        <f>(1+H$203)*C252*'Annexe - Logistique'!D$29/10^3</f>
        <v>0.24248857449832475</v>
      </c>
      <c r="D268" s="168">
        <f>(1+$H$203)*D252*'Annexe - Logistique'!D$26/10^3</f>
        <v>7.8761512046896742</v>
      </c>
      <c r="E268" s="168">
        <f>(1+$H$203)*E252*'Annexe - Logistique'!D$28/10^3</f>
        <v>7.616334045491828E-2</v>
      </c>
      <c r="F268" s="168">
        <f>(1+H$203)*F252*'Annexe - Logistique'!D$30/10^3</f>
        <v>9.4855281314406917E-2</v>
      </c>
      <c r="G268" s="17">
        <f>'Annexe - Logistique'!C$42</f>
        <v>0.255</v>
      </c>
      <c r="H268" s="1026">
        <f t="shared" si="20"/>
        <v>8.5446584009573261</v>
      </c>
    </row>
    <row r="269" spans="2:8" hidden="1" outlineLevel="1">
      <c r="B269" s="926" t="s">
        <v>3885</v>
      </c>
      <c r="C269" s="168">
        <f>(1+H$203)*C253*'Annexe - Logistique'!D$29/10^3</f>
        <v>0.23599194571315352</v>
      </c>
      <c r="D269" s="168">
        <f>(1+$H$203)*D253*'Annexe - Logistique'!D$26/10^3</f>
        <v>1.1751729350437712</v>
      </c>
      <c r="E269" s="168">
        <f>(1+$H$203)*E253*'Annexe - Logistique'!D$28/10^3</f>
        <v>0.2424697273572648</v>
      </c>
      <c r="F269" s="168">
        <f>(1+H$203)*F253*'Annexe - Logistique'!D$30/10^3</f>
        <v>9.4855281314406917E-2</v>
      </c>
      <c r="G269" s="17">
        <f>'Annexe - Logistique'!C$42</f>
        <v>0.255</v>
      </c>
      <c r="H269" s="1026">
        <f t="shared" si="20"/>
        <v>2.0034898894285966</v>
      </c>
    </row>
    <row r="270" spans="2:8" ht="14.5" hidden="1" outlineLevel="1" thickBot="1">
      <c r="B270" s="927" t="s">
        <v>3886</v>
      </c>
      <c r="C270" s="170">
        <f>(1+H$203)*C254*'Annexe - Logistique'!D$29/10^3</f>
        <v>0.2535538834297783</v>
      </c>
      <c r="D270" s="170">
        <f>(1+$H$203)*D254*'Annexe - Logistique'!D$26/10^3</f>
        <v>1.3881305870154912</v>
      </c>
      <c r="E270" s="170">
        <f>(1+$H$203)*E254*'Annexe - Logistique'!D$28/10^3</f>
        <v>0.34624227496245097</v>
      </c>
      <c r="F270" s="170">
        <f>(1+H$203)*F254*'Annexe - Logistique'!D$30/10^3</f>
        <v>9.4855281314406917E-2</v>
      </c>
      <c r="G270" s="38">
        <f>'Annexe - Logistique'!C$42</f>
        <v>0.255</v>
      </c>
      <c r="H270" s="1027">
        <f t="shared" si="20"/>
        <v>2.3377820267221274</v>
      </c>
    </row>
    <row r="271" spans="2:8" hidden="1" outlineLevel="1"/>
    <row r="272" spans="2:8" collapsed="1"/>
    <row r="273" spans="2:4" ht="20">
      <c r="B273" s="216" t="s">
        <v>4020</v>
      </c>
    </row>
    <row r="275" spans="2:4">
      <c r="B275" s="3" t="s">
        <v>4021</v>
      </c>
    </row>
    <row r="277" spans="2:4" hidden="1" outlineLevel="1">
      <c r="B277" s="1251" t="s">
        <v>4022</v>
      </c>
    </row>
    <row r="278" spans="2:4" hidden="1" outlineLevel="1">
      <c r="B278" s="1251" t="s">
        <v>4023</v>
      </c>
    </row>
    <row r="279" spans="2:4" ht="14.5" hidden="1" outlineLevel="1" thickBot="1">
      <c r="B279" s="1251" t="s">
        <v>4024</v>
      </c>
    </row>
    <row r="280" spans="2:4" ht="29" hidden="1" outlineLevel="1">
      <c r="B280" s="934" t="s">
        <v>4025</v>
      </c>
      <c r="C280" s="379" t="s">
        <v>4026</v>
      </c>
    </row>
    <row r="281" spans="2:4" hidden="1" outlineLevel="1">
      <c r="B281" s="926" t="s">
        <v>4027</v>
      </c>
      <c r="C281" s="1277">
        <f>3300</f>
        <v>3300</v>
      </c>
    </row>
    <row r="282" spans="2:4" ht="14.5" hidden="1" outlineLevel="1" thickBot="1">
      <c r="B282" s="927" t="s">
        <v>4028</v>
      </c>
      <c r="C282" s="1334">
        <v>6889.104782429702</v>
      </c>
      <c r="D282" s="1251" t="s">
        <v>4029</v>
      </c>
    </row>
    <row r="283" spans="2:4" hidden="1" outlineLevel="1"/>
    <row r="284" spans="2:4" collapsed="1"/>
    <row r="285" spans="2:4">
      <c r="B285" s="3" t="s">
        <v>4030</v>
      </c>
    </row>
    <row r="287" spans="2:4" hidden="1" outlineLevel="1">
      <c r="B287" s="87" t="s">
        <v>4031</v>
      </c>
    </row>
    <row r="288" spans="2:4" ht="14.5" hidden="1" outlineLevel="1" thickBot="1">
      <c r="B288" s="1251" t="s">
        <v>4032</v>
      </c>
    </row>
    <row r="289" spans="2:4" ht="29" hidden="1" outlineLevel="1">
      <c r="B289" s="934" t="s">
        <v>4025</v>
      </c>
      <c r="C289" s="379" t="s">
        <v>4026</v>
      </c>
    </row>
    <row r="290" spans="2:4" ht="14.5" hidden="1" outlineLevel="1" thickBot="1">
      <c r="B290" s="927" t="s">
        <v>2432</v>
      </c>
      <c r="C290" s="1334">
        <v>126.86206957665952</v>
      </c>
      <c r="D290" s="1251" t="s">
        <v>4029</v>
      </c>
    </row>
    <row r="291" spans="2:4" hidden="1" outlineLevel="1"/>
    <row r="292" spans="2:4" collapsed="1"/>
    <row r="293" spans="2:4">
      <c r="B293" s="3" t="s">
        <v>4033</v>
      </c>
    </row>
    <row r="295" spans="2:4" hidden="1" outlineLevel="1">
      <c r="B295" s="87" t="s">
        <v>4034</v>
      </c>
    </row>
    <row r="296" spans="2:4" hidden="1" outlineLevel="1">
      <c r="B296" s="1251" t="s">
        <v>4035</v>
      </c>
    </row>
    <row r="297" spans="2:4" ht="14.5" hidden="1" outlineLevel="1" thickBot="1">
      <c r="B297" s="1251" t="s">
        <v>4036</v>
      </c>
    </row>
    <row r="298" spans="2:4" ht="29" hidden="1" outlineLevel="1">
      <c r="B298" s="934" t="s">
        <v>4025</v>
      </c>
      <c r="C298" s="379" t="s">
        <v>4037</v>
      </c>
    </row>
    <row r="299" spans="2:4" ht="14.5" hidden="1" outlineLevel="1" thickBot="1">
      <c r="B299" s="927" t="s">
        <v>4038</v>
      </c>
      <c r="C299" s="38">
        <v>87.660357640035599</v>
      </c>
      <c r="D299" s="1251" t="s">
        <v>4029</v>
      </c>
    </row>
    <row r="300" spans="2:4" hidden="1" outlineLevel="1"/>
    <row r="301" spans="2:4" collapsed="1"/>
    <row r="302" spans="2:4">
      <c r="B302" s="3" t="s">
        <v>4039</v>
      </c>
    </row>
    <row r="304" spans="2:4" hidden="1" outlineLevel="1">
      <c r="B304" s="87" t="s">
        <v>4040</v>
      </c>
    </row>
    <row r="305" spans="2:6" ht="14.5" hidden="1" outlineLevel="1" thickBot="1">
      <c r="B305" s="1251" t="s">
        <v>4041</v>
      </c>
    </row>
    <row r="306" spans="2:6" ht="29" hidden="1" outlineLevel="1">
      <c r="B306" s="934" t="s">
        <v>4025</v>
      </c>
      <c r="C306" s="374" t="s">
        <v>4042</v>
      </c>
      <c r="D306" s="379" t="s">
        <v>4037</v>
      </c>
    </row>
    <row r="307" spans="2:6" hidden="1" outlineLevel="1">
      <c r="B307" s="926" t="s">
        <v>4043</v>
      </c>
      <c r="C307" s="1307">
        <f>3120/4</f>
        <v>780</v>
      </c>
      <c r="D307" s="1277">
        <v>68.375078959227764</v>
      </c>
      <c r="E307" s="1251" t="s">
        <v>4029</v>
      </c>
    </row>
    <row r="308" spans="2:6" hidden="1" outlineLevel="1">
      <c r="B308" s="926" t="s">
        <v>4044</v>
      </c>
      <c r="C308" s="11">
        <f>66936/4</f>
        <v>16734</v>
      </c>
      <c r="D308" s="1277">
        <v>1466.9084247483559</v>
      </c>
      <c r="E308" s="1251" t="s">
        <v>4029</v>
      </c>
    </row>
    <row r="309" spans="2:6" ht="14.5" hidden="1" outlineLevel="1" thickBot="1">
      <c r="B309" s="927" t="s">
        <v>4045</v>
      </c>
      <c r="C309" s="14">
        <f>45059/4</f>
        <v>11264.75</v>
      </c>
      <c r="D309" s="1334">
        <v>987.47201372559107</v>
      </c>
      <c r="E309" s="1251" t="s">
        <v>4029</v>
      </c>
    </row>
    <row r="310" spans="2:6" hidden="1" outlineLevel="1"/>
    <row r="311" spans="2:6" ht="14.5" hidden="1" outlineLevel="1" thickBot="1">
      <c r="B311" s="87" t="s">
        <v>4046</v>
      </c>
    </row>
    <row r="312" spans="2:6" ht="29" hidden="1" outlineLevel="1">
      <c r="B312" s="934" t="s">
        <v>4025</v>
      </c>
      <c r="C312" s="374" t="s">
        <v>2570</v>
      </c>
      <c r="D312" s="374" t="s">
        <v>4047</v>
      </c>
      <c r="E312" s="936" t="s">
        <v>4048</v>
      </c>
      <c r="F312" s="379" t="s">
        <v>4037</v>
      </c>
    </row>
    <row r="313" spans="2:6" ht="14.5" hidden="1" outlineLevel="1" thickBot="1">
      <c r="B313" s="927" t="s">
        <v>4049</v>
      </c>
      <c r="C313" s="22">
        <v>177</v>
      </c>
      <c r="D313" s="22">
        <v>10.199999999999999</v>
      </c>
      <c r="E313" s="14">
        <f>D313*3*1.33*250</f>
        <v>10174.5</v>
      </c>
      <c r="F313" s="140">
        <f>E313*0.0876603576400356</f>
        <v>891.90030880854226</v>
      </c>
    </row>
    <row r="314" spans="2:6" hidden="1" outlineLevel="1">
      <c r="B314" s="87"/>
      <c r="D314" s="1251"/>
    </row>
    <row r="315" spans="2:6" collapsed="1"/>
    <row r="316" spans="2:6">
      <c r="B316" s="3" t="s">
        <v>4050</v>
      </c>
    </row>
    <row r="318" spans="2:6" hidden="1" outlineLevel="1">
      <c r="B318" s="1251" t="s">
        <v>4051</v>
      </c>
    </row>
    <row r="319" spans="2:6" ht="14.5" hidden="1" outlineLevel="1" thickBot="1"/>
    <row r="320" spans="2:6" ht="29" hidden="1" outlineLevel="1">
      <c r="B320" s="934"/>
      <c r="C320" s="379" t="s">
        <v>4052</v>
      </c>
    </row>
    <row r="321" spans="2:4" ht="14.5" hidden="1" outlineLevel="1" thickBot="1">
      <c r="B321" s="927" t="s">
        <v>4053</v>
      </c>
      <c r="C321" s="22">
        <v>0.9</v>
      </c>
    </row>
    <row r="322" spans="2:4" hidden="1" outlineLevel="1"/>
    <row r="323" spans="2:4" collapsed="1"/>
    <row r="324" spans="2:4">
      <c r="B324" s="3" t="s">
        <v>3933</v>
      </c>
    </row>
    <row r="326" spans="2:4" ht="14.5" hidden="1" outlineLevel="1" thickBot="1">
      <c r="B326" t="s">
        <v>4054</v>
      </c>
    </row>
    <row r="327" spans="2:4" ht="14.5" hidden="1" outlineLevel="1">
      <c r="B327" s="461"/>
      <c r="C327" s="462" t="s">
        <v>4055</v>
      </c>
      <c r="D327" s="463" t="s">
        <v>4056</v>
      </c>
    </row>
    <row r="328" spans="2:4" hidden="1" outlineLevel="1">
      <c r="B328" s="926" t="s">
        <v>3874</v>
      </c>
      <c r="C328" s="168">
        <f>D328*F135</f>
        <v>3.15</v>
      </c>
      <c r="D328" s="132">
        <f>C$321</f>
        <v>0.9</v>
      </c>
    </row>
    <row r="329" spans="2:4" hidden="1" outlineLevel="1">
      <c r="B329" s="926" t="s">
        <v>3875</v>
      </c>
      <c r="C329" s="168">
        <f>C290</f>
        <v>126.86206957665952</v>
      </c>
      <c r="D329" s="132">
        <f>C329/F136</f>
        <v>1.0571839131388294</v>
      </c>
    </row>
    <row r="330" spans="2:4" hidden="1" outlineLevel="1">
      <c r="B330" s="926" t="s">
        <v>3876</v>
      </c>
      <c r="C330" s="168">
        <f>C281+C282</f>
        <v>10189.104782429702</v>
      </c>
      <c r="D330" s="132">
        <f>C330/F137</f>
        <v>1.2494303841115515</v>
      </c>
    </row>
    <row r="331" spans="2:4" hidden="1" outlineLevel="1">
      <c r="B331" s="926" t="s">
        <v>3877</v>
      </c>
      <c r="C331" s="168">
        <f>C299</f>
        <v>87.660357640035599</v>
      </c>
      <c r="D331" s="132">
        <f>C331/F138</f>
        <v>0.76226397947857039</v>
      </c>
    </row>
    <row r="332" spans="2:4" hidden="1" outlineLevel="1">
      <c r="B332" s="926" t="s">
        <v>3878</v>
      </c>
      <c r="C332" s="168">
        <f>D332*F139</f>
        <v>450</v>
      </c>
      <c r="D332" s="132">
        <f>C$321</f>
        <v>0.9</v>
      </c>
    </row>
    <row r="333" spans="2:4" hidden="1" outlineLevel="1">
      <c r="B333" s="926" t="s">
        <v>3879</v>
      </c>
      <c r="C333" s="168">
        <f>D333*F140</f>
        <v>1.35</v>
      </c>
      <c r="D333" s="132">
        <f>C$321</f>
        <v>0.9</v>
      </c>
    </row>
    <row r="334" spans="2:4" hidden="1" outlineLevel="1">
      <c r="B334" s="926" t="s">
        <v>3880</v>
      </c>
      <c r="C334" s="168">
        <f>D334*F141</f>
        <v>1.8</v>
      </c>
      <c r="D334" s="132">
        <f>C$321</f>
        <v>0.9</v>
      </c>
    </row>
    <row r="335" spans="2:4" hidden="1" outlineLevel="1">
      <c r="B335" s="926" t="s">
        <v>3881</v>
      </c>
      <c r="C335" s="168">
        <f>D335*F142</f>
        <v>0.9</v>
      </c>
      <c r="D335" s="132">
        <f>C$321</f>
        <v>0.9</v>
      </c>
    </row>
    <row r="336" spans="2:4" hidden="1" outlineLevel="1">
      <c r="B336" s="926" t="s">
        <v>3882</v>
      </c>
      <c r="C336" s="168">
        <f>SUM(D307:D309)</f>
        <v>2522.7555174331746</v>
      </c>
      <c r="D336" s="132">
        <f>C336/F143</f>
        <v>2.5227555174331746</v>
      </c>
    </row>
    <row r="337" spans="2:6" hidden="1" outlineLevel="1">
      <c r="B337" s="926" t="s">
        <v>3883</v>
      </c>
      <c r="C337" s="168">
        <f>F313</f>
        <v>891.90030880854226</v>
      </c>
      <c r="D337" s="132">
        <f>C337/F144</f>
        <v>3.5676012352341688</v>
      </c>
    </row>
    <row r="338" spans="2:6" hidden="1" outlineLevel="1">
      <c r="B338" s="926" t="s">
        <v>3884</v>
      </c>
      <c r="C338" s="168">
        <f>D338*F145</f>
        <v>180</v>
      </c>
      <c r="D338" s="132">
        <f>C$321</f>
        <v>0.9</v>
      </c>
    </row>
    <row r="339" spans="2:6" hidden="1" outlineLevel="1">
      <c r="B339" s="926" t="s">
        <v>3885</v>
      </c>
      <c r="C339" s="168">
        <f>D339*F146</f>
        <v>7.2</v>
      </c>
      <c r="D339" s="132">
        <f>C$321</f>
        <v>0.9</v>
      </c>
      <c r="F339" s="579"/>
    </row>
    <row r="340" spans="2:6" ht="14.5" hidden="1" outlineLevel="1" thickBot="1">
      <c r="B340" s="927" t="s">
        <v>3886</v>
      </c>
      <c r="C340" s="170">
        <f>D340*F147</f>
        <v>6.3</v>
      </c>
      <c r="D340" s="209">
        <f>C$321</f>
        <v>0.9</v>
      </c>
    </row>
    <row r="341" spans="2:6" hidden="1" outlineLevel="1">
      <c r="B341" s="87"/>
      <c r="C341" s="24"/>
    </row>
    <row r="342" spans="2:6" collapsed="1"/>
    <row r="343" spans="2:6" ht="20">
      <c r="B343" s="216" t="s">
        <v>4057</v>
      </c>
    </row>
    <row r="345" spans="2:6">
      <c r="B345" s="3" t="s">
        <v>4058</v>
      </c>
    </row>
    <row r="347" spans="2:6" hidden="1" outlineLevel="1">
      <c r="B347" s="87" t="s">
        <v>4059</v>
      </c>
    </row>
    <row r="348" spans="2:6" hidden="1" outlineLevel="1">
      <c r="B348" s="1251" t="s">
        <v>4060</v>
      </c>
    </row>
    <row r="349" spans="2:6" hidden="1" outlineLevel="1"/>
    <row r="350" spans="2:6" ht="14.5" hidden="1" outlineLevel="1" thickBot="1">
      <c r="B350" s="1251" t="s">
        <v>934</v>
      </c>
    </row>
    <row r="351" spans="2:6" ht="14.5" hidden="1" outlineLevel="1" thickBot="1">
      <c r="B351" s="931" t="s">
        <v>4061</v>
      </c>
      <c r="C351" s="243">
        <v>1</v>
      </c>
    </row>
    <row r="352" spans="2:6" hidden="1" outlineLevel="1"/>
    <row r="353" spans="2:4" ht="14.5" hidden="1" outlineLevel="1" thickBot="1">
      <c r="B353" s="1251" t="s">
        <v>3872</v>
      </c>
    </row>
    <row r="354" spans="2:4" ht="15" hidden="1" outlineLevel="1" thickBot="1">
      <c r="B354" s="123"/>
      <c r="C354" s="6" t="s">
        <v>69</v>
      </c>
      <c r="D354" s="6" t="s">
        <v>301</v>
      </c>
    </row>
    <row r="355" spans="2:4" ht="14.5" hidden="1" outlineLevel="1">
      <c r="B355" s="10" t="s">
        <v>3721</v>
      </c>
      <c r="C355" s="205">
        <v>40</v>
      </c>
      <c r="D355" s="1340" t="s">
        <v>2113</v>
      </c>
    </row>
    <row r="356" spans="2:4" ht="15" hidden="1" outlineLevel="1" thickBot="1">
      <c r="B356" s="13" t="s">
        <v>73</v>
      </c>
      <c r="C356" s="22">
        <v>250</v>
      </c>
      <c r="D356" s="1285" t="s">
        <v>3439</v>
      </c>
    </row>
    <row r="357" spans="2:4" hidden="1" outlineLevel="1"/>
    <row r="358" spans="2:4" ht="14.5" hidden="1" outlineLevel="1" thickBot="1">
      <c r="B358" s="1251" t="s">
        <v>934</v>
      </c>
    </row>
    <row r="359" spans="2:4" ht="42" hidden="1" outlineLevel="1">
      <c r="B359" s="456"/>
      <c r="C359" s="405" t="s">
        <v>4062</v>
      </c>
    </row>
    <row r="360" spans="2:4" ht="14.5" hidden="1" outlineLevel="1" thickBot="1">
      <c r="B360" s="565" t="s">
        <v>3874</v>
      </c>
      <c r="C360" s="186">
        <f>C351*C355*C356/10^3</f>
        <v>10</v>
      </c>
    </row>
    <row r="361" spans="2:4" hidden="1" outlineLevel="1"/>
    <row r="362" spans="2:4" collapsed="1"/>
    <row r="363" spans="2:4">
      <c r="B363" s="3" t="s">
        <v>4063</v>
      </c>
    </row>
    <row r="365" spans="2:4" ht="14.5" hidden="1" outlineLevel="1" thickBot="1">
      <c r="B365" s="1251" t="s">
        <v>4064</v>
      </c>
    </row>
    <row r="366" spans="2:4" ht="14.5" hidden="1" outlineLevel="1" thickBot="1">
      <c r="B366" s="931" t="s">
        <v>4061</v>
      </c>
      <c r="C366" s="243" t="s">
        <v>4065</v>
      </c>
    </row>
    <row r="367" spans="2:4" hidden="1" outlineLevel="1"/>
    <row r="368" spans="2:4" hidden="1" outlineLevel="1">
      <c r="B368" t="s">
        <v>4066</v>
      </c>
      <c r="C368" s="87" t="s">
        <v>4067</v>
      </c>
    </row>
    <row r="369" spans="2:3" hidden="1" outlineLevel="1">
      <c r="B369" t="s">
        <v>4068</v>
      </c>
      <c r="C369" s="87" t="s">
        <v>4069</v>
      </c>
    </row>
    <row r="370" spans="2:3" hidden="1" outlineLevel="1">
      <c r="B370" t="s">
        <v>4070</v>
      </c>
      <c r="C370" s="87" t="s">
        <v>4071</v>
      </c>
    </row>
    <row r="371" spans="2:3" hidden="1" outlineLevel="1"/>
    <row r="372" spans="2:3" hidden="1" outlineLevel="1">
      <c r="B372" t="s">
        <v>4072</v>
      </c>
    </row>
    <row r="373" spans="2:3" hidden="1" outlineLevel="1">
      <c r="B373" s="1251" t="s">
        <v>4073</v>
      </c>
    </row>
    <row r="374" spans="2:3" ht="14.5" hidden="1" outlineLevel="1" thickBot="1">
      <c r="B374" s="1251" t="s">
        <v>4074</v>
      </c>
    </row>
    <row r="375" spans="2:3" ht="72.5" hidden="1" outlineLevel="1">
      <c r="B375" s="461"/>
      <c r="C375" s="511" t="s">
        <v>4075</v>
      </c>
    </row>
    <row r="376" spans="2:3" hidden="1" outlineLevel="1">
      <c r="B376" s="926" t="s">
        <v>3874</v>
      </c>
      <c r="C376" s="168">
        <f>C351</f>
        <v>1</v>
      </c>
    </row>
    <row r="377" spans="2:3" hidden="1" outlineLevel="1">
      <c r="B377" s="926" t="s">
        <v>3875</v>
      </c>
      <c r="C377" s="168">
        <v>0.5</v>
      </c>
    </row>
    <row r="378" spans="2:3" hidden="1" outlineLevel="1">
      <c r="B378" s="926" t="s">
        <v>3876</v>
      </c>
      <c r="C378" s="168">
        <v>3</v>
      </c>
    </row>
    <row r="379" spans="2:3" hidden="1" outlineLevel="1">
      <c r="B379" s="926" t="s">
        <v>3877</v>
      </c>
      <c r="C379" s="168">
        <v>1</v>
      </c>
    </row>
    <row r="380" spans="2:3" hidden="1" outlineLevel="1">
      <c r="B380" s="926" t="s">
        <v>3878</v>
      </c>
      <c r="C380" s="168">
        <v>3</v>
      </c>
    </row>
    <row r="381" spans="2:3" hidden="1" outlineLevel="1">
      <c r="B381" s="926" t="s">
        <v>3879</v>
      </c>
      <c r="C381" s="168">
        <v>0.5</v>
      </c>
    </row>
    <row r="382" spans="2:3" hidden="1" outlineLevel="1">
      <c r="B382" s="926" t="s">
        <v>3880</v>
      </c>
      <c r="C382" s="168">
        <v>0.5</v>
      </c>
    </row>
    <row r="383" spans="2:3" hidden="1" outlineLevel="1">
      <c r="B383" s="926" t="s">
        <v>3881</v>
      </c>
      <c r="C383" s="168">
        <v>0.5</v>
      </c>
    </row>
    <row r="384" spans="2:3" hidden="1" outlineLevel="1">
      <c r="B384" s="926" t="s">
        <v>3882</v>
      </c>
      <c r="C384" s="168">
        <v>0.5</v>
      </c>
    </row>
    <row r="385" spans="2:6" hidden="1" outlineLevel="1">
      <c r="B385" s="926" t="s">
        <v>3883</v>
      </c>
      <c r="C385" s="168">
        <v>0.5</v>
      </c>
    </row>
    <row r="386" spans="2:6" hidden="1" outlineLevel="1">
      <c r="B386" s="926" t="s">
        <v>3884</v>
      </c>
      <c r="C386" s="168">
        <v>1</v>
      </c>
    </row>
    <row r="387" spans="2:6" hidden="1" outlineLevel="1">
      <c r="B387" s="926" t="s">
        <v>3885</v>
      </c>
      <c r="C387" s="168">
        <v>0.5</v>
      </c>
      <c r="F387" s="579"/>
    </row>
    <row r="388" spans="2:6" ht="14.5" hidden="1" outlineLevel="1" thickBot="1">
      <c r="B388" s="927" t="s">
        <v>3886</v>
      </c>
      <c r="C388" s="170">
        <v>0.5</v>
      </c>
    </row>
    <row r="389" spans="2:6" hidden="1" outlineLevel="1">
      <c r="B389" s="87"/>
      <c r="C389" s="24"/>
    </row>
    <row r="390" spans="2:6" ht="14.5" hidden="1" outlineLevel="1" thickBot="1">
      <c r="B390" s="1251" t="s">
        <v>3872</v>
      </c>
    </row>
    <row r="391" spans="2:6" ht="15" hidden="1" outlineLevel="1" thickBot="1">
      <c r="B391" s="123"/>
      <c r="C391" s="6" t="s">
        <v>69</v>
      </c>
      <c r="D391" s="6" t="s">
        <v>301</v>
      </c>
    </row>
    <row r="392" spans="2:6" ht="14.5" hidden="1" outlineLevel="1">
      <c r="B392" s="10" t="s">
        <v>3721</v>
      </c>
      <c r="C392" s="205">
        <v>40</v>
      </c>
      <c r="D392" s="1340" t="s">
        <v>2113</v>
      </c>
    </row>
    <row r="393" spans="2:6" ht="15" hidden="1" outlineLevel="1" thickBot="1">
      <c r="B393" s="13" t="s">
        <v>73</v>
      </c>
      <c r="C393" s="22">
        <v>250</v>
      </c>
      <c r="D393" s="1285" t="s">
        <v>3439</v>
      </c>
    </row>
    <row r="394" spans="2:6" hidden="1" outlineLevel="1"/>
    <row r="395" spans="2:6" ht="14.5" hidden="1" outlineLevel="1" thickBot="1">
      <c r="B395" s="1251" t="s">
        <v>934</v>
      </c>
    </row>
    <row r="396" spans="2:6" ht="42" hidden="1" outlineLevel="1">
      <c r="B396" s="456"/>
      <c r="C396" s="405" t="s">
        <v>4062</v>
      </c>
    </row>
    <row r="397" spans="2:6" hidden="1" outlineLevel="1">
      <c r="B397" s="1022" t="s">
        <v>3874</v>
      </c>
      <c r="C397" s="131">
        <f>C376*C$392*C$393/10^3</f>
        <v>10</v>
      </c>
    </row>
    <row r="398" spans="2:6" hidden="1" outlineLevel="1">
      <c r="B398" s="1022" t="s">
        <v>3875</v>
      </c>
      <c r="C398" s="131">
        <f t="shared" ref="C398:C409" si="21">C377*C$392*C$393/10^3</f>
        <v>5</v>
      </c>
    </row>
    <row r="399" spans="2:6" hidden="1" outlineLevel="1">
      <c r="B399" s="1022" t="s">
        <v>3876</v>
      </c>
      <c r="C399" s="131">
        <f t="shared" si="21"/>
        <v>30</v>
      </c>
    </row>
    <row r="400" spans="2:6" hidden="1" outlineLevel="1">
      <c r="B400" s="1022" t="s">
        <v>3877</v>
      </c>
      <c r="C400" s="131">
        <f t="shared" si="21"/>
        <v>10</v>
      </c>
    </row>
    <row r="401" spans="2:6" hidden="1" outlineLevel="1">
      <c r="B401" s="1022" t="s">
        <v>3878</v>
      </c>
      <c r="C401" s="131">
        <f t="shared" si="21"/>
        <v>30</v>
      </c>
    </row>
    <row r="402" spans="2:6" hidden="1" outlineLevel="1">
      <c r="B402" s="1022" t="s">
        <v>3879</v>
      </c>
      <c r="C402" s="131">
        <f t="shared" si="21"/>
        <v>5</v>
      </c>
    </row>
    <row r="403" spans="2:6" hidden="1" outlineLevel="1">
      <c r="B403" s="1022" t="s">
        <v>3880</v>
      </c>
      <c r="C403" s="131">
        <f t="shared" si="21"/>
        <v>5</v>
      </c>
    </row>
    <row r="404" spans="2:6" hidden="1" outlineLevel="1">
      <c r="B404" s="1022" t="s">
        <v>3881</v>
      </c>
      <c r="C404" s="131">
        <f t="shared" si="21"/>
        <v>5</v>
      </c>
    </row>
    <row r="405" spans="2:6" hidden="1" outlineLevel="1">
      <c r="B405" s="1022" t="s">
        <v>3882</v>
      </c>
      <c r="C405" s="131">
        <f t="shared" si="21"/>
        <v>5</v>
      </c>
    </row>
    <row r="406" spans="2:6" hidden="1" outlineLevel="1">
      <c r="B406" s="1022" t="s">
        <v>3883</v>
      </c>
      <c r="C406" s="131">
        <f t="shared" si="21"/>
        <v>5</v>
      </c>
    </row>
    <row r="407" spans="2:6" hidden="1" outlineLevel="1">
      <c r="B407" s="1022" t="s">
        <v>3884</v>
      </c>
      <c r="C407" s="131">
        <f t="shared" si="21"/>
        <v>10</v>
      </c>
    </row>
    <row r="408" spans="2:6" hidden="1" outlineLevel="1">
      <c r="B408" s="1022" t="s">
        <v>3885</v>
      </c>
      <c r="C408" s="131">
        <f t="shared" si="21"/>
        <v>5</v>
      </c>
      <c r="F408" s="579"/>
    </row>
    <row r="409" spans="2:6" ht="14.5" hidden="1" outlineLevel="1" thickBot="1">
      <c r="B409" s="1023" t="s">
        <v>3886</v>
      </c>
      <c r="C409" s="19">
        <f t="shared" si="21"/>
        <v>5</v>
      </c>
    </row>
    <row r="410" spans="2:6" hidden="1" outlineLevel="1"/>
    <row r="411" spans="2:6" collapsed="1"/>
    <row r="412" spans="2:6" ht="20">
      <c r="B412" s="216" t="s">
        <v>2687</v>
      </c>
    </row>
    <row r="414" spans="2:6" hidden="1" outlineLevel="1">
      <c r="B414" s="1251" t="s">
        <v>3722</v>
      </c>
    </row>
    <row r="415" spans="2:6" hidden="1" outlineLevel="1">
      <c r="B415" s="1251"/>
    </row>
    <row r="416" spans="2:6" ht="14.5" hidden="1" outlineLevel="1" thickBot="1">
      <c r="B416" t="s">
        <v>3723</v>
      </c>
    </row>
    <row r="417" spans="2:5" ht="14.5" hidden="1" outlineLevel="1">
      <c r="B417" s="123"/>
      <c r="C417" s="5" t="s">
        <v>69</v>
      </c>
      <c r="D417" s="5" t="s">
        <v>301</v>
      </c>
      <c r="E417" s="6" t="s">
        <v>301</v>
      </c>
    </row>
    <row r="418" spans="2:5" ht="15" hidden="1" outlineLevel="1" thickBot="1">
      <c r="B418" s="13" t="s">
        <v>73</v>
      </c>
      <c r="C418" s="932">
        <v>2000</v>
      </c>
      <c r="D418" s="1267" t="s">
        <v>1112</v>
      </c>
      <c r="E418" s="1285" t="s">
        <v>2937</v>
      </c>
    </row>
    <row r="419" spans="2:5" hidden="1" outlineLevel="1"/>
    <row r="420" spans="2:5" collapsed="1"/>
  </sheetData>
  <mergeCells count="3">
    <mergeCell ref="C230:D230"/>
    <mergeCell ref="E230:F230"/>
    <mergeCell ref="A1:XFD2"/>
  </mergeCells>
  <phoneticPr fontId="61" type="noConversion"/>
  <conditionalFormatting sqref="A1:XFD2">
    <cfRule type="containsBlanks" dxfId="8" priority="1">
      <formula>LEN(TRIM(A1))=0</formula>
    </cfRule>
  </conditionalFormatting>
  <conditionalFormatting sqref="D219:P219">
    <cfRule type="colorScale" priority="10">
      <colorScale>
        <cfvo type="min"/>
        <cfvo type="percentile" val="50"/>
        <cfvo type="max"/>
        <color rgb="FFFCFCFF"/>
        <color rgb="FFDDF0C8"/>
        <color rgb="FF63BE7B"/>
      </colorScale>
    </cfRule>
  </conditionalFormatting>
  <conditionalFormatting sqref="D220:P220">
    <cfRule type="colorScale" priority="9">
      <colorScale>
        <cfvo type="min"/>
        <cfvo type="percentile" val="50"/>
        <cfvo type="max"/>
        <color rgb="FFFCFCFF"/>
        <color rgb="FFDDF0C8"/>
        <color rgb="FF63BE7B"/>
      </colorScale>
    </cfRule>
  </conditionalFormatting>
  <conditionalFormatting sqref="D221:P221">
    <cfRule type="colorScale" priority="8">
      <colorScale>
        <cfvo type="min"/>
        <cfvo type="percentile" val="50"/>
        <cfvo type="max"/>
        <color rgb="FFFCFCFF"/>
        <color rgb="FFDDF0C8"/>
        <color rgb="FF63BE7B"/>
      </colorScale>
    </cfRule>
  </conditionalFormatting>
  <conditionalFormatting sqref="D222:P222">
    <cfRule type="colorScale" priority="7">
      <colorScale>
        <cfvo type="min"/>
        <cfvo type="percentile" val="50"/>
        <cfvo type="max"/>
        <color rgb="FFFCFCFF"/>
        <color rgb="FFDDF0C8"/>
        <color rgb="FF63BE7B"/>
      </colorScale>
    </cfRule>
  </conditionalFormatting>
  <conditionalFormatting sqref="D223:P223">
    <cfRule type="colorScale" priority="6">
      <colorScale>
        <cfvo type="min"/>
        <cfvo type="percentile" val="50"/>
        <cfvo type="max"/>
        <color rgb="FFFCFCFF"/>
        <color rgb="FFDDF0C8"/>
        <color rgb="FF63BE7B"/>
      </colorScale>
    </cfRule>
  </conditionalFormatting>
  <conditionalFormatting sqref="D224:P224">
    <cfRule type="colorScale" priority="5">
      <colorScale>
        <cfvo type="min"/>
        <cfvo type="percentile" val="50"/>
        <cfvo type="max"/>
        <color rgb="FFFCFCFF"/>
        <color rgb="FFDDF0C8"/>
        <color rgb="FF63BE7B"/>
      </colorScale>
    </cfRule>
  </conditionalFormatting>
  <conditionalFormatting sqref="D225:P225">
    <cfRule type="colorScale" priority="4">
      <colorScale>
        <cfvo type="min"/>
        <cfvo type="percentile" val="50"/>
        <cfvo type="max"/>
        <color rgb="FFFCFCFF"/>
        <color rgb="FFDDF0C8"/>
        <color rgb="FF63BE7B"/>
      </colorScale>
    </cfRule>
  </conditionalFormatting>
  <conditionalFormatting sqref="D226:P226">
    <cfRule type="colorScale" priority="3">
      <colorScale>
        <cfvo type="min"/>
        <cfvo type="percentile" val="50"/>
        <cfvo type="max"/>
        <color rgb="FFFCFCFF"/>
        <color rgb="FFDDF0C8"/>
        <color rgb="FF63BE7B"/>
      </colorScale>
    </cfRule>
  </conditionalFormatting>
  <conditionalFormatting sqref="D227:P227">
    <cfRule type="colorScale" priority="2">
      <colorScale>
        <cfvo type="min"/>
        <cfvo type="percentile" val="50"/>
        <cfvo type="max"/>
        <color rgb="FFFCFCFF"/>
        <color rgb="FFDDF0C8"/>
        <color rgb="FF63BE7B"/>
      </colorScale>
    </cfRule>
  </conditionalFormatting>
  <hyperlinks>
    <hyperlink ref="O135" r:id="rId1" display="https://afib.asso.fr/details/articles/retour-sur-enquete-afib-menee-par-a-faire-ecossytem" xr:uid="{0405F942-AC4D-4868-8AD2-972CA5567196}"/>
    <hyperlink ref="B287" r:id="rId2" display="https://www.nephrohug.ch/2017/04/10/hemodialyse-ecologie-quel-impact-sur-notre-environnement/" xr:uid="{9D795BE9-8443-4B0A-802F-14D14C3F1D32}"/>
    <hyperlink ref="B295" r:id="rId3" display="https://www.draeger.com/Content/Documents/Products/savina-300-niv-pi-9110735-fr-fr.pdf" xr:uid="{963B607D-BAF0-4CE8-BB04-E184FC6F0CFD}"/>
    <hyperlink ref="B304" r:id="rId4" display="https://energieplus-lesite.be/evaluer/sterilisation4/Evaluer-l-efficacite-energetique/evaluer-les-energies-et-les-consommations-mises-en-jeu/?utm_source=chatgpt.com" xr:uid="{9FD406F2-FBE4-46F7-B7E5-AD548F898E90}"/>
    <hyperlink ref="B311" r:id="rId5" display="https://profilab24.com/fr/laboratoire/materiel-de-nettoyage/laveur-desinfecteur-miele-pg-8536?utm_source=chatgpt.com" xr:uid="{65D222AD-1E5F-4170-9562-6BF3F294D2B9}"/>
    <hyperlink ref="B347" r:id="rId6" display="https://www.arlod.fr/medias/files/la-maintenance-des-de-fibrillateurs-pour-circodef.pdf" xr:uid="{EEE63C05-A2DB-4317-9A80-02649A7B6648}"/>
    <hyperlink ref="B56" r:id="rId7" display="https://www.senat.fr/questions/base/2024/qSEQ240612127.html" xr:uid="{2AB83F6A-F619-4697-9C4F-C17ED051F910}"/>
    <hyperlink ref="B60" r:id="rId8" display="https://www.defibrillateur-erp.com/blog/les-dae-ont-ils-une-duree-de-vie--n34?utm_source=chatgpt.com" xr:uid="{05AD6354-5753-47A7-8DC7-12D4B2E2528F}"/>
    <hyperlink ref="B63" r:id="rId9" display="https://www.defibrillateurshop.fr/defisign-life-defibrillateur-semi-automatique.html" xr:uid="{A5534E45-BDAC-4B2F-964C-B97199A2E467}"/>
    <hyperlink ref="E72" r:id="rId10" display="https://drees.solidarites-sante.gouv.fr/sites/default/files/2024-10/ER1315EMB.pdf" xr:uid="{689B45CE-B592-4BDF-B268-2F7AE78C49D0}"/>
    <hyperlink ref="G72" r:id="rId11" display="https://drees.solidarites-sante.gouv.fr/sites/default/files/2024-09/ES24MAJ260924.pdf" xr:uid="{4D704E9B-D6FA-44A7-8147-BFEFF3D62F45}"/>
    <hyperlink ref="C368" r:id="rId12" xr:uid="{1B7E5976-EA89-401D-90FD-6556D7169CBB}"/>
    <hyperlink ref="C369" r:id="rId13" display="https://www.ulb-cooperation.org/wp-content/uploads/2023/03/pousse-seringue-electrique-procedure-de-maintenance-preventive.pdf" xr:uid="{9FCDD39A-D2BD-4FF5-A171-C50722BC50C8}"/>
    <hyperlink ref="C370" r:id="rId14" display="https://www.ulb-cooperation.org/wp-content/uploads/2023/03/aspirateur-a-mucosites-procedure-de-maintenance-preventive.pdf" xr:uid="{DAAF0F38-A922-48D7-A595-09E5D8298512}"/>
  </hyperlinks>
  <pageMargins left="0.7" right="0.7" top="0.75" bottom="0.75" header="0.3" footer="0.3"/>
  <pageSetup paperSize="9" orientation="portrait" r:id="rId15"/>
  <drawing r:id="rId16"/>
  <legacyDrawing r:id="rId17"/>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889550-D8E1-4FC4-850E-EB1A8E9EAC0A}">
  <sheetPr>
    <tabColor rgb="FFFF0000"/>
  </sheetPr>
  <dimension ref="A1:X249"/>
  <sheetViews>
    <sheetView zoomScale="60" zoomScaleNormal="60" workbookViewId="0">
      <selection sqref="A1:XFD2"/>
    </sheetView>
  </sheetViews>
  <sheetFormatPr baseColWidth="10" defaultColWidth="11" defaultRowHeight="14" outlineLevelRow="1"/>
  <cols>
    <col min="2" max="2" width="46" customWidth="1"/>
    <col min="3" max="3" width="11.83203125" bestFit="1" customWidth="1"/>
    <col min="4" max="4" width="20.5" customWidth="1"/>
    <col min="5" max="5" width="38.5" customWidth="1"/>
    <col min="6" max="6" width="16.6640625" customWidth="1"/>
    <col min="7" max="7" width="17.6640625" customWidth="1"/>
    <col min="8" max="8" width="19.5" customWidth="1"/>
    <col min="10" max="10" width="13" customWidth="1"/>
    <col min="19" max="19" width="11.5" customWidth="1"/>
    <col min="20" max="20" width="14.33203125" customWidth="1"/>
  </cols>
  <sheetData>
    <row r="1" spans="1:4" s="1505" customFormat="1">
      <c r="A1" s="1505" t="s">
        <v>11</v>
      </c>
    </row>
    <row r="2" spans="1:4" s="1505" customFormat="1"/>
    <row r="5" spans="1:4">
      <c r="B5" s="1251" t="s">
        <v>12</v>
      </c>
    </row>
    <row r="6" spans="1:4">
      <c r="B6" s="1251"/>
    </row>
    <row r="8" spans="1:4" ht="23.5">
      <c r="B8" s="2" t="s">
        <v>67</v>
      </c>
    </row>
    <row r="10" spans="1:4" hidden="1" outlineLevel="1">
      <c r="B10" s="1251" t="s">
        <v>4909</v>
      </c>
    </row>
    <row r="11" spans="1:4" hidden="1" outlineLevel="1">
      <c r="B11" s="1251" t="s">
        <v>4910</v>
      </c>
    </row>
    <row r="12" spans="1:4" hidden="1" outlineLevel="1">
      <c r="B12" s="1492" t="s">
        <v>4941</v>
      </c>
    </row>
    <row r="13" spans="1:4" hidden="1" outlineLevel="1">
      <c r="B13" s="1492" t="s">
        <v>4911</v>
      </c>
    </row>
    <row r="14" spans="1:4" hidden="1" outlineLevel="1">
      <c r="B14" s="1251"/>
    </row>
    <row r="15" spans="1:4" ht="14.5" hidden="1" outlineLevel="1" thickBot="1">
      <c r="B15" s="1251" t="s">
        <v>68</v>
      </c>
    </row>
    <row r="16" spans="1:4" hidden="1" outlineLevel="1">
      <c r="B16" s="273"/>
      <c r="C16" s="285" t="s">
        <v>69</v>
      </c>
      <c r="D16" s="286" t="s">
        <v>70</v>
      </c>
    </row>
    <row r="17" spans="2:6" ht="14.5" hidden="1" outlineLevel="1" thickBot="1">
      <c r="B17" s="281" t="s">
        <v>71</v>
      </c>
      <c r="C17" s="1226">
        <v>23.5</v>
      </c>
      <c r="D17" s="1265" t="s">
        <v>72</v>
      </c>
    </row>
    <row r="18" spans="2:6" ht="14.5" hidden="1" outlineLevel="1" thickBot="1"/>
    <row r="19" spans="2:6" ht="28" hidden="1" outlineLevel="1">
      <c r="B19" s="273"/>
      <c r="C19" s="287" t="s">
        <v>73</v>
      </c>
      <c r="D19" s="287" t="s">
        <v>70</v>
      </c>
      <c r="E19" s="288" t="s">
        <v>74</v>
      </c>
    </row>
    <row r="20" spans="2:6" hidden="1" outlineLevel="1">
      <c r="B20" s="276" t="s">
        <v>75</v>
      </c>
      <c r="C20" s="1225">
        <v>315</v>
      </c>
      <c r="D20" s="1266" t="s">
        <v>76</v>
      </c>
      <c r="E20" s="319">
        <f>MROUND(C20*C17, 100)</f>
        <v>7400</v>
      </c>
      <c r="F20" s="1492" t="s">
        <v>4912</v>
      </c>
    </row>
    <row r="21" spans="2:6" ht="14.5" hidden="1" outlineLevel="1" thickBot="1">
      <c r="B21" s="281" t="s">
        <v>77</v>
      </c>
      <c r="C21" s="14">
        <v>230</v>
      </c>
      <c r="D21" s="1267" t="s">
        <v>78</v>
      </c>
      <c r="E21" s="15">
        <f>MROUND(C21*C17, 100)</f>
        <v>5400</v>
      </c>
    </row>
    <row r="22" spans="2:6" hidden="1" outlineLevel="1"/>
    <row r="23" spans="2:6" hidden="1" outlineLevel="1">
      <c r="D23" s="74"/>
    </row>
    <row r="24" spans="2:6" hidden="1" outlineLevel="1">
      <c r="D24" s="74"/>
    </row>
    <row r="25" spans="2:6" hidden="1" outlineLevel="1"/>
    <row r="26" spans="2:6" hidden="1" outlineLevel="1"/>
    <row r="27" spans="2:6" hidden="1" outlineLevel="1"/>
    <row r="28" spans="2:6" hidden="1" outlineLevel="1"/>
    <row r="29" spans="2:6" hidden="1" outlineLevel="1"/>
    <row r="30" spans="2:6" hidden="1" outlineLevel="1"/>
    <row r="31" spans="2:6" hidden="1" outlineLevel="1"/>
    <row r="32" spans="2:6" hidden="1" outlineLevel="1"/>
    <row r="33" spans="1:19" hidden="1" outlineLevel="1"/>
    <row r="34" spans="1:19" hidden="1" outlineLevel="1"/>
    <row r="35" spans="1:19" hidden="1" outlineLevel="1"/>
    <row r="36" spans="1:19" hidden="1" outlineLevel="1"/>
    <row r="37" spans="1:19" hidden="1" outlineLevel="1"/>
    <row r="38" spans="1:19" hidden="1" outlineLevel="1"/>
    <row r="39" spans="1:19" hidden="1" outlineLevel="1"/>
    <row r="40" spans="1:19" collapsed="1"/>
    <row r="41" spans="1:19" ht="23.5">
      <c r="B41" s="2" t="s">
        <v>79</v>
      </c>
    </row>
    <row r="43" spans="1:19" ht="14.5" hidden="1" outlineLevel="1" thickBot="1">
      <c r="B43" s="1251" t="s">
        <v>80</v>
      </c>
      <c r="Q43" s="1251" t="s">
        <v>81</v>
      </c>
    </row>
    <row r="44" spans="1:19" ht="28.5" hidden="1" outlineLevel="1" thickBot="1">
      <c r="B44" s="1493" t="s">
        <v>4913</v>
      </c>
      <c r="C44" s="1482" t="s">
        <v>83</v>
      </c>
      <c r="D44" s="1483" t="s">
        <v>84</v>
      </c>
      <c r="E44" s="1484" t="s">
        <v>85</v>
      </c>
      <c r="F44" s="1484" t="s">
        <v>86</v>
      </c>
      <c r="G44" s="1484" t="s">
        <v>87</v>
      </c>
      <c r="H44" s="1484" t="s">
        <v>88</v>
      </c>
      <c r="I44" s="1485" t="s">
        <v>89</v>
      </c>
      <c r="J44" s="1486" t="s">
        <v>90</v>
      </c>
      <c r="Q44" s="259" t="s">
        <v>91</v>
      </c>
      <c r="R44" s="287" t="s">
        <v>92</v>
      </c>
      <c r="S44" s="288" t="s">
        <v>82</v>
      </c>
    </row>
    <row r="45" spans="1:19" hidden="1" outlineLevel="1">
      <c r="A45" s="435"/>
      <c r="B45" s="276" t="s">
        <v>93</v>
      </c>
      <c r="C45" s="1033">
        <f t="shared" ref="C45:C52" si="0">SUM(D45:I45)</f>
        <v>196.79364531654724</v>
      </c>
      <c r="D45" s="691">
        <f>EPI!I58</f>
        <v>156.72381858143478</v>
      </c>
      <c r="E45" s="168">
        <f>EPI!I59+EPI!I61</f>
        <v>19.266410149598297</v>
      </c>
      <c r="F45" s="168"/>
      <c r="G45" s="168"/>
      <c r="H45" s="168">
        <f>EPI!I62</f>
        <v>11.941479361628703</v>
      </c>
      <c r="I45" s="132">
        <f>EPI!I63</f>
        <v>8.8619372238854623</v>
      </c>
      <c r="J45" s="1228" t="s">
        <v>94</v>
      </c>
      <c r="Q45" s="277" t="s">
        <v>95</v>
      </c>
      <c r="R45" s="1193" t="s">
        <v>93</v>
      </c>
      <c r="S45" s="1268">
        <f>C45</f>
        <v>196.79364531654724</v>
      </c>
    </row>
    <row r="46" spans="1:19" hidden="1" outlineLevel="1">
      <c r="A46" s="435"/>
      <c r="B46" s="276" t="s">
        <v>96</v>
      </c>
      <c r="C46" s="1033">
        <f t="shared" si="0"/>
        <v>173.60625170174046</v>
      </c>
      <c r="D46" s="691">
        <f>EPI!J58</f>
        <v>42.425407969595852</v>
      </c>
      <c r="E46" s="168">
        <f>EPI!J59+EPI!J61</f>
        <v>88.219633102826904</v>
      </c>
      <c r="F46" s="168">
        <f>EPI!J60</f>
        <v>19.406656305589603</v>
      </c>
      <c r="G46" s="168"/>
      <c r="H46" s="168">
        <f>EPI!J62</f>
        <v>14.876163052954052</v>
      </c>
      <c r="I46" s="132">
        <f>EPI!J63</f>
        <v>8.6783912707740551</v>
      </c>
      <c r="J46" s="1229" t="s">
        <v>94</v>
      </c>
      <c r="Q46" s="277" t="s">
        <v>95</v>
      </c>
      <c r="R46" s="1193" t="s">
        <v>96</v>
      </c>
      <c r="S46" s="1268">
        <f>C46</f>
        <v>173.60625170174046</v>
      </c>
    </row>
    <row r="47" spans="1:19" hidden="1" outlineLevel="1">
      <c r="A47" s="435"/>
      <c r="B47" s="276" t="s">
        <v>97</v>
      </c>
      <c r="C47" s="1033">
        <f t="shared" si="0"/>
        <v>642.08019381854297</v>
      </c>
      <c r="D47" s="691">
        <f>'Consommables plastiques'!C12</f>
        <v>323.32956217725342</v>
      </c>
      <c r="E47" s="168">
        <f>'Consommables plastiques'!C13+'Consommables plastiques'!C15</f>
        <v>130.53059637615732</v>
      </c>
      <c r="F47" s="168">
        <f>'Consommables plastiques'!C14</f>
        <v>36.046153152592858</v>
      </c>
      <c r="G47" s="168"/>
      <c r="H47" s="168">
        <f>'Consommables plastiques'!C16+'Consommables plastiques'!C17</f>
        <v>98.406974684720197</v>
      </c>
      <c r="I47" s="132">
        <f>'Consommables plastiques'!C18</f>
        <v>53.766907427819092</v>
      </c>
      <c r="J47" s="1229"/>
      <c r="Q47" s="277" t="s">
        <v>95</v>
      </c>
      <c r="R47" s="1193" t="s">
        <v>97</v>
      </c>
      <c r="S47" s="1268">
        <f>C47</f>
        <v>642.08019381854297</v>
      </c>
    </row>
    <row r="48" spans="1:19" hidden="1" outlineLevel="1">
      <c r="A48" s="435"/>
      <c r="B48" s="276" t="s">
        <v>98</v>
      </c>
      <c r="C48" s="1033">
        <f t="shared" si="0"/>
        <v>78.91513490493675</v>
      </c>
      <c r="D48" s="691">
        <f>'Dispositifs urologie'!D19</f>
        <v>43.864374567745728</v>
      </c>
      <c r="E48" s="168">
        <f>'Dispositifs urologie'!E19 + 'Dispositifs urologie'!G19</f>
        <v>14.525869471958668</v>
      </c>
      <c r="F48" s="168">
        <f>'Dispositifs urologie'!F19</f>
        <v>6.3244882283334123</v>
      </c>
      <c r="G48" s="168"/>
      <c r="H48" s="168">
        <f>'Dispositifs urologie'!H19</f>
        <v>9.5074901322397345</v>
      </c>
      <c r="I48" s="132">
        <f>'Dispositifs urologie'!I19</f>
        <v>4.6929125046592022</v>
      </c>
      <c r="J48" s="1229"/>
      <c r="Q48" s="277" t="s">
        <v>95</v>
      </c>
      <c r="R48" s="1193" t="s">
        <v>99</v>
      </c>
      <c r="S48" s="1268">
        <f>C49</f>
        <v>392.66289653111676</v>
      </c>
    </row>
    <row r="49" spans="1:20" hidden="1" outlineLevel="1">
      <c r="A49" s="435"/>
      <c r="B49" s="276" t="s">
        <v>99</v>
      </c>
      <c r="C49" s="1033">
        <f t="shared" si="0"/>
        <v>392.66289653111676</v>
      </c>
      <c r="D49" s="691">
        <f>Incontinence!J18</f>
        <v>254.6690951056348</v>
      </c>
      <c r="E49" s="168">
        <f>Incontinence!K18</f>
        <v>28.908378399722832</v>
      </c>
      <c r="F49" s="168">
        <f>Incontinence!L18</f>
        <v>16.590934363120546</v>
      </c>
      <c r="G49" s="168"/>
      <c r="H49" s="168">
        <f>Incontinence!M18</f>
        <v>34.398387992289592</v>
      </c>
      <c r="I49" s="132">
        <f>Incontinence!N18</f>
        <v>58.096100670349024</v>
      </c>
      <c r="J49" s="1229"/>
      <c r="Q49" s="277" t="s">
        <v>95</v>
      </c>
      <c r="R49" s="1193" t="s">
        <v>49</v>
      </c>
      <c r="S49" s="1268">
        <f>C48+C50</f>
        <v>101.01593169479176</v>
      </c>
    </row>
    <row r="50" spans="1:20" hidden="1" outlineLevel="1">
      <c r="A50" s="435"/>
      <c r="B50" s="276" t="s">
        <v>100</v>
      </c>
      <c r="C50" s="1033">
        <f>SUM(D50:I50)</f>
        <v>22.100796789855011</v>
      </c>
      <c r="D50" s="691">
        <f>Pansements!D10+Pansements!D11</f>
        <v>11.503725449073423</v>
      </c>
      <c r="E50" s="168">
        <f>Pansements!E10+Pansements!E11</f>
        <v>5.540341565159947</v>
      </c>
      <c r="F50" s="168">
        <f>Pansements!F10+Pansements!F11</f>
        <v>2.4894101266756685</v>
      </c>
      <c r="G50" s="21"/>
      <c r="H50" s="168">
        <f>Pansements!G10+Pansements!G11</f>
        <v>1.4695917938635299</v>
      </c>
      <c r="I50" s="132">
        <f>Pansements!H10+Pansements!H11</f>
        <v>1.0977278550824439</v>
      </c>
      <c r="J50" s="1229"/>
      <c r="Q50" s="277" t="s">
        <v>101</v>
      </c>
      <c r="R50" s="1193" t="s">
        <v>102</v>
      </c>
      <c r="S50" s="1268">
        <f>C51</f>
        <v>221.7973277783455</v>
      </c>
    </row>
    <row r="51" spans="1:20" hidden="1" outlineLevel="1">
      <c r="A51" s="435"/>
      <c r="B51" s="276" t="s">
        <v>102</v>
      </c>
      <c r="C51" s="1033">
        <f t="shared" si="0"/>
        <v>221.7973277783455</v>
      </c>
      <c r="D51" s="1232">
        <f>SUMPRODUCT(Optique!C24:G24,Optique!C15:G15)/10^6+SUMPRODUCT(Optique!C24:G24,Optique!C16:G16)/10^6 +Optique!C34*Optique!C44/10^6+Optique!C35*Optique!C44/10^6+Optique!C54</f>
        <v>70.277777553832308</v>
      </c>
      <c r="E51" s="168">
        <f>SUMPRODUCT(Optique!C24:G24,Optique!C19:G19)/10^6+SUMPRODUCT(Optique!C24:G24,Optique!C18:G18)/10^6+(Optique!C37+Optique!C38)*Optique!C44/10^6+Optique!C56+Optique!C57+Optique!C58</f>
        <v>112.42163327298293</v>
      </c>
      <c r="F51" s="168">
        <f>SUMPRODUCT(Optique!C24:G24,Optique!C17:G17)/10^6+Optique!C36*Optique!C44/10^6+Optique!C55</f>
        <v>6.3992271711038153</v>
      </c>
      <c r="G51" s="168"/>
      <c r="H51" s="168">
        <f>SUMPRODUCT(Optique!C24:G24,Optique!C20:G20)/10^6+SUMPRODUCT(Optique!C24:G24,Optique!C21:G21)/10^6+(Optique!C39+Optique!C40)*Optique!C44/10^6+Optique!C59</f>
        <v>21.097813292894674</v>
      </c>
      <c r="I51" s="132">
        <f>SUMPRODUCT(Optique!C24:G24,Optique!C22:G22)/10^6+Optique!C41*Optique!C44/10^6+Optique!C60</f>
        <v>11.600876487531805</v>
      </c>
      <c r="J51" s="1229"/>
      <c r="Q51" s="277" t="s">
        <v>101</v>
      </c>
      <c r="R51" s="1193" t="s">
        <v>41</v>
      </c>
      <c r="S51" s="1268">
        <f>C53</f>
        <v>527.93925674785169</v>
      </c>
    </row>
    <row r="52" spans="1:20" hidden="1" outlineLevel="1">
      <c r="A52" s="435"/>
      <c r="B52" s="276" t="s">
        <v>37</v>
      </c>
      <c r="C52" s="1033">
        <f t="shared" si="0"/>
        <v>11.040420583257625</v>
      </c>
      <c r="D52" s="691">
        <f>50%*SUM('Aides auditives'!C24:C25)</f>
        <v>2.1956214280813953</v>
      </c>
      <c r="E52" s="168">
        <f>50%*SUM('Aides auditives'!C24:C25)</f>
        <v>2.1956214280813953</v>
      </c>
      <c r="F52" s="168">
        <f>SUM('Aides auditives'!D24:D25)</f>
        <v>0.38042873698718122</v>
      </c>
      <c r="G52" s="168">
        <f>SUM('Aides auditives'!E24:F25)</f>
        <v>3.6317927053834942</v>
      </c>
      <c r="H52" s="168">
        <f>SUM('Aides auditives'!G24:G25)</f>
        <v>2.5411813659641593</v>
      </c>
      <c r="I52" s="547">
        <f>'Aides auditives'!L19</f>
        <v>9.5774918759999994E-2</v>
      </c>
      <c r="J52" s="1230" t="s">
        <v>103</v>
      </c>
      <c r="Q52" s="277" t="s">
        <v>101</v>
      </c>
      <c r="R52" s="1193" t="s">
        <v>49</v>
      </c>
      <c r="S52" s="1268">
        <f>C54+C52</f>
        <v>70.953623179283738</v>
      </c>
    </row>
    <row r="53" spans="1:20" hidden="1" outlineLevel="1">
      <c r="A53" s="435"/>
      <c r="B53" s="276" t="s">
        <v>41</v>
      </c>
      <c r="C53" s="1033">
        <f>SUM(D53:I53)</f>
        <v>527.93925674785169</v>
      </c>
      <c r="D53" s="691">
        <f>'Aides techniques'!D19</f>
        <v>372.33819629219209</v>
      </c>
      <c r="E53" s="168">
        <f>'Aides techniques'!E19</f>
        <v>70.927161596567416</v>
      </c>
      <c r="F53" s="168">
        <f>'Aides techniques'!F19</f>
        <v>4.5895000866475399</v>
      </c>
      <c r="G53" s="168">
        <f>'Aides techniques'!G19+'Aides techniques'!J19</f>
        <v>5.5631632179001551</v>
      </c>
      <c r="H53" s="168">
        <f>'Aides techniques'!H19+'Aides techniques'!I19</f>
        <v>45.092021708441919</v>
      </c>
      <c r="I53" s="547">
        <f>'Aides techniques'!K19</f>
        <v>29.429213846102567</v>
      </c>
      <c r="J53" s="1230"/>
      <c r="Q53" s="277" t="s">
        <v>104</v>
      </c>
      <c r="R53" s="1193" t="s">
        <v>44</v>
      </c>
      <c r="S53" s="1268">
        <f>C55</f>
        <v>227.83316513197786</v>
      </c>
    </row>
    <row r="54" spans="1:20" hidden="1" outlineLevel="1">
      <c r="A54" s="435"/>
      <c r="B54" s="276" t="s">
        <v>39</v>
      </c>
      <c r="C54" s="1033">
        <f>SUM(D54:I54)</f>
        <v>59.913202596026117</v>
      </c>
      <c r="D54" s="691">
        <f>Orthèses!D16+Orthèses!D44*50%</f>
        <v>25.273376031401256</v>
      </c>
      <c r="E54" s="168">
        <f>Orthèses!E16+Orthèses!F16+Orthèses!D44*50%</f>
        <v>23.600373137906534</v>
      </c>
      <c r="F54" s="168">
        <f>Orthèses!G16+Orthèses!E44</f>
        <v>2.6071982787552543</v>
      </c>
      <c r="G54" s="168"/>
      <c r="H54" s="168">
        <f>Orthèses!H16+Orthèses!I16+Orthèses!F44+Orthèses!G44</f>
        <v>6.2222476229162194</v>
      </c>
      <c r="I54" s="132">
        <f>Orthèses!J16+Orthèses!H44</f>
        <v>2.2100075250468523</v>
      </c>
      <c r="J54" s="1229" t="s">
        <v>103</v>
      </c>
      <c r="Q54" s="277" t="s">
        <v>104</v>
      </c>
      <c r="R54" s="1193" t="s">
        <v>105</v>
      </c>
      <c r="S54" s="1268">
        <f>C56+C57</f>
        <v>310.09726629226327</v>
      </c>
    </row>
    <row r="55" spans="1:20" hidden="1" outlineLevel="1">
      <c r="A55" s="435"/>
      <c r="B55" s="276" t="s">
        <v>44</v>
      </c>
      <c r="C55" s="1033">
        <f t="shared" ref="C55:C57" si="1">SUM(D55:I55)</f>
        <v>227.83316513197786</v>
      </c>
      <c r="D55" s="691">
        <f>'Equipements d''imagerie'!C24</f>
        <v>101.57187257210566</v>
      </c>
      <c r="E55" s="168">
        <f>'Equipements d''imagerie'!D24</f>
        <v>11.013262015291239</v>
      </c>
      <c r="F55" s="168">
        <f>'Equipements d''imagerie'!E24</f>
        <v>1.0491219733943693</v>
      </c>
      <c r="G55" s="168">
        <f>'Equipements d''imagerie'!G24+'Equipements d''imagerie'!H24</f>
        <v>58.079269382314017</v>
      </c>
      <c r="H55" s="168">
        <f>'Equipements d''imagerie'!F24</f>
        <v>44.846387110446415</v>
      </c>
      <c r="I55" s="132">
        <f>'Equipements d''imagerie'!I24</f>
        <v>11.273252078426168</v>
      </c>
      <c r="J55" s="1229"/>
      <c r="Q55" s="277" t="s">
        <v>106</v>
      </c>
      <c r="R55" s="1193" t="s">
        <v>107</v>
      </c>
      <c r="S55" s="1268">
        <f>'DM-DIV'!C14</f>
        <v>806</v>
      </c>
    </row>
    <row r="56" spans="1:20" hidden="1" outlineLevel="1">
      <c r="A56" s="435"/>
      <c r="B56" s="276" t="s">
        <v>105</v>
      </c>
      <c r="C56" s="1033">
        <f t="shared" si="1"/>
        <v>197.47165827239581</v>
      </c>
      <c r="D56" s="691">
        <f>'Equipements électro-médicaux'!D26*50%</f>
        <v>53.830719802221275</v>
      </c>
      <c r="E56" s="168">
        <f>'Equipements électro-médicaux'!D26*50%</f>
        <v>53.830719802221275</v>
      </c>
      <c r="F56" s="168">
        <f>'Equipements électro-médicaux'!E26</f>
        <v>12.415870895592658</v>
      </c>
      <c r="G56" s="168">
        <f>'Equipements électro-médicaux'!G26+'Equipements électro-médicaux'!H26</f>
        <v>62.127614149434159</v>
      </c>
      <c r="H56" s="168">
        <f>'Equipements électro-médicaux'!F26</f>
        <v>8.9143580397008204</v>
      </c>
      <c r="I56" s="132">
        <f>'Equipements électro-médicaux'!I26</f>
        <v>6.3523755832256192</v>
      </c>
      <c r="J56" s="1229"/>
      <c r="Q56" s="277" t="s">
        <v>108</v>
      </c>
      <c r="R56" s="1193" t="s">
        <v>109</v>
      </c>
      <c r="S56" s="1268">
        <f>C59-S57</f>
        <v>867</v>
      </c>
    </row>
    <row r="57" spans="1:20" ht="16.5" hidden="1" customHeight="1" outlineLevel="1">
      <c r="A57" s="435"/>
      <c r="B57" s="276" t="s">
        <v>110</v>
      </c>
      <c r="C57" s="1033">
        <f t="shared" si="1"/>
        <v>112.62560801986747</v>
      </c>
      <c r="D57" s="691">
        <f>'Equipements path. respiratoire'!C19</f>
        <v>30.995629060463884</v>
      </c>
      <c r="E57" s="168">
        <f>'Equipements path. respiratoire'!D19</f>
        <v>4.5122785378531116</v>
      </c>
      <c r="F57" s="168">
        <f>'Equipements path. respiratoire'!E19</f>
        <v>1.5004947811131784</v>
      </c>
      <c r="G57" s="168">
        <f>'Equipements path. respiratoire'!F19 + 'Equipements path. respiratoire'!H19</f>
        <v>69.41860901666584</v>
      </c>
      <c r="H57" s="168">
        <f>'Equipements path. respiratoire'!G19</f>
        <v>4.106765270666763</v>
      </c>
      <c r="I57" s="132">
        <f>'Equipements path. respiratoire'!I19</f>
        <v>2.091831353104701</v>
      </c>
      <c r="J57" s="1229"/>
      <c r="Q57" s="277" t="s">
        <v>108</v>
      </c>
      <c r="R57" s="1193" t="s">
        <v>111</v>
      </c>
      <c r="S57" s="1268">
        <v>414</v>
      </c>
    </row>
    <row r="58" spans="1:20" ht="14.5" hidden="1" outlineLevel="1" thickBot="1">
      <c r="A58" s="435"/>
      <c r="B58" s="276" t="s">
        <v>112</v>
      </c>
      <c r="C58" s="1033">
        <f>SUM(D58:I58)</f>
        <v>16.050849251816118</v>
      </c>
      <c r="D58" s="691">
        <f>'Implants orthopédiques'!D14+'Implants orthopédiques'!E14+'Implants orthopédiques'!F14</f>
        <v>10.479783669478255</v>
      </c>
      <c r="E58" s="168">
        <f>'Implants orthopédiques'!G14</f>
        <v>3.5511658034075078</v>
      </c>
      <c r="F58" s="168">
        <f>'Implants orthopédiques'!H14</f>
        <v>0.56065605772512606</v>
      </c>
      <c r="G58" s="168"/>
      <c r="H58" s="168">
        <f>'Implants orthopédiques'!I14</f>
        <v>1.4592437212052314</v>
      </c>
      <c r="I58" s="132"/>
      <c r="J58" s="1231"/>
      <c r="Q58" s="315" t="s">
        <v>113</v>
      </c>
      <c r="R58" s="1220" t="s">
        <v>114</v>
      </c>
      <c r="S58" s="1269">
        <f>7400-SUM(S45:S57)</f>
        <v>2448.2204418075389</v>
      </c>
    </row>
    <row r="59" spans="1:20" hidden="1" outlineLevel="1">
      <c r="A59" s="435"/>
      <c r="B59" s="276" t="s">
        <v>115</v>
      </c>
      <c r="C59" s="1033">
        <f>867+414</f>
        <v>1281</v>
      </c>
      <c r="D59" s="691"/>
      <c r="E59" s="168"/>
      <c r="F59" s="168"/>
      <c r="G59" s="168"/>
      <c r="H59" s="168"/>
      <c r="I59" s="132"/>
      <c r="J59" s="1270" t="s">
        <v>116</v>
      </c>
      <c r="T59" s="1004"/>
    </row>
    <row r="60" spans="1:20" ht="14.5" hidden="1" outlineLevel="1" thickBot="1">
      <c r="A60" s="435"/>
      <c r="B60" s="515" t="s">
        <v>117</v>
      </c>
      <c r="C60" s="1227">
        <f>7400-SUM(C45:C59)</f>
        <v>3238.1695925557233</v>
      </c>
      <c r="D60" s="692"/>
      <c r="E60" s="170"/>
      <c r="F60" s="170"/>
      <c r="G60" s="170"/>
      <c r="H60" s="170"/>
      <c r="I60" s="209"/>
      <c r="J60" s="1271" t="s">
        <v>116</v>
      </c>
    </row>
    <row r="61" spans="1:20" ht="14.5" hidden="1" outlineLevel="1" thickBot="1">
      <c r="A61" s="435"/>
      <c r="B61" s="281" t="s">
        <v>83</v>
      </c>
      <c r="C61" s="685">
        <f>SUM(C45:C60)</f>
        <v>7400</v>
      </c>
      <c r="D61" s="1032">
        <f t="shared" ref="D61:I61" si="2">SUM(D45:D57)</f>
        <v>1488.9991765910356</v>
      </c>
      <c r="E61" s="721">
        <f t="shared" si="2"/>
        <v>565.49227885632797</v>
      </c>
      <c r="F61" s="721">
        <f t="shared" si="2"/>
        <v>109.79948409990608</v>
      </c>
      <c r="G61" s="721">
        <f t="shared" si="2"/>
        <v>198.82044847169766</v>
      </c>
      <c r="H61" s="721">
        <f t="shared" si="2"/>
        <v>303.42086142872677</v>
      </c>
      <c r="I61" s="721">
        <f t="shared" si="2"/>
        <v>198.24730874476694</v>
      </c>
    </row>
    <row r="62" spans="1:20" hidden="1" outlineLevel="1">
      <c r="A62" s="435"/>
    </row>
    <row r="63" spans="1:20" hidden="1" outlineLevel="1">
      <c r="A63" s="435"/>
    </row>
    <row r="64" spans="1:20" hidden="1" outlineLevel="1"/>
    <row r="65" spans="1:24" hidden="1" outlineLevel="1">
      <c r="A65" s="39"/>
    </row>
    <row r="66" spans="1:24" hidden="1" outlineLevel="1">
      <c r="W66" s="830"/>
    </row>
    <row r="67" spans="1:24" hidden="1" outlineLevel="1">
      <c r="W67" s="830"/>
    </row>
    <row r="68" spans="1:24" hidden="1" outlineLevel="1"/>
    <row r="69" spans="1:24" hidden="1" outlineLevel="1">
      <c r="V69" s="1251"/>
      <c r="W69" s="1251"/>
    </row>
    <row r="70" spans="1:24" hidden="1" outlineLevel="1">
      <c r="V70" s="39"/>
      <c r="W70" s="39"/>
      <c r="X70" s="1251"/>
    </row>
    <row r="71" spans="1:24" hidden="1" outlineLevel="1">
      <c r="V71" s="39"/>
      <c r="W71" s="39"/>
      <c r="X71" s="1251"/>
    </row>
    <row r="72" spans="1:24" hidden="1" outlineLevel="1"/>
    <row r="73" spans="1:24" hidden="1" outlineLevel="1"/>
    <row r="74" spans="1:24" hidden="1" outlineLevel="1"/>
    <row r="75" spans="1:24" hidden="1" outlineLevel="1"/>
    <row r="76" spans="1:24" hidden="1" outlineLevel="1"/>
    <row r="77" spans="1:24" hidden="1" outlineLevel="1"/>
    <row r="78" spans="1:24" hidden="1" outlineLevel="1"/>
    <row r="79" spans="1:24" hidden="1" outlineLevel="1"/>
    <row r="80" spans="1:24" hidden="1" outlineLevel="1"/>
    <row r="81" hidden="1" outlineLevel="1"/>
    <row r="82" hidden="1" outlineLevel="1"/>
    <row r="83" hidden="1" outlineLevel="1"/>
    <row r="84" hidden="1" outlineLevel="1"/>
    <row r="85" hidden="1" outlineLevel="1"/>
    <row r="86" hidden="1" outlineLevel="1"/>
    <row r="87" hidden="1" outlineLevel="1"/>
    <row r="88" hidden="1" outlineLevel="1"/>
    <row r="89" hidden="1" outlineLevel="1"/>
    <row r="90" hidden="1" outlineLevel="1"/>
    <row r="91" hidden="1" outlineLevel="1"/>
    <row r="92" hidden="1" outlineLevel="1"/>
    <row r="93" hidden="1" outlineLevel="1"/>
    <row r="94" hidden="1" outlineLevel="1"/>
    <row r="95" hidden="1" outlineLevel="1"/>
    <row r="96" hidden="1" outlineLevel="1"/>
    <row r="97" hidden="1" outlineLevel="1"/>
    <row r="98" hidden="1" outlineLevel="1"/>
    <row r="99" hidden="1" outlineLevel="1"/>
    <row r="100" hidden="1" outlineLevel="1"/>
    <row r="101" hidden="1" outlineLevel="1"/>
    <row r="102" hidden="1" outlineLevel="1"/>
    <row r="103" hidden="1" outlineLevel="1"/>
    <row r="104" hidden="1" outlineLevel="1"/>
    <row r="105" hidden="1" outlineLevel="1"/>
    <row r="106" hidden="1" outlineLevel="1"/>
    <row r="107" hidden="1" outlineLevel="1"/>
    <row r="108" hidden="1" outlineLevel="1"/>
    <row r="109" hidden="1" outlineLevel="1"/>
    <row r="110" hidden="1" outlineLevel="1"/>
    <row r="111" hidden="1" outlineLevel="1"/>
    <row r="112" collapsed="1"/>
    <row r="113" spans="2:5" ht="23.5">
      <c r="B113" s="2" t="s">
        <v>118</v>
      </c>
    </row>
    <row r="115" spans="2:5" ht="14.5" hidden="1" outlineLevel="1" thickBot="1">
      <c r="B115" s="1251" t="s">
        <v>119</v>
      </c>
    </row>
    <row r="116" spans="2:5" ht="42" hidden="1" outlineLevel="1">
      <c r="B116" s="273" t="s">
        <v>4915</v>
      </c>
      <c r="C116" s="1494" t="s">
        <v>121</v>
      </c>
      <c r="D116" s="1494" t="s">
        <v>4914</v>
      </c>
      <c r="E116" s="1495" t="s">
        <v>4916</v>
      </c>
    </row>
    <row r="117" spans="2:5" hidden="1" outlineLevel="1">
      <c r="B117" s="276" t="s">
        <v>97</v>
      </c>
      <c r="C117" s="11">
        <f>C47</f>
        <v>642.08019381854297</v>
      </c>
      <c r="D117" s="11">
        <f>C160</f>
        <v>74299.715720999986</v>
      </c>
      <c r="E117" s="1272">
        <f>1000*C117/D117</f>
        <v>8.6417584184250948</v>
      </c>
    </row>
    <row r="118" spans="2:5" hidden="1" outlineLevel="1">
      <c r="B118" s="276" t="s">
        <v>99</v>
      </c>
      <c r="C118" s="11">
        <f>C49</f>
        <v>392.66289653111676</v>
      </c>
      <c r="D118" s="11">
        <f>C162</f>
        <v>120984.15033553437</v>
      </c>
      <c r="E118" s="1272">
        <f t="shared" ref="E118:E126" si="3">1000*C118/D118</f>
        <v>3.2455730394610818</v>
      </c>
    </row>
    <row r="119" spans="2:5" hidden="1" outlineLevel="1">
      <c r="B119" s="276" t="s">
        <v>41</v>
      </c>
      <c r="C119" s="11">
        <f>C53</f>
        <v>527.93925674785169</v>
      </c>
      <c r="D119" s="11">
        <f>C167</f>
        <v>44522.259978975148</v>
      </c>
      <c r="E119" s="1272">
        <f t="shared" si="3"/>
        <v>11.8578719273721</v>
      </c>
    </row>
    <row r="120" spans="2:5" hidden="1" outlineLevel="1">
      <c r="B120" s="276" t="s">
        <v>122</v>
      </c>
      <c r="C120" s="11">
        <f>C45</f>
        <v>196.79364531654724</v>
      </c>
      <c r="D120" s="11">
        <f>C158</f>
        <v>13336.248643920939</v>
      </c>
      <c r="E120" s="1272">
        <f t="shared" si="3"/>
        <v>14.756296959584034</v>
      </c>
    </row>
    <row r="121" spans="2:5" hidden="1" outlineLevel="1">
      <c r="B121" s="276" t="s">
        <v>96</v>
      </c>
      <c r="C121" s="11">
        <f>C46</f>
        <v>173.60625170174046</v>
      </c>
      <c r="D121" s="11">
        <f>C159</f>
        <v>11227.630895656013</v>
      </c>
      <c r="E121" s="1272">
        <f t="shared" si="3"/>
        <v>15.462411733619509</v>
      </c>
    </row>
    <row r="122" spans="2:5" hidden="1" outlineLevel="1">
      <c r="B122" s="276" t="s">
        <v>123</v>
      </c>
      <c r="C122" s="11">
        <f>C54</f>
        <v>59.913202596026117</v>
      </c>
      <c r="D122" s="11">
        <f>C168</f>
        <v>1040.0000000000002</v>
      </c>
      <c r="E122" s="1272">
        <f t="shared" si="3"/>
        <v>57.608848650025102</v>
      </c>
    </row>
    <row r="123" spans="2:5" hidden="1" outlineLevel="1">
      <c r="B123" s="276" t="s">
        <v>43</v>
      </c>
      <c r="C123" s="136">
        <f>C57</f>
        <v>112.62560801986747</v>
      </c>
      <c r="D123" s="136">
        <f>C170</f>
        <v>3986.3710307818901</v>
      </c>
      <c r="E123" s="1272">
        <f t="shared" si="3"/>
        <v>28.252665682696623</v>
      </c>
    </row>
    <row r="124" spans="2:5" hidden="1" outlineLevel="1">
      <c r="B124" s="276" t="s">
        <v>124</v>
      </c>
      <c r="C124" s="11">
        <f>Optique!C27</f>
        <v>148.29200395380431</v>
      </c>
      <c r="D124" s="11">
        <f>C164</f>
        <v>436.4</v>
      </c>
      <c r="E124" s="1272">
        <f t="shared" si="3"/>
        <v>339.80752510037655</v>
      </c>
    </row>
    <row r="125" spans="2:5" hidden="1" outlineLevel="1">
      <c r="B125" s="276" t="s">
        <v>125</v>
      </c>
      <c r="C125" s="11">
        <f>Optique!C45</f>
        <v>60.812354963929693</v>
      </c>
      <c r="D125" s="11">
        <f>C165</f>
        <v>737.52</v>
      </c>
      <c r="E125" s="1272">
        <f t="shared" si="3"/>
        <v>82.455194386497581</v>
      </c>
    </row>
    <row r="126" spans="2:5" ht="14.5" hidden="1" outlineLevel="1" thickBot="1">
      <c r="B126" s="281" t="s">
        <v>44</v>
      </c>
      <c r="C126" s="14">
        <f>C55</f>
        <v>227.83316513197786</v>
      </c>
      <c r="D126" s="14">
        <f>C169</f>
        <v>5872.5125099598727</v>
      </c>
      <c r="E126" s="1273">
        <f t="shared" si="3"/>
        <v>38.796539768211524</v>
      </c>
    </row>
    <row r="127" spans="2:5" hidden="1" outlineLevel="1"/>
    <row r="128" spans="2:5" hidden="1" outlineLevel="1"/>
    <row r="129" spans="9:23" hidden="1" outlineLevel="1">
      <c r="K129" s="815"/>
    </row>
    <row r="130" spans="9:23" hidden="1" outlineLevel="1">
      <c r="I130" s="1251" t="s">
        <v>126</v>
      </c>
      <c r="K130" s="815"/>
      <c r="U130" s="1224"/>
      <c r="V130" s="1224"/>
      <c r="W130" s="1224"/>
    </row>
    <row r="131" spans="9:23" hidden="1" outlineLevel="1"/>
    <row r="132" spans="9:23" hidden="1" outlineLevel="1"/>
    <row r="133" spans="9:23" hidden="1" outlineLevel="1"/>
    <row r="134" spans="9:23" hidden="1" outlineLevel="1"/>
    <row r="135" spans="9:23" hidden="1" outlineLevel="1"/>
    <row r="136" spans="9:23" hidden="1" outlineLevel="1"/>
    <row r="137" spans="9:23" hidden="1" outlineLevel="1"/>
    <row r="138" spans="9:23" hidden="1" outlineLevel="1"/>
    <row r="139" spans="9:23" hidden="1" outlineLevel="1"/>
    <row r="140" spans="9:23" hidden="1" outlineLevel="1"/>
    <row r="141" spans="9:23" hidden="1" outlineLevel="1"/>
    <row r="142" spans="9:23" hidden="1" outlineLevel="1"/>
    <row r="143" spans="9:23" hidden="1" outlineLevel="1"/>
    <row r="144" spans="9:23" hidden="1" outlineLevel="1"/>
    <row r="145" spans="2:10" hidden="1" outlineLevel="1"/>
    <row r="146" spans="2:10" hidden="1" outlineLevel="1"/>
    <row r="147" spans="2:10" hidden="1" outlineLevel="1"/>
    <row r="148" spans="2:10" hidden="1" outlineLevel="1"/>
    <row r="149" spans="2:10" hidden="1" outlineLevel="1"/>
    <row r="150" spans="2:10" hidden="1" outlineLevel="1"/>
    <row r="151" spans="2:10" hidden="1" outlineLevel="1">
      <c r="B151" s="1496" t="s">
        <v>4942</v>
      </c>
    </row>
    <row r="152" spans="2:10" collapsed="1"/>
    <row r="153" spans="2:10" ht="23.5">
      <c r="B153" s="2" t="s">
        <v>127</v>
      </c>
    </row>
    <row r="155" spans="2:10" hidden="1" outlineLevel="1">
      <c r="B155" s="1251" t="s">
        <v>128</v>
      </c>
    </row>
    <row r="156" spans="2:10" ht="14.5" hidden="1" outlineLevel="1" thickBot="1"/>
    <row r="157" spans="2:10" ht="28" hidden="1" outlineLevel="1">
      <c r="B157" s="259" t="s">
        <v>4917</v>
      </c>
      <c r="C157" s="285" t="s">
        <v>83</v>
      </c>
      <c r="D157" s="287" t="s">
        <v>129</v>
      </c>
      <c r="E157" s="287" t="s">
        <v>130</v>
      </c>
      <c r="F157" s="285" t="s">
        <v>131</v>
      </c>
      <c r="G157" s="287" t="s">
        <v>132</v>
      </c>
      <c r="H157" s="285" t="s">
        <v>133</v>
      </c>
      <c r="I157" s="288" t="s">
        <v>134</v>
      </c>
    </row>
    <row r="158" spans="2:10" hidden="1" outlineLevel="1">
      <c r="B158" s="276" t="s">
        <v>93</v>
      </c>
      <c r="C158" s="728">
        <f t="shared" ref="C158:C164" si="4">SUM(D158:I158)</f>
        <v>13336.248643920939</v>
      </c>
      <c r="D158" s="190">
        <f>EPI!D62</f>
        <v>13336.248643920939</v>
      </c>
      <c r="E158" s="190"/>
      <c r="F158" s="190"/>
      <c r="G158" s="190"/>
      <c r="H158" s="190"/>
      <c r="I158" s="12"/>
      <c r="J158" s="877" t="s">
        <v>94</v>
      </c>
    </row>
    <row r="159" spans="2:10" hidden="1" outlineLevel="1">
      <c r="B159" s="276" t="s">
        <v>96</v>
      </c>
      <c r="C159" s="728">
        <f t="shared" si="4"/>
        <v>11227.630895656013</v>
      </c>
      <c r="D159" s="190">
        <f>50%*EPI!D63+50%*50%*EPI!D63</f>
        <v>8420.7231717420109</v>
      </c>
      <c r="E159" s="190">
        <f>50%*50%*EPI!D63</f>
        <v>2806.9077239140033</v>
      </c>
      <c r="F159" s="190"/>
      <c r="G159" s="190"/>
      <c r="H159" s="190"/>
      <c r="I159" s="12"/>
      <c r="J159" s="877" t="s">
        <v>94</v>
      </c>
    </row>
    <row r="160" spans="2:10" hidden="1" outlineLevel="1">
      <c r="B160" s="276" t="s">
        <v>97</v>
      </c>
      <c r="C160" s="728">
        <f t="shared" si="4"/>
        <v>74299.715720999986</v>
      </c>
      <c r="D160" s="190">
        <f>SUM('Consommables plastiques'!C38:C44)</f>
        <v>74299.715720999986</v>
      </c>
      <c r="E160" s="190"/>
      <c r="F160" s="190"/>
      <c r="G160" s="190"/>
      <c r="H160" s="190"/>
      <c r="I160" s="12"/>
    </row>
    <row r="161" spans="2:9" hidden="1" outlineLevel="1">
      <c r="B161" s="276" t="s">
        <v>135</v>
      </c>
      <c r="C161" s="728">
        <f t="shared" si="4"/>
        <v>9649.0511239805946</v>
      </c>
      <c r="D161" s="190">
        <f>SUM('Dispositifs urologie'!E278:E284)*10^3</f>
        <v>9649.0511239805946</v>
      </c>
      <c r="E161" s="190"/>
      <c r="F161" s="190"/>
      <c r="G161" s="190"/>
      <c r="H161" s="190"/>
      <c r="I161" s="12"/>
    </row>
    <row r="162" spans="2:9" hidden="1" outlineLevel="1">
      <c r="B162" s="276" t="s">
        <v>99</v>
      </c>
      <c r="C162" s="728">
        <f t="shared" si="4"/>
        <v>120984.15033553437</v>
      </c>
      <c r="D162" s="190">
        <f>SUMPRODUCT(Incontinence!J80:J84,Incontinence!M80:M84)+SUMPRODUCT(Incontinence!I80:I84,Incontinence!M80:M84)+SUMPRODUCT(Incontinence!K80:K84,Incontinence!M80:M84)</f>
        <v>47446.736865453262</v>
      </c>
      <c r="E162" s="190">
        <f>SUMPRODUCT(Incontinence!L80:L84,Incontinence!M80:M84)</f>
        <v>73537.413470081112</v>
      </c>
      <c r="F162" s="190"/>
      <c r="G162" s="190"/>
      <c r="H162" s="190"/>
      <c r="I162" s="12"/>
    </row>
    <row r="163" spans="2:9" hidden="1" outlineLevel="1">
      <c r="B163" s="276" t="s">
        <v>100</v>
      </c>
      <c r="C163" s="608">
        <f t="shared" si="4"/>
        <v>2029.2457890765245</v>
      </c>
      <c r="D163" s="190">
        <f>Pansements!H1158+Pansements!H1159</f>
        <v>1479.5505926116568</v>
      </c>
      <c r="E163" s="190">
        <f>Pansements!G1158+Pansements!G1159</f>
        <v>549.69519646486776</v>
      </c>
      <c r="F163" s="190"/>
      <c r="G163" s="190"/>
      <c r="H163" s="190"/>
      <c r="I163" s="12"/>
    </row>
    <row r="164" spans="2:9" hidden="1" outlineLevel="1">
      <c r="B164" s="276" t="s">
        <v>124</v>
      </c>
      <c r="C164" s="608">
        <f t="shared" si="4"/>
        <v>436.4</v>
      </c>
      <c r="D164" s="190">
        <f>10*Optique!C75/10^6</f>
        <v>436.4</v>
      </c>
      <c r="E164" s="190"/>
      <c r="F164" s="190"/>
      <c r="G164" s="190"/>
      <c r="H164" s="190"/>
      <c r="I164" s="12"/>
    </row>
    <row r="165" spans="2:9" hidden="1" outlineLevel="1">
      <c r="B165" s="276" t="s">
        <v>125</v>
      </c>
      <c r="C165" s="608">
        <f t="shared" ref="C165:C169" si="5">SUM(D165:I165)</f>
        <v>737.52</v>
      </c>
      <c r="D165" s="190">
        <f>50%*SUM(Optique!C465:C467)*Optique!C96/10^6</f>
        <v>565.52</v>
      </c>
      <c r="E165" s="190"/>
      <c r="F165" s="190">
        <f>50%*SUM(Optique!H465:H471)*Optique!C96/10^6</f>
        <v>172</v>
      </c>
      <c r="G165" s="190"/>
      <c r="H165" s="190"/>
      <c r="I165" s="12"/>
    </row>
    <row r="166" spans="2:9" hidden="1" outlineLevel="1">
      <c r="B166" s="276" t="s">
        <v>37</v>
      </c>
      <c r="C166" s="608">
        <f>('Aides auditives'!C284*'Aides auditives'!D284+'Aides auditives'!C289*'Aides auditives'!D289)/10^6</f>
        <v>342.7276688</v>
      </c>
      <c r="D166" s="1222"/>
      <c r="E166" s="1222"/>
      <c r="F166" s="1222"/>
      <c r="G166" s="1222"/>
      <c r="H166" s="1222"/>
      <c r="I166" s="1223"/>
    </row>
    <row r="167" spans="2:9" hidden="1" outlineLevel="1">
      <c r="B167" s="276" t="s">
        <v>41</v>
      </c>
      <c r="C167" s="728">
        <f>SUM(D167:I167)</f>
        <v>44522.259978975148</v>
      </c>
      <c r="D167" s="190">
        <f>'Aides techniques'!M262+'Aides techniques'!O262</f>
        <v>18087.083414303281</v>
      </c>
      <c r="E167" s="190"/>
      <c r="F167" s="190">
        <f>'Aides techniques'!L262</f>
        <v>17705.223013446623</v>
      </c>
      <c r="G167" s="190">
        <f>'Aides techniques'!K262</f>
        <v>7980.9801807284312</v>
      </c>
      <c r="H167" s="190">
        <f>'Aides techniques'!Q262</f>
        <v>360</v>
      </c>
      <c r="I167" s="12">
        <f>'Aides techniques'!P262+'Aides techniques'!N262</f>
        <v>388.97337049681119</v>
      </c>
    </row>
    <row r="168" spans="2:9" hidden="1" outlineLevel="1">
      <c r="B168" s="276" t="s">
        <v>123</v>
      </c>
      <c r="C168" s="608">
        <f t="shared" si="5"/>
        <v>1040.0000000000002</v>
      </c>
      <c r="D168" s="190">
        <f>Orthèses!$C$118*(Orthèses!C192+Orthèses!C193+Orthèses!C194+Orthèses!C196)/10^6</f>
        <v>967.20000000000016</v>
      </c>
      <c r="E168" s="190">
        <f>Orthèses!$C$118*Orthèses!C195/10^6</f>
        <v>72.8</v>
      </c>
      <c r="F168" s="190"/>
      <c r="G168" s="190"/>
      <c r="H168" s="190"/>
      <c r="I168" s="12"/>
    </row>
    <row r="169" spans="2:9" hidden="1" outlineLevel="1">
      <c r="B169" s="276" t="s">
        <v>44</v>
      </c>
      <c r="C169" s="728">
        <f t="shared" si="5"/>
        <v>5872.5125099598727</v>
      </c>
      <c r="D169" s="190">
        <v>714.28380280616818</v>
      </c>
      <c r="E169" s="190"/>
      <c r="F169" s="190">
        <v>2946.700900494634</v>
      </c>
      <c r="G169" s="190">
        <v>1648.4050972398429</v>
      </c>
      <c r="H169" s="190">
        <v>51.008833179127421</v>
      </c>
      <c r="I169" s="12">
        <v>512.11387624009956</v>
      </c>
    </row>
    <row r="170" spans="2:9" ht="14.5" hidden="1" outlineLevel="1" thickBot="1">
      <c r="B170" s="281" t="s">
        <v>43</v>
      </c>
      <c r="C170" s="198">
        <f>SUM('Equipements électro-médicaux'!G150+'Equipements électro-médicaux'!G135)+SUMPRODUCT('Equipements path. respiratoire'!C107:C113,'Equipements path. respiratoire'!D90:D96)/10^3</f>
        <v>3986.3710307818901</v>
      </c>
      <c r="D170" s="722">
        <v>1275.6387298502048</v>
      </c>
      <c r="E170" s="722"/>
      <c r="F170" s="722">
        <v>1833.7306741596694</v>
      </c>
      <c r="G170" s="722"/>
      <c r="H170" s="722">
        <v>877.00162677201592</v>
      </c>
      <c r="I170" s="845"/>
    </row>
    <row r="171" spans="2:9" hidden="1" outlineLevel="1"/>
    <row r="172" spans="2:9" hidden="1" outlineLevel="1"/>
    <row r="173" spans="2:9" hidden="1" outlineLevel="1">
      <c r="B173" s="726" t="s">
        <v>136</v>
      </c>
      <c r="C173" s="1274" t="s">
        <v>137</v>
      </c>
    </row>
    <row r="174" spans="2:9" hidden="1" outlineLevel="1"/>
    <row r="175" spans="2:9" hidden="1" outlineLevel="1"/>
    <row r="176" spans="2:9" hidden="1" outlineLevel="1"/>
    <row r="177" spans="2:4" ht="14.5" hidden="1" outlineLevel="1" thickBot="1"/>
    <row r="178" spans="2:4" hidden="1" outlineLevel="1">
      <c r="B178" s="402" t="s">
        <v>138</v>
      </c>
      <c r="C178" s="590" t="s">
        <v>83</v>
      </c>
    </row>
    <row r="179" spans="2:4" hidden="1" outlineLevel="1">
      <c r="B179" s="408" t="s">
        <v>97</v>
      </c>
      <c r="C179" s="1275">
        <f>SUM('Consommables plastiques'!C38:C44)</f>
        <v>74299.715720999986</v>
      </c>
    </row>
    <row r="180" spans="2:4" hidden="1" outlineLevel="1">
      <c r="B180" s="408" t="s">
        <v>99</v>
      </c>
      <c r="C180" s="1275">
        <f>D162</f>
        <v>47446.736865453262</v>
      </c>
    </row>
    <row r="181" spans="2:4" hidden="1" outlineLevel="1">
      <c r="B181" s="408" t="s">
        <v>93</v>
      </c>
      <c r="C181" s="1275">
        <f>C158</f>
        <v>13336.248643920939</v>
      </c>
    </row>
    <row r="182" spans="2:4" hidden="1" outlineLevel="1">
      <c r="B182" s="408" t="s">
        <v>96</v>
      </c>
      <c r="C182" s="1275">
        <f>C159</f>
        <v>11227.630895656013</v>
      </c>
    </row>
    <row r="183" spans="2:4" ht="14.5" hidden="1" outlineLevel="1" thickBot="1">
      <c r="B183" s="403" t="s">
        <v>139</v>
      </c>
      <c r="C183" s="1276">
        <f>10^3*SUM('Dispositifs urologie'!E278:E284)</f>
        <v>9649.0511239805946</v>
      </c>
    </row>
    <row r="184" spans="2:4" ht="14.5" hidden="1" outlineLevel="1" thickBot="1">
      <c r="B184" s="1221" t="s">
        <v>140</v>
      </c>
      <c r="C184" s="669">
        <f>50000</f>
        <v>50000</v>
      </c>
    </row>
    <row r="185" spans="2:4" hidden="1" outlineLevel="1"/>
    <row r="186" spans="2:4" collapsed="1"/>
    <row r="187" spans="2:4" ht="23.5">
      <c r="B187" s="2" t="s">
        <v>141</v>
      </c>
    </row>
    <row r="189" spans="2:4" ht="15.5" hidden="1" outlineLevel="1">
      <c r="B189" s="679" t="s">
        <v>142</v>
      </c>
    </row>
    <row r="190" spans="2:4" ht="14.5" hidden="1" outlineLevel="1" thickBot="1">
      <c r="B190" s="1251"/>
    </row>
    <row r="191" spans="2:4" hidden="1" outlineLevel="1">
      <c r="B191" s="273"/>
      <c r="C191" s="285" t="s">
        <v>120</v>
      </c>
      <c r="D191" s="286" t="s">
        <v>4918</v>
      </c>
    </row>
    <row r="192" spans="2:4" hidden="1" outlineLevel="1">
      <c r="B192" s="276" t="s">
        <v>93</v>
      </c>
      <c r="C192" s="190">
        <f>C158</f>
        <v>13336.248643920939</v>
      </c>
      <c r="D192" s="729">
        <f>EPI!C286</f>
        <v>7.1469970895263316E-2</v>
      </c>
    </row>
    <row r="193" spans="2:4" hidden="1" outlineLevel="1">
      <c r="B193" s="276" t="s">
        <v>96</v>
      </c>
      <c r="C193" s="190">
        <f>C159</f>
        <v>11227.630895656013</v>
      </c>
      <c r="D193" s="729">
        <f>AVERAGE(EPI!C287:C288)</f>
        <v>1.6833149940685167E-2</v>
      </c>
    </row>
    <row r="194" spans="2:4" hidden="1" outlineLevel="1">
      <c r="B194" s="276" t="s">
        <v>97</v>
      </c>
      <c r="C194" s="190">
        <f>C160</f>
        <v>74299.715720999986</v>
      </c>
      <c r="D194" s="729">
        <f>'Consommables plastiques'!C157</f>
        <v>0.33014280366179199</v>
      </c>
    </row>
    <row r="195" spans="2:4" hidden="1" outlineLevel="1">
      <c r="B195" s="276" t="s">
        <v>99</v>
      </c>
      <c r="C195" s="190">
        <f>C162</f>
        <v>120984.15033553437</v>
      </c>
      <c r="D195" s="729">
        <f>Incontinence!C218</f>
        <v>0.1</v>
      </c>
    </row>
    <row r="196" spans="2:4" hidden="1" outlineLevel="1">
      <c r="B196" s="276" t="s">
        <v>124</v>
      </c>
      <c r="C196" s="190">
        <f t="shared" ref="C196:C202" si="6">C164</f>
        <v>436.4</v>
      </c>
      <c r="D196" s="729">
        <f>AVERAGE(Optique!C356,Optique!C358)</f>
        <v>0.375</v>
      </c>
    </row>
    <row r="197" spans="2:4" hidden="1" outlineLevel="1">
      <c r="B197" s="276" t="s">
        <v>125</v>
      </c>
      <c r="C197" s="190">
        <f t="shared" si="6"/>
        <v>737.52</v>
      </c>
      <c r="D197" s="729">
        <f>5%</f>
        <v>0.05</v>
      </c>
    </row>
    <row r="198" spans="2:4" hidden="1" outlineLevel="1">
      <c r="B198" s="276" t="s">
        <v>37</v>
      </c>
      <c r="C198" s="190">
        <f t="shared" si="6"/>
        <v>342.7276688</v>
      </c>
      <c r="D198" s="729">
        <f>'Aides auditives'!C267</f>
        <v>0.06</v>
      </c>
    </row>
    <row r="199" spans="2:4" hidden="1" outlineLevel="1">
      <c r="B199" s="276" t="s">
        <v>41</v>
      </c>
      <c r="C199" s="190">
        <f t="shared" si="6"/>
        <v>44522.259978975148</v>
      </c>
      <c r="D199" s="729">
        <f>SUMPRODUCT('Aides techniques'!G344:G350,'Aides techniques'!H344:H350)/SUM('Aides techniques'!G344:G350)</f>
        <v>0.25642547749039823</v>
      </c>
    </row>
    <row r="200" spans="2:4" hidden="1" outlineLevel="1">
      <c r="B200" s="276" t="s">
        <v>123</v>
      </c>
      <c r="C200" s="190">
        <f t="shared" si="6"/>
        <v>1040.0000000000002</v>
      </c>
      <c r="D200" s="729">
        <v>0.6</v>
      </c>
    </row>
    <row r="201" spans="2:4" hidden="1" outlineLevel="1">
      <c r="B201" s="276" t="s">
        <v>44</v>
      </c>
      <c r="C201" s="190">
        <f t="shared" si="6"/>
        <v>5872.5125099598727</v>
      </c>
      <c r="D201" s="729">
        <f>D202</f>
        <v>0.18206550853201975</v>
      </c>
    </row>
    <row r="202" spans="2:4" ht="14.5" hidden="1" outlineLevel="1" thickBot="1">
      <c r="B202" s="281" t="s">
        <v>43</v>
      </c>
      <c r="C202" s="722">
        <f t="shared" si="6"/>
        <v>3986.3710307818901</v>
      </c>
      <c r="D202" s="730">
        <f>AVERAGE('Equipements path. respiratoire'!C214:C215)</f>
        <v>0.18206550853201975</v>
      </c>
    </row>
    <row r="203" spans="2:4" ht="42.5" hidden="1" outlineLevel="1" thickBot="1">
      <c r="C203" s="1497" t="s">
        <v>643</v>
      </c>
      <c r="D203" s="1487">
        <f>SUMPRODUCT(D192:D202,C192:C202)/SUM(C192:C202)</f>
        <v>0.18724520027813285</v>
      </c>
    </row>
    <row r="204" spans="2:4" hidden="1" outlineLevel="1"/>
    <row r="205" spans="2:4" ht="15.5" hidden="1" outlineLevel="1">
      <c r="B205" s="679" t="s">
        <v>145</v>
      </c>
    </row>
    <row r="206" spans="2:4" hidden="1" outlineLevel="1"/>
    <row r="207" spans="2:4" hidden="1" outlineLevel="1">
      <c r="B207" s="1251" t="s">
        <v>146</v>
      </c>
    </row>
    <row r="208" spans="2:4" hidden="1" outlineLevel="1">
      <c r="B208" s="1251"/>
    </row>
    <row r="209" spans="2:6" ht="14.5" hidden="1" outlineLevel="1" thickBot="1">
      <c r="B209" s="3" t="s">
        <v>147</v>
      </c>
      <c r="E209" s="3" t="s">
        <v>148</v>
      </c>
    </row>
    <row r="210" spans="2:6" hidden="1" outlineLevel="1">
      <c r="B210" s="773" t="s">
        <v>149</v>
      </c>
      <c r="C210" s="775" t="s">
        <v>150</v>
      </c>
      <c r="E210" s="773" t="s">
        <v>151</v>
      </c>
      <c r="F210" s="775" t="s">
        <v>152</v>
      </c>
    </row>
    <row r="211" spans="2:6" hidden="1" outlineLevel="1">
      <c r="B211" s="776" t="s">
        <v>153</v>
      </c>
      <c r="C211" s="584">
        <v>0.17332555359896082</v>
      </c>
      <c r="E211" s="776" t="s">
        <v>154</v>
      </c>
      <c r="F211" s="584">
        <v>0.49977098042598722</v>
      </c>
    </row>
    <row r="212" spans="2:6" hidden="1" outlineLevel="1">
      <c r="B212" s="776" t="s">
        <v>155</v>
      </c>
      <c r="C212" s="584">
        <v>0.11497240028583341</v>
      </c>
      <c r="E212" s="776" t="s">
        <v>153</v>
      </c>
      <c r="F212" s="584">
        <v>0.17379181113424402</v>
      </c>
    </row>
    <row r="213" spans="2:6" hidden="1" outlineLevel="1">
      <c r="B213" s="776" t="s">
        <v>156</v>
      </c>
      <c r="C213" s="311">
        <v>9.3563065844012916E-2</v>
      </c>
      <c r="E213" s="776" t="s">
        <v>157</v>
      </c>
      <c r="F213" s="311">
        <v>0.10747206009381334</v>
      </c>
    </row>
    <row r="214" spans="2:6" hidden="1" outlineLevel="1">
      <c r="B214" s="776" t="s">
        <v>158</v>
      </c>
      <c r="C214" s="311">
        <v>6.8173090175108947E-2</v>
      </c>
      <c r="E214" s="776" t="s">
        <v>159</v>
      </c>
      <c r="F214" s="311">
        <v>6.5378732978433884E-2</v>
      </c>
    </row>
    <row r="215" spans="2:6" hidden="1" outlineLevel="1">
      <c r="B215" s="776" t="s">
        <v>160</v>
      </c>
      <c r="C215" s="311">
        <v>6.362858022715312E-2</v>
      </c>
      <c r="E215" s="776" t="s">
        <v>161</v>
      </c>
      <c r="F215" s="311">
        <v>5.5080188821356089E-2</v>
      </c>
    </row>
    <row r="216" spans="2:6" hidden="1" outlineLevel="1">
      <c r="B216" s="776" t="s">
        <v>162</v>
      </c>
      <c r="C216" s="311">
        <v>4.4963319903938398E-2</v>
      </c>
      <c r="E216" s="776" t="s">
        <v>163</v>
      </c>
      <c r="F216" s="311">
        <v>3.2703644162303508E-2</v>
      </c>
    </row>
    <row r="217" spans="2:6" hidden="1" outlineLevel="1">
      <c r="B217" s="776" t="s">
        <v>164</v>
      </c>
      <c r="C217" s="311">
        <v>3.8074327788906785E-2</v>
      </c>
      <c r="E217" s="776" t="s">
        <v>165</v>
      </c>
      <c r="F217" s="311">
        <v>1.7108872879371632E-2</v>
      </c>
    </row>
    <row r="218" spans="2:6" hidden="1" outlineLevel="1">
      <c r="B218" s="776" t="s">
        <v>166</v>
      </c>
      <c r="C218" s="311">
        <v>3.7614558233466357E-2</v>
      </c>
      <c r="E218" s="776" t="s">
        <v>167</v>
      </c>
      <c r="F218" s="311">
        <v>1.6591911731784779E-2</v>
      </c>
    </row>
    <row r="219" spans="2:6" hidden="1" outlineLevel="1">
      <c r="B219" s="776" t="s">
        <v>168</v>
      </c>
      <c r="C219" s="311">
        <v>3.2417921423637086E-2</v>
      </c>
      <c r="E219" s="776" t="s">
        <v>169</v>
      </c>
      <c r="F219" s="311">
        <v>1.3961731868837639E-2</v>
      </c>
    </row>
    <row r="220" spans="2:6" hidden="1" outlineLevel="1">
      <c r="B220" s="776" t="s">
        <v>170</v>
      </c>
      <c r="C220" s="311">
        <v>3.1269324053850675E-2</v>
      </c>
      <c r="E220" s="776" t="s">
        <v>171</v>
      </c>
      <c r="F220" s="311">
        <v>1.3640342661059028E-2</v>
      </c>
    </row>
    <row r="221" spans="2:6" hidden="1" outlineLevel="1">
      <c r="B221" s="776" t="s">
        <v>172</v>
      </c>
      <c r="C221" s="311">
        <v>2.8831909518094299E-2</v>
      </c>
      <c r="E221" s="776" t="s">
        <v>173</v>
      </c>
      <c r="F221" s="311">
        <v>3.3242024457346251E-3</v>
      </c>
    </row>
    <row r="222" spans="2:6" hidden="1" outlineLevel="1">
      <c r="B222" s="776" t="s">
        <v>174</v>
      </c>
      <c r="C222" s="311">
        <v>2.6841163335290553E-2</v>
      </c>
      <c r="E222" s="776" t="s">
        <v>175</v>
      </c>
      <c r="F222" s="311">
        <v>1.1755032115672737E-3</v>
      </c>
    </row>
    <row r="223" spans="2:6" ht="14.5" hidden="1" outlineLevel="1" thickBot="1">
      <c r="B223" s="776" t="s">
        <v>176</v>
      </c>
      <c r="C223" s="311">
        <v>2.1187619890510805E-2</v>
      </c>
      <c r="E223" s="520" t="s">
        <v>177</v>
      </c>
      <c r="F223" s="313">
        <v>1.7585506942438084E-8</v>
      </c>
    </row>
    <row r="224" spans="2:6" hidden="1" outlineLevel="1">
      <c r="B224" s="776" t="s">
        <v>178</v>
      </c>
      <c r="C224" s="311">
        <v>1.5963194463002039E-2</v>
      </c>
    </row>
    <row r="225" spans="2:3" ht="14.5" hidden="1" outlineLevel="1" thickBot="1">
      <c r="B225" s="520" t="s">
        <v>177</v>
      </c>
      <c r="C225" s="313">
        <v>0.20917397125823389</v>
      </c>
    </row>
    <row r="226" spans="2:3" hidden="1" outlineLevel="1"/>
    <row r="227" spans="2:3" hidden="1" outlineLevel="1"/>
    <row r="228" spans="2:3" hidden="1" outlineLevel="1"/>
    <row r="229" spans="2:3" hidden="1" outlineLevel="1"/>
    <row r="230" spans="2:3" hidden="1" outlineLevel="1"/>
    <row r="231" spans="2:3" hidden="1" outlineLevel="1"/>
    <row r="232" spans="2:3" hidden="1" outlineLevel="1"/>
    <row r="233" spans="2:3" hidden="1" outlineLevel="1"/>
    <row r="234" spans="2:3" hidden="1" outlineLevel="1"/>
    <row r="235" spans="2:3" hidden="1" outlineLevel="1"/>
    <row r="236" spans="2:3" hidden="1" outlineLevel="1"/>
    <row r="237" spans="2:3" hidden="1" outlineLevel="1"/>
    <row r="238" spans="2:3" hidden="1" outlineLevel="1"/>
    <row r="239" spans="2:3" hidden="1" outlineLevel="1"/>
    <row r="240" spans="2:3" hidden="1" outlineLevel="1"/>
    <row r="241" hidden="1" outlineLevel="1"/>
    <row r="242" hidden="1" outlineLevel="1"/>
    <row r="243" hidden="1" outlineLevel="1"/>
    <row r="244" hidden="1" outlineLevel="1"/>
    <row r="245" hidden="1" outlineLevel="1"/>
    <row r="246" hidden="1" outlineLevel="1"/>
    <row r="247" hidden="1" outlineLevel="1"/>
    <row r="248" hidden="1" outlineLevel="1"/>
    <row r="249" collapsed="1"/>
  </sheetData>
  <mergeCells count="1">
    <mergeCell ref="A1:XFD2"/>
  </mergeCells>
  <conditionalFormatting sqref="A1:XFD2">
    <cfRule type="containsBlanks" dxfId="40" priority="1">
      <formula>LEN(TRIM(A1))=0</formula>
    </cfRule>
  </conditionalFormatting>
  <pageMargins left="0.7" right="0.7" top="0.75" bottom="0.75" header="0.3" footer="0.3"/>
  <pageSetup paperSize="9" orientation="portrait" r:id="rId1"/>
  <drawing r:id="rId2"/>
  <legacy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E9095D-BB47-4846-B332-80E52479EBD7}">
  <sheetPr>
    <tabColor theme="8"/>
  </sheetPr>
  <dimension ref="A1:T401"/>
  <sheetViews>
    <sheetView zoomScale="60" zoomScaleNormal="60" workbookViewId="0">
      <selection activeCell="A48" sqref="A48:XFD48"/>
    </sheetView>
  </sheetViews>
  <sheetFormatPr baseColWidth="10" defaultColWidth="11" defaultRowHeight="14" outlineLevelRow="2"/>
  <cols>
    <col min="2" max="2" width="63" customWidth="1"/>
    <col min="3" max="3" width="18.5" customWidth="1"/>
    <col min="4" max="4" width="18.1640625" customWidth="1"/>
    <col min="5" max="5" width="17.6640625" customWidth="1"/>
    <col min="6" max="6" width="16.33203125" customWidth="1"/>
    <col min="7" max="7" width="51.1640625" customWidth="1"/>
    <col min="8" max="8" width="19.5" customWidth="1"/>
    <col min="9" max="9" width="18.83203125" customWidth="1"/>
    <col min="10" max="10" width="22.1640625" customWidth="1"/>
    <col min="11" max="11" width="10.83203125" bestFit="1" customWidth="1"/>
    <col min="12" max="12" width="13.83203125" bestFit="1" customWidth="1"/>
    <col min="13" max="13" width="10.6640625" bestFit="1" customWidth="1"/>
    <col min="14" max="14" width="10.83203125" bestFit="1" customWidth="1"/>
    <col min="15" max="15" width="13.33203125" bestFit="1" customWidth="1"/>
    <col min="16" max="16" width="10.83203125" bestFit="1" customWidth="1"/>
  </cols>
  <sheetData>
    <row r="1" spans="1:20" s="1505" customFormat="1">
      <c r="A1" s="1505" t="s">
        <v>50</v>
      </c>
    </row>
    <row r="2" spans="1:20" s="1505" customFormat="1"/>
    <row r="5" spans="1:20">
      <c r="B5" s="1251" t="s">
        <v>51</v>
      </c>
    </row>
    <row r="6" spans="1:20">
      <c r="B6" s="1251"/>
    </row>
    <row r="8" spans="1:20" ht="23.5">
      <c r="B8" s="2" t="s">
        <v>180</v>
      </c>
    </row>
    <row r="9" spans="1:20">
      <c r="B9" s="468"/>
      <c r="C9" s="468"/>
      <c r="D9" s="468"/>
      <c r="E9" s="468"/>
      <c r="F9" s="468"/>
      <c r="G9" s="468"/>
      <c r="H9" s="468"/>
      <c r="I9" s="468"/>
      <c r="J9" s="468"/>
      <c r="K9" s="468"/>
      <c r="L9" s="468"/>
      <c r="M9" s="468"/>
      <c r="N9" s="468"/>
    </row>
    <row r="10" spans="1:20" ht="14.5" hidden="1" outlineLevel="1" thickBot="1">
      <c r="H10" s="468"/>
    </row>
    <row r="11" spans="1:20" ht="29" hidden="1" outlineLevel="1">
      <c r="B11" s="218"/>
      <c r="C11" s="1057" t="s">
        <v>83</v>
      </c>
      <c r="D11" s="169" t="s">
        <v>4076</v>
      </c>
      <c r="E11" s="169" t="s">
        <v>4077</v>
      </c>
      <c r="F11" s="169" t="s">
        <v>4078</v>
      </c>
      <c r="G11" s="158" t="s">
        <v>4079</v>
      </c>
      <c r="H11" s="158" t="s">
        <v>4080</v>
      </c>
      <c r="I11" s="158" t="s">
        <v>88</v>
      </c>
    </row>
    <row r="12" spans="1:20" ht="14.5" hidden="1" outlineLevel="1">
      <c r="B12" s="950" t="s">
        <v>4081</v>
      </c>
      <c r="C12" s="1058">
        <f>SUM(D12:F12)</f>
        <v>5.4269143479987196</v>
      </c>
      <c r="D12" s="691">
        <f>$C$381*D216*D223/10^6</f>
        <v>2.4084248494007339</v>
      </c>
      <c r="E12" s="999">
        <f>$C$381*C216*C223/10^6</f>
        <v>2.8487800765311855</v>
      </c>
      <c r="F12" s="691">
        <f>$C$381*E216*E223/10^6</f>
        <v>0.16970942206680004</v>
      </c>
      <c r="G12" s="168">
        <f>$C$381*(D228+D290+E290)</f>
        <v>1.9659309262655118</v>
      </c>
      <c r="H12" s="168">
        <f>$C$381*H274</f>
        <v>0.31515824510544005</v>
      </c>
      <c r="I12" s="168">
        <f>$C$381*H370/10^6</f>
        <v>0.8183195360737161</v>
      </c>
      <c r="S12" s="1251"/>
    </row>
    <row r="13" spans="1:20" ht="15" hidden="1" outlineLevel="1" thickBot="1">
      <c r="B13" s="954" t="s">
        <v>4082</v>
      </c>
      <c r="C13" s="1059">
        <f>SUM(D13:F13)</f>
        <v>5.0528693214795366</v>
      </c>
      <c r="D13" s="691">
        <f>$C$381*D217*D223/10^6</f>
        <v>4.2231291799507309</v>
      </c>
      <c r="E13" s="999">
        <f>$C$381*C217*C223/10^6</f>
        <v>0.72261063904880574</v>
      </c>
      <c r="F13" s="691">
        <f>$C$381*E217*E223/10^6</f>
        <v>0.10712950248000001</v>
      </c>
      <c r="G13" s="549">
        <f>$C$381*(D229+D291+E291)</f>
        <v>1.585234877141996</v>
      </c>
      <c r="H13" s="549">
        <f>$C$381*H275</f>
        <v>0.24549781261968606</v>
      </c>
      <c r="I13" s="549">
        <f>$C$381*H371/10^6</f>
        <v>0.64092418513151517</v>
      </c>
    </row>
    <row r="14" spans="1:20" ht="15" hidden="1" outlineLevel="1" thickBot="1">
      <c r="B14" s="953" t="s">
        <v>83</v>
      </c>
      <c r="C14" s="1060">
        <f>SUM(D14:I14)</f>
        <v>16.050849251816118</v>
      </c>
      <c r="D14" s="1061">
        <f>SUM(D12:D13)</f>
        <v>6.6315540293514648</v>
      </c>
      <c r="E14" s="1061">
        <f t="shared" ref="E14:F14" si="0">SUM(E12:E13)</f>
        <v>3.5713907155799913</v>
      </c>
      <c r="F14" s="1061">
        <f t="shared" si="0"/>
        <v>0.27683892454680004</v>
      </c>
      <c r="G14" s="952">
        <f>SUM(G12:G13)</f>
        <v>3.5511658034075078</v>
      </c>
      <c r="H14" s="952">
        <f>SUM(H12:H13)</f>
        <v>0.56065605772512606</v>
      </c>
      <c r="I14" s="1062">
        <f>SUM(I12:I13)</f>
        <v>1.4592437212052314</v>
      </c>
      <c r="S14" s="1251"/>
    </row>
    <row r="15" spans="1:20" hidden="1" outlineLevel="1">
      <c r="S15" s="1251"/>
      <c r="T15" s="1251"/>
    </row>
    <row r="16" spans="1:20" hidden="1" outlineLevel="1">
      <c r="T16" s="1251"/>
    </row>
    <row r="17" spans="2:20" hidden="1" outlineLevel="1">
      <c r="T17" s="1251"/>
    </row>
    <row r="18" spans="2:20" hidden="1" outlineLevel="1"/>
    <row r="19" spans="2:20" hidden="1" outlineLevel="1"/>
    <row r="20" spans="2:20" hidden="1" outlineLevel="1"/>
    <row r="21" spans="2:20" hidden="1" outlineLevel="1"/>
    <row r="22" spans="2:20" hidden="1" outlineLevel="1"/>
    <row r="23" spans="2:20" hidden="1" outlineLevel="1"/>
    <row r="24" spans="2:20" hidden="1" outlineLevel="1"/>
    <row r="25" spans="2:20" hidden="1" outlineLevel="1"/>
    <row r="26" spans="2:20" hidden="1" outlineLevel="1"/>
    <row r="27" spans="2:20" hidden="1" outlineLevel="1"/>
    <row r="28" spans="2:20" hidden="1" outlineLevel="1"/>
    <row r="29" spans="2:20" hidden="1" outlineLevel="1"/>
    <row r="30" spans="2:20" hidden="1" outlineLevel="1"/>
    <row r="31" spans="2:20" hidden="1" outlineLevel="1"/>
    <row r="32" spans="2:20" hidden="1" outlineLevel="1">
      <c r="B32" s="1251" t="s">
        <v>4083</v>
      </c>
    </row>
    <row r="33" spans="2:8" hidden="1" outlineLevel="1">
      <c r="B33" s="46" t="s">
        <v>4084</v>
      </c>
      <c r="C33" s="468"/>
    </row>
    <row r="34" spans="2:8" hidden="1" outlineLevel="1">
      <c r="C34" s="468"/>
    </row>
    <row r="35" spans="2:8" hidden="1" outlineLevel="1">
      <c r="C35" s="468"/>
    </row>
    <row r="36" spans="2:8" ht="14.5" hidden="1" outlineLevel="1" thickBot="1"/>
    <row r="37" spans="2:8" ht="29" hidden="1" outlineLevel="1">
      <c r="B37" s="123" t="s">
        <v>4085</v>
      </c>
      <c r="C37" s="158" t="s">
        <v>4086</v>
      </c>
      <c r="D37" s="159" t="s">
        <v>2285</v>
      </c>
    </row>
    <row r="38" spans="2:8" ht="14.5" hidden="1" outlineLevel="1">
      <c r="B38" s="27" t="s">
        <v>4087</v>
      </c>
      <c r="C38" s="606">
        <f>5.191+0.15155+0.12432+0.00858+0.00501</f>
        <v>5.4804600000000008</v>
      </c>
      <c r="D38" s="547">
        <f>10^3*C14*251.99/F219</f>
        <v>24.698746845880084</v>
      </c>
      <c r="E38" s="103"/>
    </row>
    <row r="39" spans="2:8" ht="15" hidden="1" outlineLevel="1" thickBot="1">
      <c r="B39" s="471" t="s">
        <v>4088</v>
      </c>
      <c r="C39" s="719">
        <f>8.49379+0.15155+0.12432+0.00858+0.00501</f>
        <v>8.7832500000000024</v>
      </c>
      <c r="D39" s="209">
        <f>10^3*C14*412.32/F219</f>
        <v>40.413458071722197</v>
      </c>
    </row>
    <row r="40" spans="2:8" hidden="1" outlineLevel="1"/>
    <row r="41" spans="2:8" hidden="1" outlineLevel="1"/>
    <row r="42" spans="2:8" hidden="1" outlineLevel="1">
      <c r="B42" s="1251" t="s">
        <v>4089</v>
      </c>
    </row>
    <row r="43" spans="2:8" hidden="1" outlineLevel="1"/>
    <row r="44" spans="2:8" collapsed="1"/>
    <row r="45" spans="2:8" ht="23.5">
      <c r="B45" s="2" t="s">
        <v>1130</v>
      </c>
    </row>
    <row r="47" spans="2:8" ht="18">
      <c r="B47" s="258" t="s">
        <v>4090</v>
      </c>
      <c r="F47" s="75"/>
      <c r="G47" s="76"/>
      <c r="H47" s="76"/>
    </row>
    <row r="49" spans="2:10" hidden="1" outlineLevel="1">
      <c r="B49" s="44" t="s">
        <v>4091</v>
      </c>
      <c r="D49" s="1"/>
    </row>
    <row r="50" spans="2:10" ht="14.5" hidden="1" outlineLevel="1" thickBot="1">
      <c r="B50" s="44"/>
      <c r="D50" s="1"/>
    </row>
    <row r="51" spans="2:10" ht="58" hidden="1" outlineLevel="1">
      <c r="B51" s="4"/>
      <c r="C51" s="5" t="s">
        <v>4092</v>
      </c>
      <c r="D51" s="5" t="s">
        <v>4093</v>
      </c>
      <c r="E51" s="6" t="s">
        <v>4094</v>
      </c>
    </row>
    <row r="52" spans="2:10" ht="14.5" hidden="1" outlineLevel="1">
      <c r="B52" s="10" t="s">
        <v>4095</v>
      </c>
      <c r="C52" s="1403">
        <v>248</v>
      </c>
      <c r="D52" s="36">
        <v>182</v>
      </c>
      <c r="E52" s="12">
        <f>MROUND(680*C52,10000)</f>
        <v>170000</v>
      </c>
    </row>
    <row r="53" spans="2:10" ht="15" hidden="1" outlineLevel="1" thickBot="1">
      <c r="B53" s="13" t="s">
        <v>4096</v>
      </c>
      <c r="C53" s="22">
        <v>175</v>
      </c>
      <c r="D53" s="31">
        <v>135</v>
      </c>
      <c r="E53" s="15">
        <f>MROUND(680*C53,10000)</f>
        <v>120000</v>
      </c>
    </row>
    <row r="54" spans="2:10" hidden="1" outlineLevel="1">
      <c r="B54" s="1454" t="s">
        <v>4097</v>
      </c>
      <c r="D54" s="1"/>
    </row>
    <row r="55" spans="2:10" hidden="1" outlineLevel="1">
      <c r="B55" s="1454"/>
      <c r="D55" s="1"/>
    </row>
    <row r="56" spans="2:10" hidden="1" outlineLevel="1">
      <c r="B56" s="1454" t="s">
        <v>4098</v>
      </c>
      <c r="D56" s="1"/>
    </row>
    <row r="57" spans="2:10" hidden="1" outlineLevel="1">
      <c r="B57" s="43"/>
      <c r="D57" s="1"/>
    </row>
    <row r="58" spans="2:10" hidden="1" outlineLevel="1">
      <c r="B58" s="43"/>
      <c r="D58" s="1"/>
    </row>
    <row r="59" spans="2:10" hidden="1" outlineLevel="1">
      <c r="B59" s="43"/>
      <c r="D59" s="1"/>
    </row>
    <row r="60" spans="2:10" hidden="1" outlineLevel="1">
      <c r="B60" s="43"/>
      <c r="D60" s="1"/>
    </row>
    <row r="61" spans="2:10" hidden="1" outlineLevel="1">
      <c r="B61" s="43"/>
      <c r="D61" s="1"/>
    </row>
    <row r="62" spans="2:10" hidden="1" outlineLevel="1">
      <c r="B62" s="43"/>
      <c r="D62" s="1"/>
    </row>
    <row r="63" spans="2:10" hidden="1" outlineLevel="1">
      <c r="D63" s="1"/>
      <c r="J63" t="s">
        <v>2375</v>
      </c>
    </row>
    <row r="64" spans="2:10" hidden="1" outlineLevel="1">
      <c r="D64" s="1"/>
    </row>
    <row r="65" spans="2:4" hidden="1" outlineLevel="1">
      <c r="D65" s="1"/>
    </row>
    <row r="66" spans="2:4" hidden="1" outlineLevel="1">
      <c r="D66" s="1"/>
    </row>
    <row r="67" spans="2:4" hidden="1" outlineLevel="1">
      <c r="B67" s="43"/>
      <c r="D67" s="1"/>
    </row>
    <row r="68" spans="2:4" hidden="1" outlineLevel="1">
      <c r="B68" s="43"/>
      <c r="D68" s="1"/>
    </row>
    <row r="69" spans="2:4" hidden="1" outlineLevel="1">
      <c r="B69" s="43"/>
      <c r="D69" s="1"/>
    </row>
    <row r="70" spans="2:4" hidden="1" outlineLevel="1">
      <c r="B70" s="43"/>
      <c r="D70" s="1"/>
    </row>
    <row r="71" spans="2:4" hidden="1" outlineLevel="1">
      <c r="B71" s="43"/>
      <c r="D71" s="1"/>
    </row>
    <row r="72" spans="2:4" hidden="1" outlineLevel="1">
      <c r="B72" s="43"/>
      <c r="D72" s="1"/>
    </row>
    <row r="73" spans="2:4" hidden="1" outlineLevel="1">
      <c r="B73" s="43"/>
      <c r="D73" s="1"/>
    </row>
    <row r="74" spans="2:4" hidden="1" outlineLevel="1">
      <c r="B74" s="43"/>
      <c r="D74" s="1"/>
    </row>
    <row r="75" spans="2:4" hidden="1" outlineLevel="1">
      <c r="B75" s="1660" t="s">
        <v>4099</v>
      </c>
      <c r="C75" s="1660"/>
      <c r="D75" s="1660"/>
    </row>
    <row r="76" spans="2:4" ht="14.5" hidden="1" outlineLevel="1" thickBot="1">
      <c r="B76" s="1660"/>
      <c r="C76" s="1660"/>
      <c r="D76" s="1660"/>
    </row>
    <row r="77" spans="2:4" ht="44" hidden="1" outlineLevel="1" thickBot="1">
      <c r="B77" s="4" t="s">
        <v>4100</v>
      </c>
      <c r="C77" s="6" t="s">
        <v>4101</v>
      </c>
      <c r="D77" s="1"/>
    </row>
    <row r="78" spans="2:4" ht="14.5" hidden="1" outlineLevel="1">
      <c r="B78" s="10" t="s">
        <v>4102</v>
      </c>
      <c r="C78" s="1455">
        <v>521986709.71999979</v>
      </c>
      <c r="D78" s="1"/>
    </row>
    <row r="79" spans="2:4" ht="14.5" hidden="1" outlineLevel="1">
      <c r="B79" s="10" t="s">
        <v>4082</v>
      </c>
      <c r="C79" s="1329">
        <v>441622774.71000028</v>
      </c>
      <c r="D79" s="1"/>
    </row>
    <row r="80" spans="2:4" ht="14.5" hidden="1" outlineLevel="1">
      <c r="B80" s="10" t="s">
        <v>4103</v>
      </c>
      <c r="C80" s="1329">
        <v>112345866.97999996</v>
      </c>
      <c r="D80" s="1"/>
    </row>
    <row r="81" spans="2:5" ht="14.5" hidden="1" outlineLevel="1">
      <c r="B81" s="10" t="s">
        <v>4104</v>
      </c>
      <c r="C81" s="1329">
        <v>63491516.470000006</v>
      </c>
      <c r="D81" s="1"/>
    </row>
    <row r="82" spans="2:5" ht="14.5" hidden="1" outlineLevel="1">
      <c r="B82" s="10" t="s">
        <v>4105</v>
      </c>
      <c r="C82" s="1329">
        <v>36385696.890000001</v>
      </c>
      <c r="D82" s="1"/>
    </row>
    <row r="83" spans="2:5" ht="14.5" hidden="1" outlineLevel="1">
      <c r="B83" s="10" t="s">
        <v>4106</v>
      </c>
      <c r="C83" s="1329">
        <v>141760355.19000003</v>
      </c>
      <c r="D83" s="1335"/>
      <c r="E83" s="1251"/>
    </row>
    <row r="84" spans="2:5" ht="14.5" hidden="1" outlineLevel="1">
      <c r="B84" s="10" t="s">
        <v>4107</v>
      </c>
      <c r="C84" s="1329">
        <f>7258907.43 + 'Implants orthopédiques'!C99+'Implants orthopédiques'!C100</f>
        <v>27002652.399999999</v>
      </c>
      <c r="D84" s="1"/>
      <c r="E84" s="1"/>
    </row>
    <row r="85" spans="2:5" ht="14.5" hidden="1" outlineLevel="1">
      <c r="B85" s="10" t="s">
        <v>4108</v>
      </c>
      <c r="C85" s="1329">
        <v>65251541.469999984</v>
      </c>
      <c r="D85" s="1"/>
    </row>
    <row r="86" spans="2:5" ht="14.5" hidden="1" outlineLevel="1">
      <c r="B86" s="10" t="s">
        <v>4109</v>
      </c>
      <c r="C86" s="1329">
        <v>10377662.370000001</v>
      </c>
      <c r="D86" s="1"/>
    </row>
    <row r="87" spans="2:5" ht="15" hidden="1" outlineLevel="1" thickBot="1">
      <c r="B87" s="25" t="s">
        <v>4110</v>
      </c>
      <c r="C87" s="1456">
        <v>6553192.5300000003</v>
      </c>
      <c r="D87" s="1"/>
    </row>
    <row r="88" spans="2:5" ht="15" hidden="1" outlineLevel="1" thickBot="1">
      <c r="B88" s="20" t="s">
        <v>83</v>
      </c>
      <c r="C88" s="469">
        <f>SUM(C78:C87)</f>
        <v>1426777968.7300003</v>
      </c>
      <c r="D88" s="1"/>
    </row>
    <row r="89" spans="2:5" hidden="1" outlineLevel="1">
      <c r="B89" s="43"/>
      <c r="D89" s="1"/>
    </row>
    <row r="90" spans="2:5" collapsed="1"/>
    <row r="91" spans="2:5" ht="18">
      <c r="B91" s="258" t="s">
        <v>4111</v>
      </c>
    </row>
    <row r="93" spans="2:5" hidden="1" outlineLevel="1">
      <c r="B93" s="1251" t="s">
        <v>4112</v>
      </c>
      <c r="D93" s="1"/>
    </row>
    <row r="94" spans="2:5" hidden="1" outlineLevel="1">
      <c r="B94" s="1251" t="s">
        <v>4113</v>
      </c>
      <c r="D94" s="1"/>
    </row>
    <row r="95" spans="2:5" ht="14.5" hidden="1" outlineLevel="1" thickBot="1">
      <c r="B95" s="1251"/>
      <c r="D95" s="1"/>
    </row>
    <row r="96" spans="2:5" ht="43.5" hidden="1" outlineLevel="1">
      <c r="B96" s="4" t="s">
        <v>4100</v>
      </c>
      <c r="C96" s="5" t="s">
        <v>4101</v>
      </c>
      <c r="D96" s="6" t="s">
        <v>4114</v>
      </c>
    </row>
    <row r="97" spans="2:7" ht="14.5" hidden="1" outlineLevel="1">
      <c r="B97" s="10" t="s">
        <v>4115</v>
      </c>
      <c r="C97" s="81">
        <v>241028748.64000005</v>
      </c>
      <c r="D97" s="79">
        <v>195979</v>
      </c>
    </row>
    <row r="98" spans="2:7" ht="14.5" hidden="1" outlineLevel="1">
      <c r="B98" s="10" t="s">
        <v>4116</v>
      </c>
      <c r="C98" s="81">
        <v>14406302.18</v>
      </c>
      <c r="D98" s="79">
        <v>10868</v>
      </c>
    </row>
    <row r="99" spans="2:7" ht="14.5" hidden="1" outlineLevel="1">
      <c r="B99" s="10" t="s">
        <v>4117</v>
      </c>
      <c r="C99" s="81">
        <v>375214.2</v>
      </c>
      <c r="D99" s="79">
        <v>943</v>
      </c>
    </row>
    <row r="100" spans="2:7" ht="14.5" hidden="1" outlineLevel="1">
      <c r="B100" s="10" t="s">
        <v>4118</v>
      </c>
      <c r="C100" s="81">
        <v>19368530.77</v>
      </c>
      <c r="D100" s="79">
        <v>139069</v>
      </c>
    </row>
    <row r="101" spans="2:7" ht="14.5" hidden="1" outlineLevel="1">
      <c r="B101" s="10" t="s">
        <v>4119</v>
      </c>
      <c r="C101" s="81">
        <v>19760324.32</v>
      </c>
      <c r="D101" s="79">
        <v>79648</v>
      </c>
    </row>
    <row r="102" spans="2:7" ht="14.5" hidden="1" outlineLevel="1">
      <c r="B102" s="10" t="s">
        <v>4120</v>
      </c>
      <c r="C102" s="81">
        <v>1673409</v>
      </c>
      <c r="D102" s="79">
        <v>8225</v>
      </c>
    </row>
    <row r="103" spans="2:7" ht="14.5" hidden="1" outlineLevel="1">
      <c r="B103" s="10" t="s">
        <v>4121</v>
      </c>
      <c r="C103" s="81">
        <v>225374180.60999995</v>
      </c>
      <c r="D103" s="79">
        <v>418633</v>
      </c>
    </row>
    <row r="104" spans="2:7" ht="14.5" hidden="1" outlineLevel="1">
      <c r="B104" s="83" t="s">
        <v>4122</v>
      </c>
      <c r="C104" s="81"/>
      <c r="D104" s="79">
        <v>350408</v>
      </c>
    </row>
    <row r="105" spans="2:7" ht="15" hidden="1" outlineLevel="1" thickBot="1">
      <c r="B105" s="84" t="s">
        <v>4123</v>
      </c>
      <c r="C105" s="82"/>
      <c r="D105" s="80">
        <f>D103-D104</f>
        <v>68225</v>
      </c>
      <c r="E105" s="76"/>
    </row>
    <row r="106" spans="2:7" hidden="1" outlineLevel="1"/>
    <row r="107" spans="2:7" hidden="1" outlineLevel="1">
      <c r="B107" s="1251" t="s">
        <v>4124</v>
      </c>
      <c r="D107" s="1"/>
    </row>
    <row r="108" spans="2:7" hidden="1" outlineLevel="1">
      <c r="B108" s="1251" t="s">
        <v>4125</v>
      </c>
      <c r="D108" s="1"/>
    </row>
    <row r="109" spans="2:7" ht="14.5" hidden="1" outlineLevel="1" thickBot="1">
      <c r="B109" s="1251" t="s">
        <v>4126</v>
      </c>
      <c r="D109" s="1"/>
    </row>
    <row r="110" spans="2:7" ht="14.5" hidden="1" outlineLevel="1">
      <c r="B110" s="4" t="s">
        <v>4127</v>
      </c>
      <c r="C110" s="6" t="s">
        <v>4128</v>
      </c>
      <c r="D110" s="1"/>
      <c r="E110" s="1"/>
      <c r="F110" s="1"/>
      <c r="G110" s="1251"/>
    </row>
    <row r="111" spans="2:7" ht="14.5" hidden="1" outlineLevel="1">
      <c r="B111" s="10" t="s">
        <v>4129</v>
      </c>
      <c r="C111" s="270">
        <f>D97+D98</f>
        <v>206847</v>
      </c>
      <c r="D111" s="1"/>
      <c r="E111" s="1"/>
      <c r="F111" s="1"/>
    </row>
    <row r="112" spans="2:7" ht="14.5" hidden="1" outlineLevel="1">
      <c r="B112" s="10" t="s">
        <v>4130</v>
      </c>
      <c r="C112" s="270">
        <f>D104</f>
        <v>350408</v>
      </c>
      <c r="D112" s="1"/>
      <c r="E112" s="1"/>
      <c r="F112" s="1"/>
    </row>
    <row r="113" spans="2:10" ht="14.5" hidden="1" outlineLevel="1">
      <c r="B113" s="10" t="s">
        <v>4131</v>
      </c>
      <c r="C113" s="270">
        <f>D104</f>
        <v>350408</v>
      </c>
      <c r="D113" s="1"/>
      <c r="E113" s="1"/>
      <c r="F113" s="1"/>
    </row>
    <row r="114" spans="2:10" ht="14.5" hidden="1" outlineLevel="1">
      <c r="B114" s="10" t="s">
        <v>4132</v>
      </c>
      <c r="C114" s="270">
        <f>D105</f>
        <v>68225</v>
      </c>
      <c r="D114" s="1"/>
      <c r="E114" s="1"/>
      <c r="F114" s="1"/>
    </row>
    <row r="115" spans="2:10" ht="14.5" hidden="1" outlineLevel="1">
      <c r="B115" s="10" t="s">
        <v>4133</v>
      </c>
      <c r="C115" s="270">
        <f>D105</f>
        <v>68225</v>
      </c>
      <c r="D115" s="1"/>
      <c r="E115" s="1"/>
      <c r="F115" s="1"/>
    </row>
    <row r="116" spans="2:10" ht="15" hidden="1" outlineLevel="1" thickBot="1">
      <c r="B116" s="13" t="s">
        <v>4118</v>
      </c>
      <c r="C116" s="309">
        <f>D100</f>
        <v>139069</v>
      </c>
      <c r="D116" s="1"/>
      <c r="E116" s="1"/>
      <c r="F116" s="1"/>
    </row>
    <row r="117" spans="2:10" hidden="1" outlineLevel="1">
      <c r="D117" s="1"/>
      <c r="E117" s="1"/>
      <c r="F117" s="1"/>
      <c r="G117" s="1"/>
      <c r="H117" s="1"/>
      <c r="J117" s="41"/>
    </row>
    <row r="118" spans="2:10" collapsed="1">
      <c r="B118" s="1251"/>
      <c r="F118" s="75"/>
      <c r="G118" s="75"/>
      <c r="H118" s="76"/>
    </row>
    <row r="119" spans="2:10" ht="18">
      <c r="B119" s="258" t="s">
        <v>4134</v>
      </c>
    </row>
    <row r="121" spans="2:10" hidden="1" outlineLevel="1">
      <c r="B121" s="1251" t="s">
        <v>4135</v>
      </c>
      <c r="D121" s="1"/>
    </row>
    <row r="122" spans="2:10" hidden="1" outlineLevel="1">
      <c r="B122" s="1251" t="s">
        <v>4136</v>
      </c>
      <c r="D122" s="1"/>
    </row>
    <row r="123" spans="2:10" ht="14.5" hidden="1" outlineLevel="1" thickBot="1">
      <c r="B123" s="1251"/>
      <c r="D123" s="1"/>
    </row>
    <row r="124" spans="2:10" ht="43.5" hidden="1" outlineLevel="1">
      <c r="B124" s="4" t="s">
        <v>4137</v>
      </c>
      <c r="C124" s="5" t="s">
        <v>4101</v>
      </c>
      <c r="D124" s="6" t="s">
        <v>4114</v>
      </c>
    </row>
    <row r="125" spans="2:10" ht="14.5" hidden="1" outlineLevel="1">
      <c r="B125" s="10" t="s">
        <v>4138</v>
      </c>
      <c r="C125" s="81">
        <v>17083616.470000014</v>
      </c>
      <c r="D125" s="79">
        <v>449580</v>
      </c>
      <c r="E125" s="24"/>
    </row>
    <row r="126" spans="2:10" ht="14.5" hidden="1" outlineLevel="1">
      <c r="B126" s="10" t="s">
        <v>4139</v>
      </c>
      <c r="C126" s="81">
        <v>1027997.5</v>
      </c>
      <c r="D126" s="79">
        <v>4701</v>
      </c>
      <c r="E126" s="24"/>
    </row>
    <row r="127" spans="2:10" ht="14.5" hidden="1" outlineLevel="1">
      <c r="B127" s="10" t="s">
        <v>4140</v>
      </c>
      <c r="C127" s="81">
        <v>144150.66999999998</v>
      </c>
      <c r="D127" s="79">
        <v>1720</v>
      </c>
      <c r="E127" s="24"/>
    </row>
    <row r="128" spans="2:10" ht="14.5" hidden="1" outlineLevel="1">
      <c r="B128" s="10" t="s">
        <v>4141</v>
      </c>
      <c r="C128" s="81">
        <v>70714636.890000001</v>
      </c>
      <c r="D128" s="79">
        <v>236820</v>
      </c>
      <c r="E128" s="24"/>
    </row>
    <row r="129" spans="2:10" ht="14.5" hidden="1" outlineLevel="1">
      <c r="B129" s="10" t="s">
        <v>4142</v>
      </c>
      <c r="C129" s="81">
        <v>67017105.629999973</v>
      </c>
      <c r="D129" s="79">
        <v>140254</v>
      </c>
      <c r="E129" s="24"/>
    </row>
    <row r="130" spans="2:10" ht="14.5" hidden="1" outlineLevel="1">
      <c r="B130" s="10" t="s">
        <v>4143</v>
      </c>
      <c r="C130" s="81">
        <v>7503692.4600000009</v>
      </c>
      <c r="D130" s="79">
        <v>3582</v>
      </c>
      <c r="E130" s="24"/>
    </row>
    <row r="131" spans="2:10" ht="14.5" hidden="1" outlineLevel="1">
      <c r="B131" s="10" t="s">
        <v>4144</v>
      </c>
      <c r="C131" s="81">
        <v>28428548.800000004</v>
      </c>
      <c r="D131" s="79">
        <v>104183</v>
      </c>
      <c r="E131" s="24"/>
    </row>
    <row r="132" spans="2:10" ht="14.5" hidden="1" outlineLevel="1">
      <c r="B132" s="10" t="s">
        <v>4145</v>
      </c>
      <c r="C132" s="81">
        <v>372567.64</v>
      </c>
      <c r="D132" s="79">
        <v>399</v>
      </c>
      <c r="E132" s="24"/>
    </row>
    <row r="133" spans="2:10" ht="14.5" hidden="1" outlineLevel="1">
      <c r="B133" s="10" t="s">
        <v>4146</v>
      </c>
      <c r="C133" s="81">
        <v>66768082.909999967</v>
      </c>
      <c r="D133" s="79">
        <v>264124</v>
      </c>
      <c r="E133" s="24"/>
    </row>
    <row r="134" spans="2:10" ht="14.5" hidden="1" outlineLevel="1">
      <c r="B134" s="10" t="s">
        <v>4147</v>
      </c>
      <c r="C134" s="81">
        <v>11577093.1</v>
      </c>
      <c r="D134" s="79">
        <v>13448</v>
      </c>
      <c r="E134" s="24"/>
    </row>
    <row r="135" spans="2:10" ht="14.5" hidden="1" outlineLevel="1">
      <c r="B135" s="10" t="s">
        <v>4148</v>
      </c>
      <c r="C135" s="81">
        <v>3168288.7399999998</v>
      </c>
      <c r="D135" s="79">
        <v>3019</v>
      </c>
      <c r="E135" s="24"/>
    </row>
    <row r="136" spans="2:10" ht="14.5" hidden="1" outlineLevel="1">
      <c r="B136" s="10" t="s">
        <v>4149</v>
      </c>
      <c r="C136" s="81">
        <v>4420962.5999999996</v>
      </c>
      <c r="D136" s="79">
        <v>5320</v>
      </c>
      <c r="E136" s="24"/>
    </row>
    <row r="137" spans="2:10" ht="15" hidden="1" outlineLevel="1" thickBot="1">
      <c r="B137" s="13" t="s">
        <v>4150</v>
      </c>
      <c r="C137" s="82">
        <v>163396031.30000004</v>
      </c>
      <c r="D137" s="80">
        <v>229710</v>
      </c>
      <c r="E137" s="24"/>
      <c r="G137" s="1"/>
      <c r="H137" s="1"/>
      <c r="J137" s="41"/>
    </row>
    <row r="138" spans="2:10" hidden="1" outlineLevel="1">
      <c r="D138" s="1"/>
      <c r="G138" s="1"/>
      <c r="H138" s="1"/>
      <c r="J138" s="41"/>
    </row>
    <row r="139" spans="2:10" hidden="1" outlineLevel="1">
      <c r="B139" s="1251" t="s">
        <v>4151</v>
      </c>
      <c r="D139" s="1"/>
    </row>
    <row r="140" spans="2:10" hidden="1" outlineLevel="1">
      <c r="B140" s="1251" t="s">
        <v>4152</v>
      </c>
      <c r="D140" s="1"/>
    </row>
    <row r="141" spans="2:10" ht="14.5" hidden="1" outlineLevel="1" thickBot="1">
      <c r="B141" s="1251" t="s">
        <v>4126</v>
      </c>
      <c r="D141" s="1"/>
    </row>
    <row r="142" spans="2:10" ht="14.5" hidden="1" outlineLevel="1">
      <c r="B142" s="4"/>
      <c r="C142" s="6" t="s">
        <v>4128</v>
      </c>
      <c r="D142" s="1"/>
    </row>
    <row r="143" spans="2:10" ht="14.5" hidden="1" outlineLevel="1">
      <c r="B143" s="10" t="s">
        <v>4153</v>
      </c>
      <c r="C143" s="270">
        <v>49287</v>
      </c>
    </row>
    <row r="144" spans="2:10" ht="14.5" hidden="1" outlineLevel="1">
      <c r="B144" s="10" t="s">
        <v>4154</v>
      </c>
      <c r="C144" s="270">
        <v>202210</v>
      </c>
      <c r="D144" s="1"/>
      <c r="G144" s="1251"/>
    </row>
    <row r="145" spans="2:7" ht="14.5" hidden="1" outlineLevel="1">
      <c r="B145" s="10" t="s">
        <v>4155</v>
      </c>
      <c r="C145" s="270">
        <f>D133</f>
        <v>264124</v>
      </c>
    </row>
    <row r="146" spans="2:7" ht="14.5" hidden="1" outlineLevel="1">
      <c r="B146" s="10" t="s">
        <v>4156</v>
      </c>
      <c r="C146" s="270">
        <f>D131+D128</f>
        <v>341003</v>
      </c>
      <c r="D146" s="1"/>
    </row>
    <row r="147" spans="2:7" ht="15" hidden="1" outlineLevel="1" thickBot="1">
      <c r="B147" s="13" t="s">
        <v>4157</v>
      </c>
      <c r="C147" s="309">
        <f>D129+D128</f>
        <v>377074</v>
      </c>
      <c r="G147" s="1335"/>
    </row>
    <row r="148" spans="2:7" hidden="1" outlineLevel="1">
      <c r="C148" s="85"/>
      <c r="D148" s="1"/>
    </row>
    <row r="149" spans="2:7" collapsed="1"/>
    <row r="150" spans="2:7" ht="18">
      <c r="B150" s="258" t="s">
        <v>4158</v>
      </c>
    </row>
    <row r="152" spans="2:7" hidden="1" outlineLevel="1">
      <c r="B152" s="1251" t="s">
        <v>4159</v>
      </c>
      <c r="D152" s="1"/>
    </row>
    <row r="153" spans="2:7" hidden="1" outlineLevel="1">
      <c r="B153" s="1251" t="s">
        <v>4136</v>
      </c>
      <c r="D153" s="1"/>
    </row>
    <row r="154" spans="2:7" ht="14.5" hidden="1" outlineLevel="1" thickBot="1">
      <c r="B154" s="1251"/>
      <c r="D154" s="1"/>
    </row>
    <row r="155" spans="2:7" ht="43.5" hidden="1" outlineLevel="1">
      <c r="B155" s="4" t="s">
        <v>4160</v>
      </c>
      <c r="C155" s="5" t="s">
        <v>4101</v>
      </c>
      <c r="D155" s="6" t="s">
        <v>4114</v>
      </c>
    </row>
    <row r="156" spans="2:7" ht="14.5" hidden="1" outlineLevel="1">
      <c r="B156" s="10" t="s">
        <v>4161</v>
      </c>
      <c r="C156" s="78">
        <v>52561866.530000016</v>
      </c>
      <c r="D156" s="79">
        <v>366378</v>
      </c>
    </row>
    <row r="157" spans="2:7" ht="14.5" hidden="1" outlineLevel="1">
      <c r="B157" s="10" t="s">
        <v>4162</v>
      </c>
      <c r="C157" s="78">
        <v>40379829.960000008</v>
      </c>
      <c r="D157" s="79">
        <v>73281</v>
      </c>
    </row>
    <row r="158" spans="2:7" ht="14.5" hidden="1" outlineLevel="1">
      <c r="B158" s="10" t="s">
        <v>4163</v>
      </c>
      <c r="C158" s="78">
        <v>11331585.549999999</v>
      </c>
      <c r="D158" s="79">
        <v>127189</v>
      </c>
    </row>
    <row r="159" spans="2:7" ht="14.5" hidden="1" outlineLevel="1">
      <c r="B159" s="10" t="s">
        <v>4164</v>
      </c>
      <c r="C159" s="78">
        <v>5082237.93</v>
      </c>
      <c r="D159" s="79">
        <v>9635</v>
      </c>
    </row>
    <row r="160" spans="2:7" ht="14.5" hidden="1" outlineLevel="1">
      <c r="B160" s="10" t="s">
        <v>4165</v>
      </c>
      <c r="C160" s="78">
        <v>1928202.2199999997</v>
      </c>
      <c r="D160" s="79">
        <v>2184</v>
      </c>
    </row>
    <row r="161" spans="2:10" ht="14.5" hidden="1" outlineLevel="1">
      <c r="B161" s="10" t="s">
        <v>4166</v>
      </c>
      <c r="C161" s="78">
        <v>914143.36</v>
      </c>
      <c r="D161" s="79">
        <v>832</v>
      </c>
    </row>
    <row r="162" spans="2:10" ht="14.5" hidden="1" outlineLevel="1">
      <c r="B162" s="10" t="s">
        <v>4167</v>
      </c>
      <c r="C162" s="78">
        <v>143209.43</v>
      </c>
      <c r="D162" s="79">
        <v>867</v>
      </c>
    </row>
    <row r="163" spans="2:10" ht="15" hidden="1" outlineLevel="1" thickBot="1">
      <c r="B163" s="13" t="s">
        <v>4139</v>
      </c>
      <c r="C163" s="82">
        <v>4792</v>
      </c>
      <c r="D163" s="80">
        <v>11</v>
      </c>
    </row>
    <row r="164" spans="2:10" hidden="1" outlineLevel="1">
      <c r="B164" s="75"/>
      <c r="C164" s="76"/>
      <c r="D164" s="77"/>
    </row>
    <row r="165" spans="2:10" hidden="1" outlineLevel="1">
      <c r="C165" s="76"/>
      <c r="D165" s="77"/>
    </row>
    <row r="166" spans="2:10" ht="14.5" hidden="1" outlineLevel="1" thickBot="1">
      <c r="B166" s="1251" t="s">
        <v>4168</v>
      </c>
      <c r="C166" s="76"/>
      <c r="D166" s="77"/>
    </row>
    <row r="167" spans="2:10" ht="43.5" hidden="1" outlineLevel="1">
      <c r="B167" s="4" t="s">
        <v>4162</v>
      </c>
      <c r="C167" s="5" t="s">
        <v>4101</v>
      </c>
      <c r="D167" s="6" t="s">
        <v>4114</v>
      </c>
    </row>
    <row r="168" spans="2:10" ht="14.5" hidden="1" outlineLevel="1">
      <c r="B168" s="10" t="s">
        <v>4169</v>
      </c>
      <c r="C168" s="81">
        <v>39316968.930000015</v>
      </c>
      <c r="D168" s="79">
        <v>71528</v>
      </c>
    </row>
    <row r="169" spans="2:10" ht="15" hidden="1" outlineLevel="1" thickBot="1">
      <c r="B169" s="13" t="s">
        <v>4170</v>
      </c>
      <c r="C169" s="82">
        <v>1062861.03</v>
      </c>
      <c r="D169" s="80">
        <v>1753</v>
      </c>
    </row>
    <row r="170" spans="2:10" hidden="1" outlineLevel="1">
      <c r="B170" s="1251"/>
      <c r="C170" s="76"/>
      <c r="D170" s="77"/>
    </row>
    <row r="171" spans="2:10" hidden="1" outlineLevel="1">
      <c r="B171" s="1251" t="s">
        <v>4171</v>
      </c>
      <c r="C171" s="76"/>
      <c r="D171" s="77"/>
    </row>
    <row r="172" spans="2:10" ht="14.5" hidden="1" outlineLevel="1" thickBot="1">
      <c r="B172" s="1251" t="s">
        <v>4172</v>
      </c>
      <c r="C172" s="76"/>
      <c r="D172" s="77"/>
    </row>
    <row r="173" spans="2:10" ht="29" hidden="1" outlineLevel="1">
      <c r="B173" s="4" t="s">
        <v>4160</v>
      </c>
      <c r="C173" s="6" t="s">
        <v>4114</v>
      </c>
      <c r="D173" s="77"/>
    </row>
    <row r="174" spans="2:10" ht="14.5" hidden="1" outlineLevel="1">
      <c r="B174" s="10" t="s">
        <v>4161</v>
      </c>
      <c r="C174" s="79">
        <f>D156</f>
        <v>366378</v>
      </c>
      <c r="D174" s="1"/>
      <c r="G174" s="1"/>
      <c r="H174" s="1"/>
      <c r="J174" s="41"/>
    </row>
    <row r="175" spans="2:10" ht="14.5" hidden="1" outlineLevel="1">
      <c r="B175" s="10" t="s">
        <v>4162</v>
      </c>
      <c r="C175" s="79">
        <f>D168</f>
        <v>71528</v>
      </c>
      <c r="D175" s="1"/>
    </row>
    <row r="176" spans="2:10" ht="14.5" hidden="1" outlineLevel="1">
      <c r="B176" s="10" t="s">
        <v>4163</v>
      </c>
      <c r="C176" s="79">
        <f>D158</f>
        <v>127189</v>
      </c>
    </row>
    <row r="177" spans="2:7" ht="15" hidden="1" outlineLevel="1" thickBot="1">
      <c r="B177" s="13" t="s">
        <v>4164</v>
      </c>
      <c r="C177" s="314">
        <f>D159</f>
        <v>9635</v>
      </c>
    </row>
    <row r="178" spans="2:7" hidden="1" outlineLevel="1">
      <c r="B178" s="1251"/>
      <c r="C178" s="76"/>
      <c r="D178" s="77"/>
    </row>
    <row r="179" spans="2:7" collapsed="1"/>
    <row r="180" spans="2:7" ht="23.5">
      <c r="B180" s="2" t="s">
        <v>864</v>
      </c>
    </row>
    <row r="182" spans="2:7" ht="18">
      <c r="B182" s="258" t="s">
        <v>573</v>
      </c>
    </row>
    <row r="184" spans="2:7" hidden="1" outlineLevel="1">
      <c r="B184" s="1251" t="s">
        <v>4173</v>
      </c>
    </row>
    <row r="185" spans="2:7" hidden="1" outlineLevel="1"/>
    <row r="186" spans="2:7" hidden="1" outlineLevel="1">
      <c r="B186" s="3" t="s">
        <v>4081</v>
      </c>
    </row>
    <row r="187" spans="2:7" hidden="1" outlineLevel="1"/>
    <row r="188" spans="2:7" ht="14.5" hidden="1" outlineLevel="1" thickBot="1">
      <c r="B188" s="1251" t="s">
        <v>4174</v>
      </c>
      <c r="E188" s="87" t="s">
        <v>4175</v>
      </c>
    </row>
    <row r="189" spans="2:7" ht="14.5" hidden="1" outlineLevel="1">
      <c r="B189" s="4" t="s">
        <v>4127</v>
      </c>
      <c r="C189" s="5" t="s">
        <v>4128</v>
      </c>
      <c r="D189" s="5" t="s">
        <v>898</v>
      </c>
      <c r="E189" s="5" t="s">
        <v>2137</v>
      </c>
      <c r="F189" s="6" t="s">
        <v>3679</v>
      </c>
      <c r="G189" s="1251"/>
    </row>
    <row r="190" spans="2:7" ht="31" hidden="1" customHeight="1" outlineLevel="1">
      <c r="B190" s="10" t="s">
        <v>4129</v>
      </c>
      <c r="C190" s="81">
        <f t="shared" ref="C190:C195" si="1">C111</f>
        <v>206847</v>
      </c>
      <c r="D190" s="1403" t="s">
        <v>4176</v>
      </c>
      <c r="E190" s="36">
        <v>251.7</v>
      </c>
      <c r="F190" s="17"/>
      <c r="G190" s="87"/>
    </row>
    <row r="191" spans="2:7" ht="28.5" hidden="1" outlineLevel="1">
      <c r="B191" s="10" t="s">
        <v>4177</v>
      </c>
      <c r="C191" s="81">
        <f t="shared" si="1"/>
        <v>350408</v>
      </c>
      <c r="D191" s="36" t="s">
        <v>4178</v>
      </c>
      <c r="E191" s="36">
        <v>84.7</v>
      </c>
      <c r="F191" s="1457" t="s">
        <v>4179</v>
      </c>
    </row>
    <row r="192" spans="2:7" ht="42.5" hidden="1" outlineLevel="1">
      <c r="B192" s="10" t="s">
        <v>4131</v>
      </c>
      <c r="C192" s="81">
        <f t="shared" si="1"/>
        <v>350408</v>
      </c>
      <c r="D192" s="36" t="s">
        <v>4180</v>
      </c>
      <c r="E192" s="36">
        <v>11.3</v>
      </c>
      <c r="F192" s="100"/>
    </row>
    <row r="193" spans="2:7" ht="70.5" hidden="1" outlineLevel="1">
      <c r="B193" s="10" t="s">
        <v>4132</v>
      </c>
      <c r="C193" s="81">
        <f t="shared" si="1"/>
        <v>68225</v>
      </c>
      <c r="D193" s="36" t="s">
        <v>4178</v>
      </c>
      <c r="E193" s="36">
        <f>E191/2</f>
        <v>42.35</v>
      </c>
      <c r="F193" s="1457" t="s">
        <v>4181</v>
      </c>
    </row>
    <row r="194" spans="2:7" ht="70.5" hidden="1" outlineLevel="1">
      <c r="B194" s="10" t="s">
        <v>4133</v>
      </c>
      <c r="C194" s="81">
        <f t="shared" si="1"/>
        <v>68225</v>
      </c>
      <c r="D194" s="36" t="s">
        <v>4180</v>
      </c>
      <c r="E194" s="36">
        <f>E192/2</f>
        <v>5.65</v>
      </c>
      <c r="F194" s="1457" t="s">
        <v>4181</v>
      </c>
    </row>
    <row r="195" spans="2:7" ht="43" hidden="1" outlineLevel="1" thickBot="1">
      <c r="B195" s="13" t="s">
        <v>4118</v>
      </c>
      <c r="C195" s="82">
        <f t="shared" si="1"/>
        <v>139069</v>
      </c>
      <c r="D195" s="31" t="s">
        <v>4180</v>
      </c>
      <c r="E195" s="31">
        <v>7.6</v>
      </c>
      <c r="F195" s="114"/>
    </row>
    <row r="196" spans="2:7" hidden="1" outlineLevel="1"/>
    <row r="197" spans="2:7" hidden="1" outlineLevel="1"/>
    <row r="198" spans="2:7" hidden="1" outlineLevel="1">
      <c r="B198" s="3" t="s">
        <v>4082</v>
      </c>
    </row>
    <row r="199" spans="2:7" hidden="1" outlineLevel="1">
      <c r="G199" s="1251" t="s">
        <v>4182</v>
      </c>
    </row>
    <row r="200" spans="2:7" ht="14.5" hidden="1" outlineLevel="1" thickBot="1">
      <c r="B200" s="1251" t="s">
        <v>4183</v>
      </c>
      <c r="G200" s="87" t="s">
        <v>4184</v>
      </c>
    </row>
    <row r="201" spans="2:7" ht="14.5" hidden="1" outlineLevel="1">
      <c r="B201" s="4"/>
      <c r="C201" s="5" t="s">
        <v>4128</v>
      </c>
      <c r="D201" s="5" t="s">
        <v>898</v>
      </c>
      <c r="E201" s="5" t="s">
        <v>2137</v>
      </c>
      <c r="F201" s="6" t="s">
        <v>3679</v>
      </c>
      <c r="G201" s="87" t="s">
        <v>4185</v>
      </c>
    </row>
    <row r="202" spans="2:7" ht="14.5" hidden="1" outlineLevel="1">
      <c r="B202" s="10" t="s">
        <v>4153</v>
      </c>
      <c r="C202" s="81">
        <f>C143</f>
        <v>49287</v>
      </c>
      <c r="D202" s="1403" t="s">
        <v>4186</v>
      </c>
      <c r="E202" s="36">
        <v>210</v>
      </c>
      <c r="F202" s="1458"/>
    </row>
    <row r="203" spans="2:7" ht="14.5" hidden="1" outlineLevel="1">
      <c r="B203" s="10" t="s">
        <v>4154</v>
      </c>
      <c r="C203" s="81">
        <f>C144</f>
        <v>202210</v>
      </c>
      <c r="D203" s="36" t="s">
        <v>4186</v>
      </c>
      <c r="E203" s="36">
        <v>138</v>
      </c>
      <c r="F203" s="1458"/>
      <c r="G203" s="1251"/>
    </row>
    <row r="204" spans="2:7" ht="14.5" hidden="1" outlineLevel="1">
      <c r="B204" s="10" t="s">
        <v>4155</v>
      </c>
      <c r="C204" s="81">
        <f>C145</f>
        <v>264124</v>
      </c>
      <c r="D204" s="36" t="s">
        <v>4187</v>
      </c>
      <c r="E204" s="36">
        <v>50</v>
      </c>
      <c r="F204" s="1458"/>
    </row>
    <row r="205" spans="2:7" ht="42.5" hidden="1" outlineLevel="1">
      <c r="B205" s="10" t="s">
        <v>4156</v>
      </c>
      <c r="C205" s="81">
        <f>C146</f>
        <v>341003</v>
      </c>
      <c r="D205" s="36" t="s">
        <v>4180</v>
      </c>
      <c r="E205" s="36">
        <v>10</v>
      </c>
      <c r="F205" s="1458"/>
    </row>
    <row r="206" spans="2:7" ht="15" hidden="1" outlineLevel="1" thickBot="1">
      <c r="B206" s="13" t="s">
        <v>4157</v>
      </c>
      <c r="C206" s="82">
        <f>C147</f>
        <v>377074</v>
      </c>
      <c r="D206" s="31" t="s">
        <v>4188</v>
      </c>
      <c r="E206" s="31">
        <f>60-E205</f>
        <v>50</v>
      </c>
      <c r="F206" s="1326" t="s">
        <v>4189</v>
      </c>
      <c r="G206" s="1335"/>
    </row>
    <row r="207" spans="2:7" hidden="1" outlineLevel="1">
      <c r="C207" s="85"/>
    </row>
    <row r="208" spans="2:7" hidden="1" outlineLevel="1"/>
    <row r="209" spans="2:11" hidden="1" outlineLevel="1">
      <c r="B209" s="3" t="s">
        <v>4190</v>
      </c>
    </row>
    <row r="210" spans="2:11" hidden="1" outlineLevel="1"/>
    <row r="211" spans="2:11" hidden="1" outlineLevel="1">
      <c r="B211" s="1317" t="s">
        <v>4191</v>
      </c>
    </row>
    <row r="212" spans="2:11" hidden="1" outlineLevel="1"/>
    <row r="213" spans="2:11" hidden="1" outlineLevel="1"/>
    <row r="214" spans="2:11" ht="14.5" hidden="1" outlineLevel="1" thickBot="1">
      <c r="B214" s="1251" t="s">
        <v>4192</v>
      </c>
    </row>
    <row r="215" spans="2:11" ht="29" hidden="1" outlineLevel="1">
      <c r="B215" s="470" t="s">
        <v>4193</v>
      </c>
      <c r="C215" s="138" t="s">
        <v>4194</v>
      </c>
      <c r="D215" s="138" t="s">
        <v>4195</v>
      </c>
      <c r="E215" s="138" t="s">
        <v>4196</v>
      </c>
      <c r="F215" s="139" t="s">
        <v>83</v>
      </c>
      <c r="H215" s="470" t="s">
        <v>4193</v>
      </c>
      <c r="I215" s="138" t="s">
        <v>4194</v>
      </c>
      <c r="J215" s="138" t="s">
        <v>4195</v>
      </c>
      <c r="K215" s="139" t="s">
        <v>83</v>
      </c>
    </row>
    <row r="216" spans="2:11" ht="29" hidden="1" outlineLevel="1">
      <c r="B216" s="27" t="s">
        <v>4081</v>
      </c>
      <c r="C216" s="201">
        <f>(C190*E190)/1000</f>
        <v>52063.389900000002</v>
      </c>
      <c r="D216" s="1341">
        <f>(C191*E191+C193*E193)/1000</f>
        <v>32568.886350000001</v>
      </c>
      <c r="E216" s="201">
        <f>(C192*E192+C194*E194+C195*E195)/1000</f>
        <v>5402.0060500000009</v>
      </c>
      <c r="F216" s="474">
        <f>SUM(C216:E216)</f>
        <v>90034.282299999992</v>
      </c>
      <c r="H216" s="27" t="s">
        <v>4081</v>
      </c>
      <c r="I216" s="201">
        <f>MROUND(C216,100)</f>
        <v>52100</v>
      </c>
      <c r="J216" s="201">
        <f>MROUND(D216,100)</f>
        <v>32600</v>
      </c>
      <c r="K216" s="474">
        <f>SUM(I216:J216)</f>
        <v>84700</v>
      </c>
    </row>
    <row r="217" spans="2:11" ht="29" hidden="1" outlineLevel="1">
      <c r="B217" s="27" t="s">
        <v>4082</v>
      </c>
      <c r="C217" s="201">
        <f>(C204*E204)/1000</f>
        <v>13206.2</v>
      </c>
      <c r="D217" s="201">
        <f>(C202*E202+C203*E203+C206*E206)/1000</f>
        <v>57108.95</v>
      </c>
      <c r="E217" s="201">
        <f>(C205*E205)/1000</f>
        <v>3410.03</v>
      </c>
      <c r="F217" s="474">
        <f>SUM(C217:E217)</f>
        <v>73725.179999999993</v>
      </c>
      <c r="H217" s="27" t="s">
        <v>4082</v>
      </c>
      <c r="I217" s="201">
        <f>MROUND(C217,100)</f>
        <v>13200</v>
      </c>
      <c r="J217" s="201">
        <f>MROUND(D217,100)</f>
        <v>57100</v>
      </c>
      <c r="K217" s="474">
        <f>SUM(I217:J217)</f>
        <v>70300</v>
      </c>
    </row>
    <row r="218" spans="2:11" ht="15" hidden="1" outlineLevel="1" thickBot="1">
      <c r="B218" s="27" t="s">
        <v>4190</v>
      </c>
      <c r="C218" s="201"/>
      <c r="D218" s="201"/>
      <c r="E218" s="201"/>
      <c r="F218" s="474">
        <f>SUM(C218:E218)</f>
        <v>0</v>
      </c>
      <c r="H218" s="471" t="s">
        <v>83</v>
      </c>
      <c r="I218" s="472">
        <f>SUM(I216:I217)</f>
        <v>65300</v>
      </c>
      <c r="J218" s="472">
        <f>SUM(J216:J217)</f>
        <v>89700</v>
      </c>
      <c r="K218" s="473">
        <f>F219</f>
        <v>163759.46230000001</v>
      </c>
    </row>
    <row r="219" spans="2:11" ht="15" hidden="1" outlineLevel="1" thickBot="1">
      <c r="B219" s="471" t="s">
        <v>83</v>
      </c>
      <c r="C219" s="472">
        <f>SUM(C216:C218)</f>
        <v>65269.589900000006</v>
      </c>
      <c r="D219" s="472">
        <f>SUM(D216:D218)</f>
        <v>89677.836349999998</v>
      </c>
      <c r="E219" s="472">
        <f>SUM(E216:E218)</f>
        <v>8812.0360500000006</v>
      </c>
      <c r="F219" s="473">
        <f>SUM(C219:E219)</f>
        <v>163759.46230000001</v>
      </c>
    </row>
    <row r="220" spans="2:11" hidden="1" outlineLevel="1"/>
    <row r="221" spans="2:11" ht="14.5" hidden="1" outlineLevel="1" thickBot="1">
      <c r="B221" s="1251" t="s">
        <v>4197</v>
      </c>
    </row>
    <row r="222" spans="2:11" ht="29" hidden="1" outlineLevel="1">
      <c r="B222" s="470" t="s">
        <v>1002</v>
      </c>
      <c r="C222" s="138" t="s">
        <v>4194</v>
      </c>
      <c r="D222" s="138" t="s">
        <v>4195</v>
      </c>
      <c r="E222" s="139" t="s">
        <v>4196</v>
      </c>
    </row>
    <row r="223" spans="2:11" ht="14.5" hidden="1" outlineLevel="1">
      <c r="B223" s="27" t="s">
        <v>4198</v>
      </c>
      <c r="C223" s="180">
        <f>'Annexe - Matériaux'!C178</f>
        <v>48.767851669465522</v>
      </c>
      <c r="D223" s="180">
        <f>'Annexe - Matériaux'!C144</f>
        <v>65.907878719565332</v>
      </c>
      <c r="E223" s="17">
        <f>'Annexe - Matériaux'!C192</f>
        <v>28</v>
      </c>
    </row>
    <row r="224" spans="2:11" ht="15" hidden="1" outlineLevel="1" thickBot="1">
      <c r="B224" s="471" t="s">
        <v>4199</v>
      </c>
      <c r="C224" s="18">
        <f>'Annexe - Matériaux'!C179</f>
        <v>16.2775</v>
      </c>
      <c r="D224" s="18">
        <f>'Annexe - Matériaux'!C145</f>
        <v>16.2775</v>
      </c>
      <c r="E224" s="38">
        <f>'Annexe - Matériaux'!C192</f>
        <v>28</v>
      </c>
    </row>
    <row r="225" spans="2:5" hidden="1" outlineLevel="1"/>
    <row r="226" spans="2:5" ht="14.5" hidden="1" outlineLevel="1" thickBot="1">
      <c r="B226" s="1251" t="s">
        <v>1093</v>
      </c>
    </row>
    <row r="227" spans="2:5" ht="43.5" hidden="1" outlineLevel="1">
      <c r="B227" s="470" t="s">
        <v>82</v>
      </c>
      <c r="C227" s="138" t="s">
        <v>4200</v>
      </c>
      <c r="D227" s="138" t="s">
        <v>4201</v>
      </c>
      <c r="E227" s="139" t="s">
        <v>83</v>
      </c>
    </row>
    <row r="228" spans="2:5" ht="14.5" hidden="1" outlineLevel="1">
      <c r="B228" s="27" t="s">
        <v>4081</v>
      </c>
      <c r="C228" s="482">
        <f>SUMPRODUCT(C216:E216,C223:E223)/10^6</f>
        <v>4.8368220570398561</v>
      </c>
      <c r="D228" s="482">
        <f>SUMPRODUCT(C216:E216,C224:E224)/10^6</f>
        <v>1.5288580460593753</v>
      </c>
      <c r="E228" s="483">
        <f>C228+D228</f>
        <v>6.3656801030992316</v>
      </c>
    </row>
    <row r="229" spans="2:5" ht="14.5" hidden="1" outlineLevel="1">
      <c r="B229" s="27" t="s">
        <v>4082</v>
      </c>
      <c r="C229" s="482">
        <f>SUMPRODUCT(C217:E217,C223:E223)/10^6</f>
        <v>4.5034485931190158</v>
      </c>
      <c r="D229" s="482">
        <f>SUMPRODUCT(C217:E217,C224:E224)/10^6</f>
        <v>1.2400356941250001</v>
      </c>
      <c r="E229" s="483">
        <f>C229+D229</f>
        <v>5.7434842872440157</v>
      </c>
    </row>
    <row r="230" spans="2:5" ht="14.5" hidden="1" outlineLevel="1">
      <c r="B230" s="27" t="s">
        <v>4190</v>
      </c>
      <c r="C230" s="482">
        <f>SUMPRODUCT(C218:E218,C223:E223)/10^6</f>
        <v>0</v>
      </c>
      <c r="D230" s="482">
        <f>SUMPRODUCT(C218:E218,C224:E224)/10^6</f>
        <v>0</v>
      </c>
      <c r="E230" s="483">
        <f>C230+D230</f>
        <v>0</v>
      </c>
    </row>
    <row r="231" spans="2:5" ht="15" hidden="1" outlineLevel="1" thickBot="1">
      <c r="B231" s="471" t="s">
        <v>83</v>
      </c>
      <c r="C231" s="484">
        <f>SUM(C228:C230)</f>
        <v>9.340270650158871</v>
      </c>
      <c r="D231" s="484">
        <f>SUM(D228:D230)</f>
        <v>2.7688937401843754</v>
      </c>
      <c r="E231" s="485">
        <f>SUM(C231:D231)</f>
        <v>12.109164390343246</v>
      </c>
    </row>
    <row r="232" spans="2:5" hidden="1" outlineLevel="1"/>
    <row r="233" spans="2:5" collapsed="1">
      <c r="B233" s="1251"/>
    </row>
    <row r="234" spans="2:5" ht="18">
      <c r="B234" s="258" t="s">
        <v>4202</v>
      </c>
    </row>
    <row r="236" spans="2:5" hidden="1" outlineLevel="1">
      <c r="B236" t="s">
        <v>4203</v>
      </c>
    </row>
    <row r="237" spans="2:5" hidden="1" outlineLevel="1"/>
    <row r="238" spans="2:5" hidden="1" outlineLevel="1">
      <c r="B238" s="3" t="s">
        <v>4081</v>
      </c>
    </row>
    <row r="239" spans="2:5" hidden="1" outlineLevel="1"/>
    <row r="240" spans="2:5" ht="14.5" hidden="1" outlineLevel="1" thickBot="1">
      <c r="B240" s="1251" t="s">
        <v>4204</v>
      </c>
      <c r="E240" s="87" t="s">
        <v>4175</v>
      </c>
    </row>
    <row r="241" spans="2:10" ht="14.5" hidden="1" outlineLevel="1">
      <c r="B241" s="4" t="s">
        <v>4127</v>
      </c>
      <c r="C241" s="5" t="s">
        <v>4128</v>
      </c>
      <c r="D241" s="5" t="s">
        <v>4205</v>
      </c>
      <c r="E241" s="5" t="s">
        <v>4206</v>
      </c>
      <c r="F241" s="5" t="s">
        <v>4207</v>
      </c>
      <c r="G241" s="5" t="s">
        <v>4208</v>
      </c>
      <c r="H241" s="5" t="s">
        <v>4209</v>
      </c>
      <c r="I241" s="6" t="s">
        <v>4210</v>
      </c>
    </row>
    <row r="242" spans="2:10" ht="14.5" hidden="1" outlineLevel="1">
      <c r="B242" s="10" t="s">
        <v>4129</v>
      </c>
      <c r="C242" s="81">
        <f t="shared" ref="C242:C247" si="2">C190</f>
        <v>206847</v>
      </c>
      <c r="D242" s="1403">
        <f>89.3</f>
        <v>89.3</v>
      </c>
      <c r="E242" s="36">
        <v>46.9</v>
      </c>
      <c r="F242" s="21">
        <f>2.5+1.8</f>
        <v>4.3</v>
      </c>
      <c r="G242" s="21">
        <f>3.25+35.5+39.5+3.4</f>
        <v>81.650000000000006</v>
      </c>
      <c r="H242" s="21">
        <f>5.3</f>
        <v>5.3</v>
      </c>
      <c r="I242" s="90">
        <f t="shared" ref="I242:I247" si="3">SUM(D242:H242)</f>
        <v>227.45000000000002</v>
      </c>
    </row>
    <row r="243" spans="2:10" ht="14.5" hidden="1" outlineLevel="1">
      <c r="B243" s="10" t="s">
        <v>4177</v>
      </c>
      <c r="C243" s="81">
        <f t="shared" si="2"/>
        <v>350408</v>
      </c>
      <c r="D243" s="36">
        <f>82.6+48.5</f>
        <v>131.1</v>
      </c>
      <c r="E243" s="36">
        <f>60.5+21.5</f>
        <v>82</v>
      </c>
      <c r="F243" s="1321">
        <f>1.9+1.8+1.4+1.3</f>
        <v>6.3999999999999995</v>
      </c>
      <c r="G243" s="21">
        <f>2.4+1.3+26.8+27.5+28.1+38.5+1.7+1.1</f>
        <v>127.39999999999999</v>
      </c>
      <c r="H243" s="21">
        <f>4.3</f>
        <v>4.3</v>
      </c>
      <c r="I243" s="90">
        <f t="shared" si="3"/>
        <v>351.2</v>
      </c>
    </row>
    <row r="244" spans="2:10" ht="14.5" hidden="1" outlineLevel="1">
      <c r="B244" s="10" t="s">
        <v>4131</v>
      </c>
      <c r="C244" s="81">
        <f t="shared" si="2"/>
        <v>350408</v>
      </c>
      <c r="D244" s="36">
        <f>50.6</f>
        <v>50.6</v>
      </c>
      <c r="E244" s="36">
        <f>58.7</f>
        <v>58.7</v>
      </c>
      <c r="F244" s="36">
        <f>1.6+1.7</f>
        <v>3.3</v>
      </c>
      <c r="G244" s="21">
        <f>1.2+22.5+13.3</f>
        <v>37</v>
      </c>
      <c r="H244" s="21">
        <f>0</f>
        <v>0</v>
      </c>
      <c r="I244" s="90">
        <f t="shared" si="3"/>
        <v>149.60000000000002</v>
      </c>
    </row>
    <row r="245" spans="2:10" ht="14.5" hidden="1" outlineLevel="1">
      <c r="B245" s="10" t="s">
        <v>4132</v>
      </c>
      <c r="C245" s="81">
        <f t="shared" si="2"/>
        <v>68225</v>
      </c>
      <c r="D245" s="36">
        <f t="shared" ref="D245:H246" si="4">D243/2</f>
        <v>65.55</v>
      </c>
      <c r="E245" s="36">
        <f t="shared" si="4"/>
        <v>41</v>
      </c>
      <c r="F245" s="36">
        <f t="shared" si="4"/>
        <v>3.1999999999999997</v>
      </c>
      <c r="G245" s="36">
        <f t="shared" si="4"/>
        <v>63.699999999999996</v>
      </c>
      <c r="H245" s="36">
        <f t="shared" si="4"/>
        <v>2.15</v>
      </c>
      <c r="I245" s="90">
        <f t="shared" si="3"/>
        <v>175.6</v>
      </c>
      <c r="J245" t="s">
        <v>4181</v>
      </c>
    </row>
    <row r="246" spans="2:10" ht="14.5" hidden="1" outlineLevel="1">
      <c r="B246" s="10" t="s">
        <v>4133</v>
      </c>
      <c r="C246" s="81">
        <f t="shared" si="2"/>
        <v>68225</v>
      </c>
      <c r="D246" s="36">
        <f t="shared" si="4"/>
        <v>25.3</v>
      </c>
      <c r="E246" s="36">
        <f t="shared" si="4"/>
        <v>29.35</v>
      </c>
      <c r="F246" s="36">
        <f t="shared" si="4"/>
        <v>1.65</v>
      </c>
      <c r="G246" s="36">
        <f t="shared" si="4"/>
        <v>18.5</v>
      </c>
      <c r="H246" s="36">
        <f t="shared" si="4"/>
        <v>0</v>
      </c>
      <c r="I246" s="90">
        <f t="shared" si="3"/>
        <v>74.800000000000011</v>
      </c>
      <c r="J246" t="s">
        <v>4181</v>
      </c>
    </row>
    <row r="247" spans="2:10" ht="15" hidden="1" outlineLevel="1" thickBot="1">
      <c r="B247" s="13" t="s">
        <v>4118</v>
      </c>
      <c r="C247" s="82">
        <f t="shared" si="2"/>
        <v>139069</v>
      </c>
      <c r="D247" s="31">
        <f>33.5</f>
        <v>33.5</v>
      </c>
      <c r="E247" s="31">
        <f>59.8</f>
        <v>59.8</v>
      </c>
      <c r="F247" s="31">
        <f>0.9+1.1</f>
        <v>2</v>
      </c>
      <c r="G247" s="22">
        <f>1.6+11.5+10</f>
        <v>23.1</v>
      </c>
      <c r="H247" s="22">
        <v>0</v>
      </c>
      <c r="I247" s="91">
        <f t="shared" si="3"/>
        <v>118.4</v>
      </c>
    </row>
    <row r="248" spans="2:10" hidden="1" outlineLevel="1"/>
    <row r="249" spans="2:10" hidden="1" outlineLevel="1">
      <c r="B249" s="3" t="s">
        <v>4082</v>
      </c>
    </row>
    <row r="250" spans="2:10" ht="14.5" hidden="1" outlineLevel="1" thickBot="1"/>
    <row r="251" spans="2:10" ht="14.5" hidden="1" outlineLevel="1">
      <c r="B251" s="4"/>
      <c r="C251" s="5" t="s">
        <v>4128</v>
      </c>
      <c r="D251" s="5" t="s">
        <v>4211</v>
      </c>
      <c r="E251" s="5" t="s">
        <v>4205</v>
      </c>
      <c r="F251" s="5" t="s">
        <v>4206</v>
      </c>
      <c r="G251" s="5" t="s">
        <v>4207</v>
      </c>
      <c r="H251" s="5" t="s">
        <v>4208</v>
      </c>
      <c r="I251" s="5" t="s">
        <v>4209</v>
      </c>
      <c r="J251" s="6" t="s">
        <v>4210</v>
      </c>
    </row>
    <row r="252" spans="2:10" ht="42.5" hidden="1" outlineLevel="1">
      <c r="B252" s="10" t="s">
        <v>4153</v>
      </c>
      <c r="C252" s="81">
        <f>C191</f>
        <v>350408</v>
      </c>
      <c r="D252" s="1403" t="s">
        <v>4212</v>
      </c>
      <c r="E252" s="1403">
        <f>D242</f>
        <v>89.3</v>
      </c>
      <c r="F252" s="1403">
        <f>E242</f>
        <v>46.9</v>
      </c>
      <c r="G252" s="1403">
        <f>F242</f>
        <v>4.3</v>
      </c>
      <c r="H252" s="1403">
        <f>G242</f>
        <v>81.650000000000006</v>
      </c>
      <c r="I252" s="1403">
        <f>H242</f>
        <v>5.3</v>
      </c>
      <c r="J252" s="90">
        <f>SUM(E252:I252)</f>
        <v>227.45000000000002</v>
      </c>
    </row>
    <row r="253" spans="2:10" ht="58.5" hidden="1" customHeight="1" outlineLevel="1">
      <c r="B253" s="10" t="s">
        <v>4154</v>
      </c>
      <c r="C253" s="81">
        <f>C192</f>
        <v>350408</v>
      </c>
      <c r="D253" s="36" t="s">
        <v>4212</v>
      </c>
      <c r="E253" s="78">
        <f>D242</f>
        <v>89.3</v>
      </c>
      <c r="F253" s="78">
        <f>E242</f>
        <v>46.9</v>
      </c>
      <c r="G253" s="78">
        <f>F242</f>
        <v>4.3</v>
      </c>
      <c r="H253" s="78">
        <f>G242</f>
        <v>81.650000000000006</v>
      </c>
      <c r="I253" s="78">
        <f>H242</f>
        <v>5.3</v>
      </c>
      <c r="J253" s="90">
        <f>SUM(E253:I253)</f>
        <v>227.45000000000002</v>
      </c>
    </row>
    <row r="254" spans="2:10" ht="42.5" hidden="1" outlineLevel="1">
      <c r="B254" s="10" t="s">
        <v>4155</v>
      </c>
      <c r="C254" s="81">
        <f>C193</f>
        <v>68225</v>
      </c>
      <c r="D254" s="1321" t="s">
        <v>4213</v>
      </c>
      <c r="E254" s="36">
        <f>D247</f>
        <v>33.5</v>
      </c>
      <c r="F254" s="36">
        <f>E247</f>
        <v>59.8</v>
      </c>
      <c r="G254" s="36">
        <f>F247</f>
        <v>2</v>
      </c>
      <c r="H254" s="36">
        <f>G247</f>
        <v>23.1</v>
      </c>
      <c r="I254" s="36">
        <f>H247</f>
        <v>0</v>
      </c>
      <c r="J254" s="90">
        <f>SUM(E254:I254)</f>
        <v>118.4</v>
      </c>
    </row>
    <row r="255" spans="2:10" ht="42.5" hidden="1" outlineLevel="1">
      <c r="B255" s="10" t="s">
        <v>4156</v>
      </c>
      <c r="C255" s="81">
        <f>C194</f>
        <v>68225</v>
      </c>
      <c r="D255" s="1321" t="s">
        <v>4214</v>
      </c>
      <c r="E255" s="36">
        <f>D244</f>
        <v>50.6</v>
      </c>
      <c r="F255" s="36">
        <f>E244</f>
        <v>58.7</v>
      </c>
      <c r="G255" s="36">
        <f>F244</f>
        <v>3.3</v>
      </c>
      <c r="H255" s="36">
        <f>G244</f>
        <v>37</v>
      </c>
      <c r="I255" s="36">
        <f>H244</f>
        <v>0</v>
      </c>
      <c r="J255" s="90">
        <f>SUM(E255:I255)</f>
        <v>149.60000000000002</v>
      </c>
    </row>
    <row r="256" spans="2:10" ht="43" hidden="1" outlineLevel="1" thickBot="1">
      <c r="B256" s="13" t="s">
        <v>4157</v>
      </c>
      <c r="C256" s="82">
        <f>C195</f>
        <v>139069</v>
      </c>
      <c r="D256" s="1405" t="s">
        <v>4213</v>
      </c>
      <c r="E256" s="31">
        <f>D247</f>
        <v>33.5</v>
      </c>
      <c r="F256" s="31">
        <f>E247</f>
        <v>59.8</v>
      </c>
      <c r="G256" s="31">
        <f>F247</f>
        <v>2</v>
      </c>
      <c r="H256" s="31">
        <f>G247</f>
        <v>23.1</v>
      </c>
      <c r="I256" s="31">
        <f>H247</f>
        <v>0</v>
      </c>
      <c r="J256" s="91">
        <f>SUM(E256:I256)</f>
        <v>118.4</v>
      </c>
    </row>
    <row r="257" spans="2:9" hidden="1" outlineLevel="1"/>
    <row r="258" spans="2:9" hidden="1" outlineLevel="1">
      <c r="B258" s="3" t="s">
        <v>4190</v>
      </c>
    </row>
    <row r="259" spans="2:9" hidden="1" outlineLevel="1"/>
    <row r="260" spans="2:9" hidden="1" outlineLevel="1">
      <c r="B260" s="1317" t="s">
        <v>4215</v>
      </c>
    </row>
    <row r="261" spans="2:9" hidden="1" outlineLevel="1"/>
    <row r="262" spans="2:9" hidden="1" outlineLevel="1"/>
    <row r="263" spans="2:9" hidden="1" outlineLevel="1"/>
    <row r="264" spans="2:9" hidden="1" outlineLevel="1"/>
    <row r="265" spans="2:9" ht="14.5" hidden="1" outlineLevel="1" thickBot="1">
      <c r="B265" s="1251" t="s">
        <v>4216</v>
      </c>
    </row>
    <row r="266" spans="2:9" ht="14.5" hidden="1" outlineLevel="1">
      <c r="B266" s="470" t="s">
        <v>4217</v>
      </c>
      <c r="C266" s="5" t="s">
        <v>2699</v>
      </c>
      <c r="D266" s="5" t="s">
        <v>4218</v>
      </c>
      <c r="E266" s="5" t="s">
        <v>4219</v>
      </c>
      <c r="F266" s="5" t="s">
        <v>3067</v>
      </c>
      <c r="G266" s="5" t="s">
        <v>4220</v>
      </c>
      <c r="H266" s="6" t="s">
        <v>83</v>
      </c>
    </row>
    <row r="267" spans="2:9" ht="14.5" hidden="1" outlineLevel="1">
      <c r="B267" s="27" t="s">
        <v>4081</v>
      </c>
      <c r="C267" s="1341">
        <f>SUMPRODUCT(D242:D247,$C242:$C247)/10^6</f>
        <v>92.997623449999992</v>
      </c>
      <c r="D267" s="1341">
        <f>SUMPRODUCT(E242:E247,$C242:$C247)/10^6</f>
        <v>72.119484849999992</v>
      </c>
      <c r="E267" s="1341">
        <f>SUMPRODUCT(F242:F247,$C242:$C247)/10^6</f>
        <v>4.8974289499999992</v>
      </c>
      <c r="F267" s="1341">
        <f>SUMPRODUCT(G242:G247,$C242:$C247)/10^6</f>
        <v>83.316721650000005</v>
      </c>
      <c r="G267" s="1341">
        <f>SUMPRODUCT(H242:H247,$C242:$C247)/10^6</f>
        <v>2.7497272499999998</v>
      </c>
      <c r="H267" s="192">
        <f>SUM(C267:G267)</f>
        <v>256.08098615</v>
      </c>
    </row>
    <row r="268" spans="2:9" ht="14.5" hidden="1" outlineLevel="1">
      <c r="B268" s="27" t="s">
        <v>4082</v>
      </c>
      <c r="C268" s="201">
        <f>SUMPRODUCT(E252:E256,$C252:$C256)/10^6</f>
        <v>72.979402800000003</v>
      </c>
      <c r="D268" s="201">
        <f>SUMPRODUCT(F252:F256,$C252:$C256)/10^6</f>
        <v>49.269259099999992</v>
      </c>
      <c r="E268" s="201">
        <f>SUMPRODUCT(G252:G256,$C252:$C256)/10^6</f>
        <v>3.6532392999999996</v>
      </c>
      <c r="F268" s="201">
        <f>SUMPRODUCT(H252:H256,$C252:$C256)/10^6</f>
        <v>64.534442800000008</v>
      </c>
      <c r="G268" s="201">
        <f>SUMPRODUCT(I252:I256,$C252:$C256)/10^6</f>
        <v>3.7143248</v>
      </c>
      <c r="H268" s="192">
        <f>SUM(C268:G268)</f>
        <v>194.15066880000001</v>
      </c>
    </row>
    <row r="269" spans="2:9" ht="14.5" hidden="1" outlineLevel="1">
      <c r="B269" s="27" t="s">
        <v>4190</v>
      </c>
      <c r="C269" s="201"/>
      <c r="D269" s="201"/>
      <c r="E269" s="486"/>
      <c r="F269" s="21"/>
      <c r="G269" s="21"/>
      <c r="H269" s="192">
        <f>SUM(C269:G269)</f>
        <v>0</v>
      </c>
    </row>
    <row r="270" spans="2:9" ht="15" hidden="1" outlineLevel="1" thickBot="1">
      <c r="B270" s="471" t="s">
        <v>83</v>
      </c>
      <c r="C270" s="472">
        <f>SUM(C267:C269)</f>
        <v>165.97702624999999</v>
      </c>
      <c r="D270" s="472">
        <f>SUM(D267:D269)</f>
        <v>121.38874394999999</v>
      </c>
      <c r="E270" s="472">
        <f>SUM(E267:E269)</f>
        <v>8.5506682499999993</v>
      </c>
      <c r="F270" s="472">
        <f>SUM(F267:F269)</f>
        <v>147.85116445</v>
      </c>
      <c r="G270" s="472">
        <f>SUM(G267:G269)</f>
        <v>6.4640520499999994</v>
      </c>
      <c r="H270" s="195">
        <f>SUM(C270:G270)</f>
        <v>450.23165495000001</v>
      </c>
    </row>
    <row r="271" spans="2:9" hidden="1" outlineLevel="1"/>
    <row r="272" spans="2:9" ht="14.5" hidden="1" outlineLevel="1" thickBot="1">
      <c r="B272" s="1251" t="s">
        <v>4221</v>
      </c>
      <c r="I272" s="1251"/>
    </row>
    <row r="273" spans="2:8" ht="15" hidden="1" outlineLevel="1" thickBot="1">
      <c r="B273" s="470" t="s">
        <v>4222</v>
      </c>
      <c r="C273" s="5" t="s">
        <v>2699</v>
      </c>
      <c r="D273" s="5" t="s">
        <v>4218</v>
      </c>
      <c r="E273" s="5" t="s">
        <v>4219</v>
      </c>
      <c r="F273" s="5" t="s">
        <v>3067</v>
      </c>
      <c r="G273" s="5" t="s">
        <v>4220</v>
      </c>
      <c r="H273" s="62" t="s">
        <v>674</v>
      </c>
    </row>
    <row r="274" spans="2:8" ht="14.5" hidden="1" outlineLevel="1">
      <c r="B274" s="27" t="s">
        <v>4081</v>
      </c>
      <c r="C274" s="1341">
        <v>36.269073145499995</v>
      </c>
      <c r="D274" s="1341">
        <v>28.126599091499997</v>
      </c>
      <c r="E274" s="1341">
        <v>11.655880900999998</v>
      </c>
      <c r="F274" s="1341">
        <v>198.29379752700001</v>
      </c>
      <c r="G274" s="1459">
        <v>6.5443508549999994</v>
      </c>
      <c r="H274" s="489">
        <f>SUM(C274:G274)/10^3</f>
        <v>0.28088970152000003</v>
      </c>
    </row>
    <row r="275" spans="2:8" ht="14.5" hidden="1" outlineLevel="1">
      <c r="B275" s="27" t="s">
        <v>4082</v>
      </c>
      <c r="C275" s="1341">
        <v>28.461967092000002</v>
      </c>
      <c r="D275" s="1341">
        <v>19.215011048999997</v>
      </c>
      <c r="E275" s="1341">
        <v>8.6947095339999994</v>
      </c>
      <c r="F275" s="1341">
        <v>153.59197386400001</v>
      </c>
      <c r="G275" s="1459">
        <v>8.8400930239999997</v>
      </c>
      <c r="H275" s="490">
        <f>SUM(C275:G275)/10^3</f>
        <v>0.21880375456300002</v>
      </c>
    </row>
    <row r="276" spans="2:8" ht="14.5" hidden="1" outlineLevel="1">
      <c r="B276" s="27" t="s">
        <v>4190</v>
      </c>
      <c r="C276" s="201"/>
      <c r="D276" s="201"/>
      <c r="E276" s="486"/>
      <c r="F276" s="21"/>
      <c r="G276" s="487"/>
      <c r="H276" s="490">
        <f>SUM(C276:G276)/10^3</f>
        <v>0</v>
      </c>
    </row>
    <row r="277" spans="2:8" ht="15" hidden="1" outlineLevel="1" thickBot="1">
      <c r="B277" s="471" t="s">
        <v>83</v>
      </c>
      <c r="C277" s="472">
        <f>SUM(C274:C276)</f>
        <v>64.731040237499997</v>
      </c>
      <c r="D277" s="472">
        <f>SUM(D274:D276)</f>
        <v>47.341610140499995</v>
      </c>
      <c r="E277" s="472">
        <f>SUM(E274:E276)</f>
        <v>20.350590434999997</v>
      </c>
      <c r="F277" s="472">
        <f>SUM(F274:F276)</f>
        <v>351.88577139100005</v>
      </c>
      <c r="G277" s="488">
        <f>SUM(G274:G276)</f>
        <v>15.384443878999999</v>
      </c>
      <c r="H277" s="491">
        <f>SUM(C277:G277)/10^3</f>
        <v>0.49969345608300003</v>
      </c>
    </row>
    <row r="278" spans="2:8" hidden="1" outlineLevel="1"/>
    <row r="279" spans="2:8" collapsed="1"/>
    <row r="280" spans="2:8" ht="18">
      <c r="B280" s="258" t="s">
        <v>4223</v>
      </c>
    </row>
    <row r="282" spans="2:8" ht="14.5" hidden="1" outlineLevel="1" thickBot="1">
      <c r="B282" s="1251" t="s">
        <v>4224</v>
      </c>
    </row>
    <row r="283" spans="2:8" ht="28.5" hidden="1" outlineLevel="1" thickBot="1">
      <c r="B283" s="493" t="s">
        <v>4225</v>
      </c>
      <c r="C283" s="494">
        <f>'Annexe - stérilisation'!C26</f>
        <v>0.18273736929272824</v>
      </c>
      <c r="D283" s="496" t="s">
        <v>4226</v>
      </c>
    </row>
    <row r="284" spans="2:8" hidden="1" outlineLevel="1"/>
    <row r="285" spans="2:8" ht="14.5" hidden="1" outlineLevel="1" thickBot="1">
      <c r="B285" s="1251" t="s">
        <v>4227</v>
      </c>
    </row>
    <row r="286" spans="2:8" ht="28.5" hidden="1" outlineLevel="1" thickBot="1">
      <c r="B286" s="493" t="s">
        <v>4228</v>
      </c>
      <c r="C286" s="495">
        <f>'Annexe - Salles blanches'!C22</f>
        <v>0.46244813751925457</v>
      </c>
      <c r="D286" s="1460" t="s">
        <v>424</v>
      </c>
    </row>
    <row r="287" spans="2:8" hidden="1" outlineLevel="1"/>
    <row r="288" spans="2:8" ht="14.5" hidden="1" outlineLevel="1" thickBot="1">
      <c r="B288" s="1251" t="s">
        <v>2436</v>
      </c>
    </row>
    <row r="289" spans="2:16" ht="43.5" hidden="1" outlineLevel="1">
      <c r="B289" s="470"/>
      <c r="C289" s="138" t="s">
        <v>4229</v>
      </c>
      <c r="D289" s="138" t="s">
        <v>4230</v>
      </c>
      <c r="E289" s="138" t="s">
        <v>4231</v>
      </c>
      <c r="F289" s="139" t="s">
        <v>301</v>
      </c>
    </row>
    <row r="290" spans="2:16" ht="14.5" hidden="1" outlineLevel="1">
      <c r="B290" s="27" t="s">
        <v>4081</v>
      </c>
      <c r="C290" s="11">
        <f>F216+1000*H267</f>
        <v>346115.26844999997</v>
      </c>
      <c r="D290" s="168">
        <f>C290*C286/10^6</f>
        <v>0.1600603612616793</v>
      </c>
      <c r="E290" s="168">
        <f>C290*C283/10^6</f>
        <v>6.3248193628599417E-2</v>
      </c>
      <c r="F290" s="1283" t="s">
        <v>661</v>
      </c>
    </row>
    <row r="291" spans="2:16" ht="14.5" hidden="1" outlineLevel="1">
      <c r="B291" s="27" t="s">
        <v>4082</v>
      </c>
      <c r="C291" s="11">
        <f>F217+1000*H268</f>
        <v>267875.84880000004</v>
      </c>
      <c r="D291" s="168">
        <f>C291*C286/10^6</f>
        <v>0.12387868736394946</v>
      </c>
      <c r="E291" s="168">
        <f>C291*C283/10^6</f>
        <v>4.8950927906768638E-2</v>
      </c>
      <c r="F291" s="1283" t="s">
        <v>661</v>
      </c>
    </row>
    <row r="292" spans="2:16" ht="14.5" hidden="1" outlineLevel="1">
      <c r="B292" s="27" t="s">
        <v>4190</v>
      </c>
      <c r="C292" s="11">
        <f>F218+1000*H269</f>
        <v>0</v>
      </c>
      <c r="D292" s="168">
        <f>C292*C286/10^6</f>
        <v>0</v>
      </c>
      <c r="E292" s="168">
        <f>C292*C283/10^6</f>
        <v>0</v>
      </c>
      <c r="F292" s="1283" t="s">
        <v>661</v>
      </c>
    </row>
    <row r="293" spans="2:16" ht="15" hidden="1" outlineLevel="1" thickBot="1">
      <c r="B293" s="471" t="s">
        <v>83</v>
      </c>
      <c r="C293" s="14">
        <f>SUM(C290:C292)</f>
        <v>613991.11725000001</v>
      </c>
      <c r="D293" s="98">
        <f>SUM(D290:D292)</f>
        <v>0.28393904862562874</v>
      </c>
      <c r="E293" s="98">
        <f>SUM(E290:E292)</f>
        <v>0.11219912153536805</v>
      </c>
      <c r="F293" s="1285" t="s">
        <v>661</v>
      </c>
    </row>
    <row r="294" spans="2:16" hidden="1" outlineLevel="1"/>
    <row r="295" spans="2:16" collapsed="1"/>
    <row r="296" spans="2:16" ht="18">
      <c r="B296" s="258" t="s">
        <v>522</v>
      </c>
    </row>
    <row r="298" spans="2:16" hidden="1" outlineLevel="1">
      <c r="B298" s="3" t="s">
        <v>523</v>
      </c>
    </row>
    <row r="299" spans="2:16" hidden="1" outlineLevel="1">
      <c r="B299" s="1251" t="s">
        <v>524</v>
      </c>
    </row>
    <row r="300" spans="2:16" ht="14.5" hidden="1" outlineLevel="1" thickBot="1"/>
    <row r="301" spans="2:16" ht="14.5" hidden="1" outlineLevel="1">
      <c r="B301" s="123" t="s">
        <v>525</v>
      </c>
      <c r="C301" s="155" t="s">
        <v>526</v>
      </c>
      <c r="D301" s="374" t="s">
        <v>165</v>
      </c>
      <c r="E301" s="375" t="s">
        <v>175</v>
      </c>
      <c r="F301" s="375" t="s">
        <v>163</v>
      </c>
      <c r="G301" s="375" t="s">
        <v>169</v>
      </c>
      <c r="H301" s="375" t="s">
        <v>161</v>
      </c>
      <c r="I301" s="375" t="s">
        <v>153</v>
      </c>
      <c r="J301" s="375" t="s">
        <v>171</v>
      </c>
      <c r="K301" s="375" t="s">
        <v>527</v>
      </c>
      <c r="L301" s="375" t="s">
        <v>167</v>
      </c>
      <c r="M301" s="375" t="s">
        <v>173</v>
      </c>
      <c r="N301" s="375" t="s">
        <v>159</v>
      </c>
      <c r="O301" s="375" t="s">
        <v>154</v>
      </c>
      <c r="P301" s="378" t="s">
        <v>157</v>
      </c>
    </row>
    <row r="302" spans="2:16" ht="30.5" hidden="1" customHeight="1" outlineLevel="1" thickBot="1">
      <c r="B302" s="13" t="s">
        <v>4232</v>
      </c>
      <c r="C302" s="14">
        <v>90213100</v>
      </c>
      <c r="D302" s="376">
        <v>0</v>
      </c>
      <c r="E302" s="298">
        <v>6.7490451908834863E-5</v>
      </c>
      <c r="F302" s="298">
        <v>9.443842520671963E-3</v>
      </c>
      <c r="G302" s="298">
        <v>2.2561093923810509E-3</v>
      </c>
      <c r="H302" s="298">
        <v>2.771929274827146E-4</v>
      </c>
      <c r="I302" s="298">
        <v>4.519931979265969E-2</v>
      </c>
      <c r="J302" s="298">
        <v>2.844240473300898E-4</v>
      </c>
      <c r="K302" s="298">
        <v>3.7447559316273513E-2</v>
      </c>
      <c r="L302" s="298">
        <v>1.7228143036371327E-2</v>
      </c>
      <c r="M302" s="298">
        <v>1.2377266805423822E-3</v>
      </c>
      <c r="N302" s="298">
        <v>8.6147946301704012E-2</v>
      </c>
      <c r="O302" s="298">
        <v>0.79807941456853704</v>
      </c>
      <c r="P302" s="381">
        <v>2.3308309641372612E-3</v>
      </c>
    </row>
    <row r="303" spans="2:16" hidden="1" outlineLevel="1"/>
    <row r="304" spans="2:16" hidden="1" outlineLevel="1">
      <c r="B304" s="1251" t="s">
        <v>530</v>
      </c>
      <c r="N304" s="41"/>
    </row>
    <row r="305" spans="2:20" hidden="1" outlineLevel="1">
      <c r="B305" s="1251"/>
      <c r="C305" s="1251"/>
      <c r="D305" s="1251"/>
    </row>
    <row r="306" spans="2:20" hidden="1" outlineLevel="1">
      <c r="B306" s="1251" t="s">
        <v>531</v>
      </c>
      <c r="C306" s="1251"/>
      <c r="D306" s="1251"/>
    </row>
    <row r="307" spans="2:20" ht="14.5" hidden="1" outlineLevel="1" thickBot="1">
      <c r="B307" s="1251" t="s">
        <v>2912</v>
      </c>
      <c r="C307" s="1251"/>
      <c r="D307" s="1251"/>
      <c r="Q307" s="1251" t="s">
        <v>4233</v>
      </c>
    </row>
    <row r="308" spans="2:20" ht="43.5" hidden="1" outlineLevel="1">
      <c r="B308" s="1251"/>
      <c r="C308" s="1251"/>
      <c r="D308" s="1251"/>
      <c r="Q308" s="123" t="s">
        <v>4234</v>
      </c>
      <c r="R308" s="374" t="s">
        <v>534</v>
      </c>
      <c r="S308" s="374" t="s">
        <v>4235</v>
      </c>
      <c r="T308" s="379" t="s">
        <v>4236</v>
      </c>
    </row>
    <row r="309" spans="2:20" ht="58.5" hidden="1" outlineLevel="1" thickBot="1">
      <c r="B309" s="1251" t="s">
        <v>4237</v>
      </c>
      <c r="C309" s="1251"/>
      <c r="D309" s="1251"/>
      <c r="Q309" s="13" t="s">
        <v>4238</v>
      </c>
      <c r="R309" s="376">
        <v>0</v>
      </c>
      <c r="S309" s="1461">
        <v>0.5</v>
      </c>
      <c r="T309" s="321">
        <v>0.5</v>
      </c>
    </row>
    <row r="310" spans="2:20" ht="29" hidden="1" outlineLevel="1">
      <c r="B310" s="123" t="s">
        <v>4234</v>
      </c>
      <c r="C310" s="374" t="s">
        <v>534</v>
      </c>
      <c r="D310" s="374" t="s">
        <v>4235</v>
      </c>
      <c r="E310" s="379" t="s">
        <v>4236</v>
      </c>
    </row>
    <row r="311" spans="2:20" ht="15" hidden="1" outlineLevel="1" thickBot="1">
      <c r="B311" s="13" t="s">
        <v>4238</v>
      </c>
      <c r="C311" s="376">
        <v>0.4</v>
      </c>
      <c r="D311" s="1461">
        <v>0.5</v>
      </c>
      <c r="E311" s="321">
        <v>0.1</v>
      </c>
    </row>
    <row r="312" spans="2:20" hidden="1" outlineLevel="1">
      <c r="C312" s="945"/>
      <c r="D312" s="1251"/>
    </row>
    <row r="313" spans="2:20" hidden="1" outlineLevel="1">
      <c r="C313" s="945"/>
      <c r="D313" s="1251"/>
    </row>
    <row r="314" spans="2:20" hidden="1" outlineLevel="1">
      <c r="C314" s="945"/>
      <c r="D314" s="1251"/>
    </row>
    <row r="315" spans="2:20" hidden="1" outlineLevel="1">
      <c r="C315" s="945"/>
      <c r="D315" s="1251"/>
    </row>
    <row r="316" spans="2:20" hidden="1" outlineLevel="1">
      <c r="C316" s="945"/>
      <c r="D316" s="1251"/>
    </row>
    <row r="317" spans="2:20" hidden="1" outlineLevel="1">
      <c r="C317" s="945"/>
      <c r="D317" s="1251"/>
    </row>
    <row r="318" spans="2:20" hidden="1" outlineLevel="1">
      <c r="C318" s="945"/>
      <c r="D318" s="1251"/>
    </row>
    <row r="319" spans="2:20" hidden="1" outlineLevel="1">
      <c r="C319" s="945"/>
      <c r="D319" s="1251"/>
    </row>
    <row r="320" spans="2:20" hidden="1" outlineLevel="1">
      <c r="C320" s="945"/>
      <c r="D320" s="1251"/>
    </row>
    <row r="321" spans="2:16" hidden="1" outlineLevel="1">
      <c r="C321" s="945"/>
      <c r="D321" s="1251"/>
    </row>
    <row r="322" spans="2:16" hidden="1" outlineLevel="1">
      <c r="C322" s="945"/>
      <c r="D322" s="1251"/>
    </row>
    <row r="323" spans="2:16" hidden="1" outlineLevel="1">
      <c r="C323" s="945"/>
      <c r="D323" s="1251"/>
    </row>
    <row r="324" spans="2:16" hidden="1" outlineLevel="1">
      <c r="C324" s="945"/>
      <c r="D324" s="1251"/>
    </row>
    <row r="325" spans="2:16" hidden="1" outlineLevel="1">
      <c r="C325" s="945"/>
      <c r="D325" s="1251"/>
    </row>
    <row r="326" spans="2:16" ht="14.5" hidden="1" outlineLevel="1" thickBot="1">
      <c r="B326" s="1251" t="s">
        <v>4239</v>
      </c>
      <c r="C326" s="1251"/>
      <c r="D326" s="1251"/>
    </row>
    <row r="327" spans="2:16" ht="14.5" hidden="1" outlineLevel="1">
      <c r="B327" s="123" t="s">
        <v>525</v>
      </c>
      <c r="C327" s="155" t="s">
        <v>526</v>
      </c>
      <c r="D327" s="374" t="s">
        <v>165</v>
      </c>
      <c r="E327" s="375" t="s">
        <v>175</v>
      </c>
      <c r="F327" s="375" t="s">
        <v>163</v>
      </c>
      <c r="G327" s="375" t="s">
        <v>169</v>
      </c>
      <c r="H327" s="375" t="s">
        <v>161</v>
      </c>
      <c r="I327" s="375" t="s">
        <v>153</v>
      </c>
      <c r="J327" s="375" t="s">
        <v>171</v>
      </c>
      <c r="K327" s="375" t="s">
        <v>527</v>
      </c>
      <c r="L327" s="375" t="s">
        <v>167</v>
      </c>
      <c r="M327" s="375" t="s">
        <v>173</v>
      </c>
      <c r="N327" s="375" t="s">
        <v>159</v>
      </c>
      <c r="O327" s="375" t="s">
        <v>154</v>
      </c>
      <c r="P327" s="378" t="s">
        <v>157</v>
      </c>
    </row>
    <row r="328" spans="2:16" ht="15" hidden="1" outlineLevel="1" thickBot="1">
      <c r="B328" s="13" t="s">
        <v>4232</v>
      </c>
      <c r="C328" s="14">
        <v>90213100</v>
      </c>
      <c r="D328" s="376"/>
      <c r="E328" s="298"/>
      <c r="F328" s="298"/>
      <c r="G328" s="298"/>
      <c r="H328" s="298"/>
      <c r="I328" s="298"/>
      <c r="J328" s="298"/>
      <c r="K328" s="298"/>
      <c r="L328" s="298"/>
      <c r="M328" s="298"/>
      <c r="N328" s="298">
        <f>10%/(1-C311)</f>
        <v>0.16666666666666669</v>
      </c>
      <c r="O328" s="298">
        <f>50%/(1-C311)</f>
        <v>0.83333333333333337</v>
      </c>
      <c r="P328" s="381"/>
    </row>
    <row r="329" spans="2:16" ht="14.5" hidden="1" outlineLevel="1">
      <c r="E329" s="946"/>
      <c r="F329" s="946"/>
      <c r="G329" s="946"/>
      <c r="H329" s="946"/>
      <c r="I329" s="946"/>
      <c r="J329" s="946"/>
      <c r="K329" s="946"/>
      <c r="L329" s="946"/>
      <c r="M329" s="946"/>
      <c r="N329" s="946"/>
      <c r="O329" s="946"/>
      <c r="P329" s="946"/>
    </row>
    <row r="330" spans="2:16" ht="14.5" hidden="1" outlineLevel="1">
      <c r="E330" s="946"/>
      <c r="F330" s="946"/>
      <c r="G330" s="946"/>
      <c r="H330" s="946"/>
      <c r="I330" s="946"/>
      <c r="J330" s="946"/>
      <c r="K330" s="946"/>
      <c r="L330" s="946"/>
      <c r="M330" s="946"/>
      <c r="N330" s="946"/>
      <c r="O330" s="946"/>
      <c r="P330" s="946"/>
    </row>
    <row r="331" spans="2:16" ht="14.5" hidden="1" outlineLevel="1">
      <c r="E331" s="946"/>
      <c r="F331" s="946"/>
      <c r="G331" s="946"/>
      <c r="H331" s="946"/>
      <c r="I331" s="946"/>
      <c r="J331" s="946"/>
      <c r="K331" s="946"/>
      <c r="L331" s="946"/>
      <c r="M331" s="946"/>
      <c r="N331" s="946"/>
      <c r="O331" s="946"/>
      <c r="P331" s="946"/>
    </row>
    <row r="332" spans="2:16" ht="14.5" hidden="1" outlineLevel="1">
      <c r="B332" s="3" t="s">
        <v>2554</v>
      </c>
      <c r="E332" s="946"/>
      <c r="F332" s="946"/>
      <c r="G332" s="946"/>
      <c r="H332" s="946"/>
      <c r="I332" s="946"/>
      <c r="J332" s="946"/>
      <c r="K332" s="946"/>
      <c r="L332" s="946"/>
      <c r="M332" s="946"/>
      <c r="N332" s="946"/>
      <c r="O332" s="946"/>
      <c r="P332" s="946"/>
    </row>
    <row r="333" spans="2:16" ht="14.5" hidden="1" outlineLevel="1">
      <c r="E333" s="946"/>
      <c r="F333" s="946"/>
      <c r="G333" s="946"/>
      <c r="H333" s="946"/>
      <c r="I333" s="946"/>
      <c r="J333" s="946"/>
      <c r="K333" s="946"/>
      <c r="L333" s="946"/>
      <c r="M333" s="946"/>
      <c r="N333" s="946"/>
      <c r="O333" s="946"/>
      <c r="P333" s="946"/>
    </row>
    <row r="334" spans="2:16" ht="15" hidden="1" outlineLevel="1" thickBot="1">
      <c r="B334" s="1251" t="s">
        <v>2913</v>
      </c>
      <c r="J334" s="946"/>
      <c r="K334" s="946"/>
      <c r="L334" s="946"/>
      <c r="M334" s="946"/>
      <c r="N334" s="946"/>
      <c r="O334" s="946"/>
      <c r="P334" s="946"/>
    </row>
    <row r="335" spans="2:16" ht="14.5" hidden="1" outlineLevel="1">
      <c r="B335" s="218"/>
      <c r="C335" s="1635" t="s">
        <v>4240</v>
      </c>
      <c r="D335" s="1633"/>
      <c r="E335" s="1603" t="s">
        <v>4004</v>
      </c>
      <c r="F335" s="1645"/>
      <c r="G335" s="1645" t="s">
        <v>4005</v>
      </c>
      <c r="H335" s="1633"/>
      <c r="J335" s="946"/>
      <c r="K335" s="946"/>
      <c r="L335" s="946"/>
      <c r="M335" s="946"/>
      <c r="N335" s="946"/>
      <c r="O335" s="946"/>
      <c r="P335" s="946"/>
    </row>
    <row r="336" spans="2:16" ht="29" hidden="1" outlineLevel="1">
      <c r="B336" s="453" t="s">
        <v>4241</v>
      </c>
      <c r="C336" s="1014" t="s">
        <v>4242</v>
      </c>
      <c r="D336" s="944" t="s">
        <v>4243</v>
      </c>
      <c r="E336" s="1156" t="s">
        <v>2746</v>
      </c>
      <c r="F336" s="933" t="s">
        <v>2747</v>
      </c>
      <c r="G336" s="933" t="s">
        <v>2746</v>
      </c>
      <c r="H336" s="944" t="s">
        <v>2747</v>
      </c>
      <c r="J336" s="946"/>
      <c r="K336" s="946"/>
      <c r="L336" s="946"/>
      <c r="M336" s="946"/>
      <c r="N336" s="946"/>
      <c r="O336" s="946"/>
      <c r="P336" s="946"/>
    </row>
    <row r="337" spans="2:16" ht="14.5" hidden="1" outlineLevel="1">
      <c r="B337" s="28" t="s">
        <v>4244</v>
      </c>
      <c r="C337" s="1159">
        <v>0.99634355777712669</v>
      </c>
      <c r="D337" s="320">
        <f>1-C337</f>
        <v>3.6564422228733129E-3</v>
      </c>
      <c r="E337" s="1157">
        <v>7.3021965743430648E-3</v>
      </c>
      <c r="F337" s="536">
        <v>0.99269780342565694</v>
      </c>
      <c r="G337" s="536">
        <v>1.0687871403531272E-5</v>
      </c>
      <c r="H337" s="320">
        <v>0.99998931212859643</v>
      </c>
      <c r="J337" s="946"/>
      <c r="K337" s="946"/>
      <c r="L337" s="946"/>
      <c r="M337" s="946"/>
      <c r="N337" s="946"/>
      <c r="O337" s="946"/>
      <c r="P337" s="946"/>
    </row>
    <row r="338" spans="2:16" ht="14.5" hidden="1" outlineLevel="1">
      <c r="B338" s="28" t="s">
        <v>4245</v>
      </c>
      <c r="C338" s="1159">
        <v>0.91939404658585644</v>
      </c>
      <c r="D338" s="320">
        <f>1-C338</f>
        <v>8.0605953414143561E-2</v>
      </c>
      <c r="E338" s="1157">
        <v>0.16121190682828715</v>
      </c>
      <c r="F338" s="536">
        <v>0.83878809317171288</v>
      </c>
      <c r="G338" s="536">
        <v>0</v>
      </c>
      <c r="H338" s="320">
        <v>1</v>
      </c>
      <c r="J338" s="946"/>
      <c r="K338" s="946"/>
      <c r="L338" s="946"/>
      <c r="M338" s="946"/>
      <c r="N338" s="946"/>
      <c r="O338" s="946"/>
      <c r="P338" s="946"/>
    </row>
    <row r="339" spans="2:16" ht="29" hidden="1" outlineLevel="1">
      <c r="B339" s="28" t="s">
        <v>4246</v>
      </c>
      <c r="C339" s="1159">
        <v>0.95850518141379282</v>
      </c>
      <c r="D339" s="320">
        <f>1-C339</f>
        <v>4.1494818586207183E-2</v>
      </c>
      <c r="E339" s="1158">
        <v>7.9970436255796903E-2</v>
      </c>
      <c r="F339" s="536">
        <v>0.92002956374420308</v>
      </c>
      <c r="G339" s="536">
        <v>3.0192009166173863E-3</v>
      </c>
      <c r="H339" s="320">
        <v>0.99698079908338266</v>
      </c>
      <c r="J339" s="946"/>
      <c r="K339" s="946"/>
      <c r="L339" s="946"/>
      <c r="M339" s="946"/>
      <c r="N339" s="946"/>
      <c r="O339" s="946"/>
      <c r="P339" s="946"/>
    </row>
    <row r="340" spans="2:16" ht="15" hidden="1" outlineLevel="1" thickBot="1">
      <c r="B340" s="30" t="s">
        <v>4247</v>
      </c>
      <c r="C340" s="1160">
        <v>0.99775540573119736</v>
      </c>
      <c r="D340" s="321">
        <f>1-C340</f>
        <v>2.2445942688026355E-3</v>
      </c>
      <c r="E340" s="1462">
        <v>4.4891885376052675E-3</v>
      </c>
      <c r="F340" s="304">
        <v>0.99551081146239473</v>
      </c>
      <c r="G340" s="304">
        <v>0</v>
      </c>
      <c r="H340" s="321">
        <v>1</v>
      </c>
      <c r="J340" s="946"/>
      <c r="K340" s="946"/>
      <c r="L340" s="946"/>
      <c r="M340" s="946"/>
      <c r="N340" s="946"/>
      <c r="O340" s="946"/>
      <c r="P340" s="946"/>
    </row>
    <row r="341" spans="2:16" ht="14.5" hidden="1" outlineLevel="1">
      <c r="J341" s="946"/>
      <c r="K341" s="946"/>
      <c r="L341" s="946"/>
      <c r="M341" s="946"/>
      <c r="N341" s="946"/>
      <c r="O341" s="946"/>
      <c r="P341" s="946"/>
    </row>
    <row r="342" spans="2:16" ht="14.5" hidden="1" outlineLevel="1">
      <c r="J342" s="946"/>
      <c r="K342" s="946"/>
      <c r="L342" s="946"/>
      <c r="M342" s="946"/>
      <c r="N342" s="946"/>
      <c r="O342" s="946"/>
      <c r="P342" s="946"/>
    </row>
    <row r="343" spans="2:16" ht="14.5" hidden="1" outlineLevel="1">
      <c r="J343" s="946"/>
      <c r="K343" s="946"/>
      <c r="L343" s="946"/>
      <c r="M343" s="946"/>
      <c r="N343" s="946"/>
      <c r="O343" s="946"/>
      <c r="P343" s="946"/>
    </row>
    <row r="344" spans="2:16" ht="14.5" hidden="1" outlineLevel="1">
      <c r="J344" s="946"/>
      <c r="K344" s="946"/>
      <c r="L344" s="946"/>
      <c r="M344" s="946"/>
      <c r="N344" s="946"/>
      <c r="O344" s="946"/>
      <c r="P344" s="946"/>
    </row>
    <row r="345" spans="2:16" ht="14.5" hidden="1" outlineLevel="1">
      <c r="J345" s="946"/>
      <c r="K345" s="946"/>
      <c r="L345" s="946"/>
      <c r="M345" s="946"/>
      <c r="N345" s="946"/>
      <c r="O345" s="946"/>
      <c r="P345" s="946"/>
    </row>
    <row r="346" spans="2:16" ht="14.5" hidden="1" outlineLevel="1">
      <c r="E346" s="946"/>
      <c r="F346" s="946"/>
      <c r="G346" s="946"/>
      <c r="H346" s="946"/>
      <c r="I346" s="946"/>
      <c r="J346" s="946"/>
      <c r="K346" s="946"/>
      <c r="L346" s="946"/>
      <c r="M346" s="946"/>
      <c r="N346" s="946"/>
      <c r="O346" s="946"/>
      <c r="P346" s="946"/>
    </row>
    <row r="347" spans="2:16" ht="14.5" hidden="1" outlineLevel="1">
      <c r="E347" s="946"/>
      <c r="F347" s="946"/>
      <c r="G347" s="946"/>
      <c r="H347" s="946"/>
      <c r="I347" s="946"/>
      <c r="J347" s="946"/>
      <c r="K347" s="946"/>
      <c r="L347" s="946"/>
      <c r="M347" s="946"/>
      <c r="N347" s="946"/>
      <c r="O347" s="946"/>
      <c r="P347" s="946"/>
    </row>
    <row r="348" spans="2:16" hidden="1" outlineLevel="1">
      <c r="C348" s="1251"/>
      <c r="D348" s="1251"/>
    </row>
    <row r="349" spans="2:16" hidden="1" outlineLevel="1"/>
    <row r="350" spans="2:16" hidden="1" outlineLevel="1"/>
    <row r="351" spans="2:16" ht="14.5" hidden="1" outlineLevel="1" thickBot="1">
      <c r="B351" s="1251" t="s">
        <v>4248</v>
      </c>
    </row>
    <row r="352" spans="2:16" ht="43.5" hidden="1" outlineLevel="1">
      <c r="B352" s="123"/>
      <c r="C352" s="379" t="s">
        <v>4249</v>
      </c>
      <c r="D352" s="379" t="s">
        <v>4250</v>
      </c>
    </row>
    <row r="353" spans="2:8" ht="14.5" hidden="1" outlineLevel="1">
      <c r="B353" s="10" t="s">
        <v>2915</v>
      </c>
      <c r="C353" s="311">
        <v>0</v>
      </c>
      <c r="D353" s="311">
        <f>1-D354</f>
        <v>0.16121954564154128</v>
      </c>
      <c r="G353" s="1251"/>
      <c r="H353" s="1251"/>
    </row>
    <row r="354" spans="2:8" ht="15" hidden="1" outlineLevel="1" thickBot="1">
      <c r="B354" s="13" t="s">
        <v>2916</v>
      </c>
      <c r="C354" s="313">
        <v>1</v>
      </c>
      <c r="D354" s="313">
        <f>1835/(1835+352.7)</f>
        <v>0.83878045435845872</v>
      </c>
      <c r="G354" s="1251"/>
      <c r="H354" s="1251"/>
    </row>
    <row r="355" spans="2:8" hidden="1" outlineLevel="1">
      <c r="G355" s="1251"/>
      <c r="H355" s="1251"/>
    </row>
    <row r="356" spans="2:8" hidden="1" outlineLevel="1">
      <c r="B356" s="1251" t="s">
        <v>4251</v>
      </c>
      <c r="C356" s="1251"/>
      <c r="D356" s="1251"/>
      <c r="G356" s="1251"/>
      <c r="H356" s="1251"/>
    </row>
    <row r="357" spans="2:8" hidden="1" outlineLevel="1">
      <c r="B357" s="1251" t="s">
        <v>4252</v>
      </c>
      <c r="C357" s="1251"/>
      <c r="D357" s="1251"/>
      <c r="G357" s="1251"/>
      <c r="H357" s="1251"/>
    </row>
    <row r="358" spans="2:8" ht="14.5" hidden="1" outlineLevel="1" thickBot="1">
      <c r="B358" s="1251" t="s">
        <v>540</v>
      </c>
      <c r="G358" s="1251"/>
      <c r="H358" s="1251"/>
    </row>
    <row r="359" spans="2:8" ht="43.5" hidden="1" outlineLevel="1">
      <c r="B359" s="123" t="s">
        <v>525</v>
      </c>
      <c r="C359" s="158" t="s">
        <v>541</v>
      </c>
      <c r="D359" s="158" t="s">
        <v>542</v>
      </c>
      <c r="E359" s="158" t="s">
        <v>649</v>
      </c>
      <c r="F359" s="159" t="s">
        <v>543</v>
      </c>
      <c r="G359" s="1251"/>
      <c r="H359" s="1251"/>
    </row>
    <row r="360" spans="2:8" ht="15" hidden="1" outlineLevel="1" thickBot="1">
      <c r="B360" s="13" t="s">
        <v>4232</v>
      </c>
      <c r="C360" s="14">
        <f>1.5*(1-C311)*SUMPRODUCT(D328:P328,'Annexe - Logistique'!$D$12:$P$12) + C311*'Annexe - Logistique'!Q$12</f>
        <v>1100</v>
      </c>
      <c r="D360" s="14">
        <f>1.5*D338*(1-C311)*SUMPRODUCT(D328:N328,'Annexe - Logistique'!$D$13:$N$13)</f>
        <v>110.75257999103326</v>
      </c>
      <c r="E360" s="14">
        <f>1.5*C338*(1-C311)*SUMPRODUCT(D328:N328,'Annexe - Logistique'!$D$16:$N$16)</f>
        <v>1070.1746702259368</v>
      </c>
      <c r="F360" s="38">
        <f>1.5*500</f>
        <v>750</v>
      </c>
      <c r="G360" s="1251"/>
      <c r="H360" s="1251"/>
    </row>
    <row r="361" spans="2:8" hidden="1" outlineLevel="1">
      <c r="B361" s="1251"/>
      <c r="C361" s="1251"/>
      <c r="D361" s="1251"/>
      <c r="G361" s="1251"/>
      <c r="H361" s="1251"/>
    </row>
    <row r="362" spans="2:8" ht="14.5" hidden="1" outlineLevel="1" thickBot="1">
      <c r="B362" s="1251" t="s">
        <v>4253</v>
      </c>
      <c r="C362" s="1251"/>
      <c r="D362" s="1251"/>
      <c r="G362" s="1251"/>
      <c r="H362" s="1251"/>
    </row>
    <row r="363" spans="2:8" ht="14.5" hidden="1" outlineLevel="1">
      <c r="B363" s="123" t="s">
        <v>4254</v>
      </c>
      <c r="C363" s="158" t="s">
        <v>4255</v>
      </c>
      <c r="D363" s="159" t="s">
        <v>1081</v>
      </c>
      <c r="E363" s="159" t="s">
        <v>3378</v>
      </c>
      <c r="G363" s="1251"/>
      <c r="H363" s="1251"/>
    </row>
    <row r="364" spans="2:8" ht="14.5" hidden="1" outlineLevel="1">
      <c r="B364" s="27" t="s">
        <v>4081</v>
      </c>
      <c r="C364" s="180">
        <f>F216</f>
        <v>90034.282299999992</v>
      </c>
      <c r="D364" s="12">
        <f>C290</f>
        <v>346115.26844999997</v>
      </c>
      <c r="E364" s="947">
        <f>D364+C364</f>
        <v>436149.55074999994</v>
      </c>
      <c r="G364" s="1251"/>
      <c r="H364" s="1251"/>
    </row>
    <row r="365" spans="2:8" ht="15" hidden="1" outlineLevel="1" thickBot="1">
      <c r="B365" s="471" t="s">
        <v>4082</v>
      </c>
      <c r="C365" s="18">
        <f>F217</f>
        <v>73725.179999999993</v>
      </c>
      <c r="D365" s="15">
        <f>C291</f>
        <v>267875.84880000004</v>
      </c>
      <c r="E365" s="948">
        <f>D365+C365</f>
        <v>341601.02880000003</v>
      </c>
      <c r="G365" s="1251"/>
      <c r="H365" s="1251"/>
    </row>
    <row r="366" spans="2:8" hidden="1" outlineLevel="1">
      <c r="B366" s="1251"/>
      <c r="C366" s="1251"/>
      <c r="D366" s="1251"/>
      <c r="G366" s="1251"/>
      <c r="H366" s="1251"/>
    </row>
    <row r="367" spans="2:8" ht="14.5" hidden="1" outlineLevel="1" thickBot="1">
      <c r="B367" s="1251" t="s">
        <v>546</v>
      </c>
      <c r="D367" s="1251"/>
      <c r="G367" s="1251"/>
      <c r="H367" s="1251"/>
    </row>
    <row r="368" spans="2:8" ht="14.5" hidden="1" customHeight="1" outlineLevel="1">
      <c r="B368" s="218"/>
      <c r="C368" s="1610" t="s">
        <v>4256</v>
      </c>
      <c r="D368" s="1542"/>
      <c r="E368" s="1542"/>
      <c r="F368" s="1542"/>
      <c r="G368" s="1542"/>
      <c r="H368" s="438" t="s">
        <v>4257</v>
      </c>
    </row>
    <row r="369" spans="2:8" ht="29" hidden="1" outlineLevel="1">
      <c r="B369" s="453"/>
      <c r="C369" s="442" t="s">
        <v>550</v>
      </c>
      <c r="D369" s="167" t="s">
        <v>551</v>
      </c>
      <c r="E369" s="167" t="s">
        <v>653</v>
      </c>
      <c r="F369" s="303" t="s">
        <v>552</v>
      </c>
      <c r="G369" s="303" t="s">
        <v>4258</v>
      </c>
      <c r="H369" s="439"/>
    </row>
    <row r="370" spans="2:8" ht="14.5" hidden="1" outlineLevel="1">
      <c r="B370" s="950" t="s">
        <v>4081</v>
      </c>
      <c r="C370" s="11">
        <f>'Annexe - Logistique'!D$29*C$360*E364/10^3</f>
        <v>97392.19468247499</v>
      </c>
      <c r="D370" s="11">
        <f>'Annexe - Logistique'!D$28*D$360*E364/10^3</f>
        <v>2188.2023667394142</v>
      </c>
      <c r="E370" s="11">
        <f>'Annexe - Logistique'!D$26*E$360*E364/10^3</f>
        <v>560107.44197168597</v>
      </c>
      <c r="F370" s="12">
        <f>'Annexe - Logistique'!D$30*F$360*E364/10^3</f>
        <v>50702.385274687491</v>
      </c>
      <c r="G370" s="12">
        <f>E364*'Annexe - Logistique'!C$54</f>
        <v>18949.825680985996</v>
      </c>
      <c r="H370" s="440">
        <f>SUM(C370:G370)</f>
        <v>729340.04997657402</v>
      </c>
    </row>
    <row r="371" spans="2:8" ht="15" hidden="1" outlineLevel="1" thickBot="1">
      <c r="B371" s="951" t="s">
        <v>4082</v>
      </c>
      <c r="C371" s="14">
        <f>'Annexe - Logistique'!D$29*C$360*E365/10^3</f>
        <v>76279.509731040016</v>
      </c>
      <c r="D371" s="14">
        <f>'Annexe - Logistique'!D$28*D$360*E365/10^3</f>
        <v>1713.8437456037641</v>
      </c>
      <c r="E371" s="14">
        <f>'Annexe - Logistique'!D$26*E$360*E365/10^3</f>
        <v>438687.3220138569</v>
      </c>
      <c r="F371" s="15">
        <f>'Annexe - Logistique'!D$30*F$360*E365/10^3</f>
        <v>39711.119598000005</v>
      </c>
      <c r="G371" s="15">
        <f>E365*'Annexe - Logistique'!C$54</f>
        <v>14841.881499302399</v>
      </c>
      <c r="H371" s="949">
        <f>SUM(C371:G371)</f>
        <v>571233.67658780306</v>
      </c>
    </row>
    <row r="372" spans="2:8" ht="14.5" hidden="1" outlineLevel="1" thickBot="1">
      <c r="C372" s="373"/>
      <c r="D372" s="373"/>
      <c r="G372" s="437" t="s">
        <v>4257</v>
      </c>
      <c r="H372" s="441">
        <f>SUM(H370:H371)</f>
        <v>1300573.7265643771</v>
      </c>
    </row>
    <row r="373" spans="2:8" ht="14.5" hidden="1" outlineLevel="1" thickBot="1">
      <c r="B373" s="1251"/>
      <c r="G373" s="437" t="s">
        <v>2922</v>
      </c>
      <c r="H373" s="441">
        <f>H372/10^6</f>
        <v>1.3005737265643771</v>
      </c>
    </row>
    <row r="374" spans="2:8" hidden="1" outlineLevel="1">
      <c r="B374" s="1251"/>
    </row>
    <row r="375" spans="2:8" ht="18" collapsed="1">
      <c r="B375" s="258"/>
    </row>
    <row r="376" spans="2:8" ht="18">
      <c r="B376" s="258" t="s">
        <v>4259</v>
      </c>
    </row>
    <row r="378" spans="2:8" ht="14.5" hidden="1" outlineLevel="1" thickBot="1">
      <c r="B378" t="s">
        <v>1076</v>
      </c>
    </row>
    <row r="379" spans="2:8" ht="14.5" hidden="1" outlineLevel="1">
      <c r="B379" s="1053" t="s">
        <v>4260</v>
      </c>
      <c r="C379" s="1054">
        <v>0.1</v>
      </c>
    </row>
    <row r="380" spans="2:8" ht="15" hidden="1" outlineLevel="1" thickBot="1">
      <c r="B380" s="471" t="s">
        <v>4261</v>
      </c>
      <c r="C380" s="1055">
        <v>0.02</v>
      </c>
    </row>
    <row r="381" spans="2:8" ht="15" hidden="1" outlineLevel="1" thickBot="1">
      <c r="B381" s="471" t="s">
        <v>4262</v>
      </c>
      <c r="C381" s="1056">
        <f>(1+C379)*(1+C380)</f>
        <v>1.1220000000000001</v>
      </c>
    </row>
    <row r="382" spans="2:8" hidden="1" outlineLevel="1"/>
    <row r="383" spans="2:8" collapsed="1"/>
    <row r="401" outlineLevel="2"/>
  </sheetData>
  <mergeCells count="6">
    <mergeCell ref="A1:XFD2"/>
    <mergeCell ref="G335:H335"/>
    <mergeCell ref="C368:G368"/>
    <mergeCell ref="B75:D76"/>
    <mergeCell ref="E335:F335"/>
    <mergeCell ref="C335:D335"/>
  </mergeCells>
  <conditionalFormatting sqref="A1:XFD2">
    <cfRule type="containsBlanks" dxfId="7" priority="1">
      <formula>LEN(TRIM(A1))=0</formula>
    </cfRule>
  </conditionalFormatting>
  <conditionalFormatting sqref="E302:P302">
    <cfRule type="colorScale" priority="87">
      <colorScale>
        <cfvo type="min"/>
        <cfvo type="percentile" val="50"/>
        <cfvo type="max"/>
        <color rgb="FFFCFCFF"/>
        <color rgb="FFDDF0C8"/>
        <color rgb="FF63BE7B"/>
      </colorScale>
    </cfRule>
  </conditionalFormatting>
  <conditionalFormatting sqref="E328:P333 E346:P347 J334:P345">
    <cfRule type="colorScale" priority="2">
      <colorScale>
        <cfvo type="min"/>
        <cfvo type="percentile" val="50"/>
        <cfvo type="max"/>
        <color rgb="FFFCFCFF"/>
        <color rgb="FFDDF0C8"/>
        <color rgb="FF63BE7B"/>
      </colorScale>
    </cfRule>
  </conditionalFormatting>
  <hyperlinks>
    <hyperlink ref="E188" r:id="rId1" display="https://dumas.ccsd.cnrs.fr/dumas-03475076v1/document" xr:uid="{CF8C561B-A0CF-4C3B-B0D3-7C878945875F}"/>
    <hyperlink ref="G200" r:id="rId2" display="https://www.sciencedirect.com/science/article/pii/S1877056822001165?ref=pdf_download&amp;fr=RR-2&amp;rr=8e1f16301c13049e" xr:uid="{B0C3DAB7-01DF-4C52-BEF0-01FF055B191C}"/>
    <hyperlink ref="G201" r:id="rId3" display="../../../Downloads/QUENARDEL.pdf" xr:uid="{2587DF8A-63E3-49AE-8D1A-6A29FD1BD03A}"/>
    <hyperlink ref="E240" r:id="rId4" display="https://dumas.ccsd.cnrs.fr/dumas-03475076v1/document" xr:uid="{CA7B6811-3F51-43BC-B98F-4891F7BA5701}"/>
  </hyperlinks>
  <pageMargins left="0.7" right="0.7" top="0.75" bottom="0.75" header="0.3" footer="0.3"/>
  <pageSetup paperSize="9" orientation="portrait" r:id="rId5"/>
  <drawing r:id="rId6"/>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CE2D69-7E72-468E-97AF-472A26534356}">
  <sheetPr>
    <tabColor theme="8"/>
  </sheetPr>
  <dimension ref="A1:I143"/>
  <sheetViews>
    <sheetView zoomScale="60" zoomScaleNormal="60" workbookViewId="0">
      <selection sqref="A1:XFD2"/>
    </sheetView>
  </sheetViews>
  <sheetFormatPr baseColWidth="10" defaultColWidth="11" defaultRowHeight="14" outlineLevelRow="1"/>
  <cols>
    <col min="2" max="2" width="46.83203125" customWidth="1"/>
    <col min="3" max="3" width="23.33203125" customWidth="1"/>
    <col min="5" max="5" width="15.6640625" customWidth="1"/>
    <col min="12" max="12" width="32.1640625" customWidth="1"/>
  </cols>
  <sheetData>
    <row r="1" spans="1:3" s="1505" customFormat="1">
      <c r="A1" s="1505" t="s">
        <v>247</v>
      </c>
    </row>
    <row r="2" spans="1:3" s="1505" customFormat="1"/>
    <row r="5" spans="1:3">
      <c r="B5" s="1251" t="s">
        <v>4263</v>
      </c>
    </row>
    <row r="6" spans="1:3">
      <c r="B6" s="1317" t="s">
        <v>2196</v>
      </c>
    </row>
    <row r="7" spans="1:3">
      <c r="B7" s="1317" t="s">
        <v>4264</v>
      </c>
    </row>
    <row r="8" spans="1:3">
      <c r="B8" s="1317" t="s">
        <v>2197</v>
      </c>
    </row>
    <row r="10" spans="1:3" ht="23.5">
      <c r="B10" s="2" t="s">
        <v>180</v>
      </c>
    </row>
    <row r="12" spans="1:3" hidden="1" outlineLevel="1">
      <c r="B12" s="1251" t="s">
        <v>4265</v>
      </c>
    </row>
    <row r="13" spans="1:3" ht="14.5" hidden="1" outlineLevel="1" thickBot="1"/>
    <row r="14" spans="1:3" ht="15" hidden="1" outlineLevel="1" thickBot="1">
      <c r="B14" s="960" t="s">
        <v>4266</v>
      </c>
      <c r="C14" s="390">
        <f>C46</f>
        <v>806</v>
      </c>
    </row>
    <row r="15" spans="1:3" hidden="1" outlineLevel="1"/>
    <row r="16" spans="1:3" ht="14.5" hidden="1" outlineLevel="1" thickBot="1">
      <c r="B16" s="1251" t="s">
        <v>4267</v>
      </c>
    </row>
    <row r="17" spans="2:4" ht="14.5" hidden="1" outlineLevel="1">
      <c r="B17" s="123"/>
      <c r="C17" s="462" t="s">
        <v>4268</v>
      </c>
      <c r="D17" s="463" t="s">
        <v>4269</v>
      </c>
    </row>
    <row r="18" spans="2:4" ht="14.5" hidden="1" outlineLevel="1">
      <c r="B18" s="110" t="s">
        <v>4270</v>
      </c>
      <c r="C18" s="11">
        <v>655</v>
      </c>
      <c r="D18" s="1277">
        <f>2600*38%</f>
        <v>988</v>
      </c>
    </row>
    <row r="19" spans="2:4" ht="14.5" hidden="1" outlineLevel="1">
      <c r="B19" s="110" t="s">
        <v>3258</v>
      </c>
      <c r="C19" s="11">
        <v>540</v>
      </c>
      <c r="D19" s="1277">
        <f>2600*51%</f>
        <v>1326</v>
      </c>
    </row>
    <row r="20" spans="2:4" ht="14.5" hidden="1" outlineLevel="1">
      <c r="B20" s="110" t="s">
        <v>4271</v>
      </c>
      <c r="C20" s="11">
        <v>66</v>
      </c>
      <c r="D20" s="1277">
        <f>2600*3%</f>
        <v>78</v>
      </c>
    </row>
    <row r="21" spans="2:4" ht="14.5" hidden="1" outlineLevel="1">
      <c r="B21" s="110" t="s">
        <v>4272</v>
      </c>
      <c r="C21" s="11">
        <v>200</v>
      </c>
      <c r="D21" s="1277">
        <f>C21</f>
        <v>200</v>
      </c>
    </row>
    <row r="22" spans="2:4" ht="14.5" hidden="1" outlineLevel="1">
      <c r="B22" s="110" t="s">
        <v>4273</v>
      </c>
      <c r="C22" s="11">
        <v>184</v>
      </c>
      <c r="D22" s="1277">
        <f>2600*5%</f>
        <v>130</v>
      </c>
    </row>
    <row r="23" spans="2:4" ht="15" hidden="1" outlineLevel="1" thickBot="1">
      <c r="B23" s="111" t="s">
        <v>49</v>
      </c>
      <c r="C23" s="722">
        <v>23</v>
      </c>
      <c r="D23" s="1334">
        <f>2600*3%</f>
        <v>78</v>
      </c>
    </row>
    <row r="24" spans="2:4" hidden="1" outlineLevel="1">
      <c r="B24" s="1251"/>
    </row>
    <row r="25" spans="2:4" hidden="1" outlineLevel="1">
      <c r="B25" s="1251"/>
    </row>
    <row r="26" spans="2:4" hidden="1" outlineLevel="1">
      <c r="B26" s="1251" t="s">
        <v>4274</v>
      </c>
    </row>
    <row r="27" spans="2:4" hidden="1" outlineLevel="1">
      <c r="B27" s="1251" t="s">
        <v>4275</v>
      </c>
    </row>
    <row r="28" spans="2:4" hidden="1" outlineLevel="1">
      <c r="B28" s="1251"/>
    </row>
    <row r="29" spans="2:4" collapsed="1"/>
    <row r="30" spans="2:4" ht="23.5">
      <c r="B30" s="2" t="s">
        <v>4276</v>
      </c>
    </row>
    <row r="32" spans="2:4" hidden="1" outlineLevel="1">
      <c r="B32" s="1251" t="s">
        <v>4277</v>
      </c>
    </row>
    <row r="33" spans="2:4" hidden="1" outlineLevel="1"/>
    <row r="34" spans="2:4" ht="14.5" hidden="1" outlineLevel="1" thickBot="1">
      <c r="B34" s="1251" t="s">
        <v>4278</v>
      </c>
    </row>
    <row r="35" spans="2:4" ht="15" hidden="1" outlineLevel="1" thickBot="1">
      <c r="B35" s="20" t="s">
        <v>4279</v>
      </c>
      <c r="C35" s="1161">
        <v>310</v>
      </c>
      <c r="D35" s="958" t="s">
        <v>4280</v>
      </c>
    </row>
    <row r="36" spans="2:4" ht="14.5" hidden="1" outlineLevel="1">
      <c r="B36" s="1006"/>
      <c r="C36" s="3"/>
      <c r="D36" s="3"/>
    </row>
    <row r="37" spans="2:4" hidden="1" outlineLevel="1">
      <c r="B37" t="s">
        <v>4281</v>
      </c>
    </row>
    <row r="38" spans="2:4" hidden="1" outlineLevel="1">
      <c r="B38" t="s">
        <v>4282</v>
      </c>
    </row>
    <row r="39" spans="2:4" hidden="1" outlineLevel="1">
      <c r="B39" s="87" t="s">
        <v>4283</v>
      </c>
    </row>
    <row r="40" spans="2:4" hidden="1" outlineLevel="1">
      <c r="B40" t="s">
        <v>4284</v>
      </c>
    </row>
    <row r="41" spans="2:4" hidden="1" outlineLevel="1">
      <c r="B41" s="87" t="s">
        <v>4285</v>
      </c>
    </row>
    <row r="42" spans="2:4" hidden="1" outlineLevel="1">
      <c r="B42" t="s">
        <v>4286</v>
      </c>
    </row>
    <row r="43" spans="2:4" hidden="1" outlineLevel="1">
      <c r="B43" s="87" t="s">
        <v>4287</v>
      </c>
    </row>
    <row r="44" spans="2:4" hidden="1" outlineLevel="1"/>
    <row r="45" spans="2:4" ht="14.5" hidden="1" outlineLevel="1" thickBot="1">
      <c r="B45" t="s">
        <v>4288</v>
      </c>
    </row>
    <row r="46" spans="2:4" ht="15" hidden="1" outlineLevel="1" thickBot="1">
      <c r="B46" s="20" t="s">
        <v>4289</v>
      </c>
      <c r="C46" s="959">
        <f>C35*2.6</f>
        <v>806</v>
      </c>
      <c r="D46" s="958" t="s">
        <v>661</v>
      </c>
    </row>
    <row r="47" spans="2:4" hidden="1" outlineLevel="1"/>
    <row r="48" spans="2:4" collapsed="1"/>
    <row r="49" spans="2:8" ht="23.5">
      <c r="B49" s="2" t="s">
        <v>4290</v>
      </c>
    </row>
    <row r="51" spans="2:8" hidden="1" outlineLevel="1">
      <c r="B51" s="1251" t="s">
        <v>4291</v>
      </c>
    </row>
    <row r="52" spans="2:8" hidden="1" outlineLevel="1">
      <c r="B52" t="s">
        <v>4292</v>
      </c>
    </row>
    <row r="53" spans="2:8" hidden="1" outlineLevel="1"/>
    <row r="54" spans="2:8" hidden="1" outlineLevel="1">
      <c r="B54" s="1251" t="s">
        <v>4293</v>
      </c>
    </row>
    <row r="55" spans="2:8" ht="14.5" hidden="1" outlineLevel="1" thickBot="1"/>
    <row r="56" spans="2:8" ht="14.5" hidden="1" outlineLevel="1">
      <c r="B56" s="123" t="s">
        <v>4294</v>
      </c>
      <c r="C56" s="462" t="s">
        <v>4295</v>
      </c>
      <c r="D56" s="462" t="s">
        <v>4296</v>
      </c>
      <c r="E56" s="462" t="s">
        <v>4297</v>
      </c>
      <c r="F56" s="463" t="s">
        <v>4298</v>
      </c>
      <c r="H56" s="1251" t="s">
        <v>4299</v>
      </c>
    </row>
    <row r="57" spans="2:8" ht="14.5" hidden="1" outlineLevel="1">
      <c r="B57" s="110" t="s">
        <v>4300</v>
      </c>
      <c r="C57" s="229">
        <f>28%*(13685/33000)</f>
        <v>0.11611515151515152</v>
      </c>
      <c r="D57" s="229">
        <f>C57*H57/(1+(H$57-1)*C$57)</f>
        <v>0.48933257233296801</v>
      </c>
      <c r="E57" s="11">
        <v>13.685</v>
      </c>
      <c r="F57" s="12">
        <f>E57*H57</f>
        <v>99.820000000000007</v>
      </c>
      <c r="H57" s="166">
        <f>31000/4250</f>
        <v>7.2941176470588234</v>
      </c>
    </row>
    <row r="58" spans="2:8" ht="14.5" hidden="1" outlineLevel="1">
      <c r="B58" s="110" t="s">
        <v>4301</v>
      </c>
      <c r="C58" s="229">
        <f>28%-C57</f>
        <v>0.16388484848484852</v>
      </c>
      <c r="D58" s="536">
        <f t="shared" ref="D58:D65" si="0">C58/(1+(H$57-1)*C$57)</f>
        <v>9.4685019380998589E-2</v>
      </c>
      <c r="E58" s="11">
        <f>33-E57</f>
        <v>19.314999999999998</v>
      </c>
      <c r="F58" s="12">
        <f>E58</f>
        <v>19.314999999999998</v>
      </c>
    </row>
    <row r="59" spans="2:8" ht="14.5" hidden="1" outlineLevel="1">
      <c r="B59" s="110" t="s">
        <v>4302</v>
      </c>
      <c r="C59" s="229">
        <v>7.0000000000000007E-2</v>
      </c>
      <c r="D59" s="536">
        <f t="shared" si="0"/>
        <v>4.0442734138919918E-2</v>
      </c>
      <c r="E59" s="11">
        <v>8</v>
      </c>
      <c r="F59" s="12">
        <f t="shared" ref="F59:F65" si="1">E59</f>
        <v>8</v>
      </c>
    </row>
    <row r="60" spans="2:8" ht="14.5" hidden="1" outlineLevel="1">
      <c r="B60" s="110" t="s">
        <v>4303</v>
      </c>
      <c r="C60" s="536">
        <v>0.04</v>
      </c>
      <c r="D60" s="536">
        <f t="shared" si="0"/>
        <v>2.3110133793668525E-2</v>
      </c>
      <c r="E60" s="11">
        <v>5</v>
      </c>
      <c r="F60" s="12">
        <f t="shared" si="1"/>
        <v>5</v>
      </c>
    </row>
    <row r="61" spans="2:8" ht="14.5" hidden="1" outlineLevel="1">
      <c r="B61" s="110" t="s">
        <v>4304</v>
      </c>
      <c r="C61" s="536">
        <f>51%-SUM(C57:C60)</f>
        <v>0.12</v>
      </c>
      <c r="D61" s="536">
        <f t="shared" si="0"/>
        <v>6.933040138100556E-2</v>
      </c>
      <c r="E61" s="11">
        <f>C61*SUM($E$57:$E$60)/SUM($C$57:$C$60)</f>
        <v>14.153846153846152</v>
      </c>
      <c r="F61" s="12">
        <f t="shared" si="1"/>
        <v>14.153846153846152</v>
      </c>
    </row>
    <row r="62" spans="2:8" ht="14.5" hidden="1" outlineLevel="1">
      <c r="B62" s="110" t="s">
        <v>3448</v>
      </c>
      <c r="C62" s="536">
        <v>0.2</v>
      </c>
      <c r="D62" s="536">
        <f t="shared" si="0"/>
        <v>0.11555066896834262</v>
      </c>
      <c r="E62" s="11">
        <f>C62*SUM($E$57:$E$60)/SUM($C$57:$C$60)</f>
        <v>23.589743589743591</v>
      </c>
      <c r="F62" s="12">
        <f t="shared" si="1"/>
        <v>23.589743589743591</v>
      </c>
    </row>
    <row r="63" spans="2:8" ht="14.5" hidden="1" outlineLevel="1">
      <c r="B63" s="110" t="s">
        <v>88</v>
      </c>
      <c r="C63" s="536">
        <v>0.12</v>
      </c>
      <c r="D63" s="536">
        <f t="shared" si="0"/>
        <v>6.933040138100556E-2</v>
      </c>
      <c r="E63" s="11">
        <f>C63*SUM($E$57:$E$60)/SUM($C$57:$C$60)</f>
        <v>14.153846153846152</v>
      </c>
      <c r="F63" s="12">
        <f t="shared" si="1"/>
        <v>14.153846153846152</v>
      </c>
    </row>
    <row r="64" spans="2:8" ht="14.5" hidden="1" outlineLevel="1">
      <c r="B64" s="110" t="s">
        <v>4305</v>
      </c>
      <c r="C64" s="536">
        <v>0.09</v>
      </c>
      <c r="D64" s="536">
        <f t="shared" si="0"/>
        <v>5.1997801035754174E-2</v>
      </c>
      <c r="E64" s="11">
        <f>C64*SUM($E$57:$E$60)/SUM($C$57:$C$60)</f>
        <v>10.615384615384615</v>
      </c>
      <c r="F64" s="12">
        <f t="shared" si="1"/>
        <v>10.615384615384615</v>
      </c>
    </row>
    <row r="65" spans="2:9" ht="15" hidden="1" outlineLevel="1" thickBot="1">
      <c r="B65" s="111" t="s">
        <v>2728</v>
      </c>
      <c r="C65" s="304">
        <v>0.08</v>
      </c>
      <c r="D65" s="304">
        <f t="shared" si="0"/>
        <v>4.6220267587337049E-2</v>
      </c>
      <c r="E65" s="355">
        <f>C65*SUM($E$57:$E$60)/SUM($C$57:$C$60)</f>
        <v>9.4358974358974361</v>
      </c>
      <c r="F65" s="1052">
        <f t="shared" si="1"/>
        <v>9.4358974358974361</v>
      </c>
      <c r="I65" s="1251"/>
    </row>
    <row r="66" spans="2:9" ht="15" hidden="1" outlineLevel="1" thickBot="1">
      <c r="D66" s="1162" t="s">
        <v>83</v>
      </c>
      <c r="E66" s="1163">
        <f>SUM(E57:E65)</f>
        <v>117.94871794871794</v>
      </c>
      <c r="F66" s="791">
        <f>SUM(F57:F65)</f>
        <v>204.08371794871795</v>
      </c>
      <c r="G66" s="1251"/>
    </row>
    <row r="67" spans="2:9" hidden="1" outlineLevel="1"/>
    <row r="68" spans="2:9" hidden="1" outlineLevel="1"/>
    <row r="69" spans="2:9" hidden="1" outlineLevel="1"/>
    <row r="70" spans="2:9" hidden="1" outlineLevel="1"/>
    <row r="71" spans="2:9" hidden="1" outlineLevel="1"/>
    <row r="72" spans="2:9" hidden="1" outlineLevel="1"/>
    <row r="73" spans="2:9" hidden="1" outlineLevel="1"/>
    <row r="74" spans="2:9" hidden="1" outlineLevel="1"/>
    <row r="75" spans="2:9" hidden="1" outlineLevel="1"/>
    <row r="76" spans="2:9" hidden="1" outlineLevel="1"/>
    <row r="77" spans="2:9" hidden="1" outlineLevel="1"/>
    <row r="78" spans="2:9" hidden="1" outlineLevel="1"/>
    <row r="79" spans="2:9" hidden="1" outlineLevel="1"/>
    <row r="80" spans="2:9" hidden="1" outlineLevel="1"/>
    <row r="81" spans="2:4" hidden="1" outlineLevel="1"/>
    <row r="82" spans="2:4" hidden="1" outlineLevel="1"/>
    <row r="83" spans="2:4" hidden="1" outlineLevel="1"/>
    <row r="84" spans="2:4" hidden="1" outlineLevel="1">
      <c r="B84" s="1251" t="s">
        <v>4306</v>
      </c>
    </row>
    <row r="85" spans="2:4" hidden="1" outlineLevel="1">
      <c r="B85" s="87" t="s">
        <v>4307</v>
      </c>
    </row>
    <row r="86" spans="2:4" ht="14.5" hidden="1" outlineLevel="1" thickBot="1">
      <c r="B86" s="1251" t="s">
        <v>2436</v>
      </c>
    </row>
    <row r="87" spans="2:4" ht="29.5" hidden="1" outlineLevel="1" thickBot="1">
      <c r="B87" s="20" t="s">
        <v>4308</v>
      </c>
      <c r="C87" s="458">
        <f>SUM(F57:F61)*400/1000</f>
        <v>58.515538461538462</v>
      </c>
      <c r="D87" s="1305" t="s">
        <v>661</v>
      </c>
    </row>
    <row r="88" spans="2:4" hidden="1" outlineLevel="1"/>
    <row r="89" spans="2:4" collapsed="1"/>
    <row r="90" spans="2:4" ht="23.5">
      <c r="B90" s="2" t="s">
        <v>4309</v>
      </c>
    </row>
    <row r="92" spans="2:4" ht="14.5" hidden="1" outlineLevel="1" thickBot="1">
      <c r="B92" s="1251" t="s">
        <v>4310</v>
      </c>
      <c r="C92" s="24"/>
    </row>
    <row r="93" spans="2:4" ht="29" hidden="1" outlineLevel="1">
      <c r="B93" s="4"/>
      <c r="C93" s="139" t="s">
        <v>4311</v>
      </c>
    </row>
    <row r="94" spans="2:4" ht="14.5" hidden="1" outlineLevel="1">
      <c r="B94" s="10" t="s">
        <v>4312</v>
      </c>
      <c r="C94" s="12">
        <v>658695000</v>
      </c>
    </row>
    <row r="95" spans="2:4" ht="15" hidden="1" outlineLevel="1" thickBot="1">
      <c r="B95" s="13" t="s">
        <v>4313</v>
      </c>
      <c r="C95" s="15">
        <v>98511793.114192247</v>
      </c>
    </row>
    <row r="96" spans="2:4" ht="15" hidden="1" outlineLevel="1" thickBot="1">
      <c r="B96" s="13" t="s">
        <v>83</v>
      </c>
      <c r="C96" s="669">
        <f>C95+C94</f>
        <v>757206793.11419225</v>
      </c>
    </row>
    <row r="97" spans="2:3" hidden="1" outlineLevel="1"/>
    <row r="98" spans="2:3" hidden="1" outlineLevel="1">
      <c r="B98" s="1251" t="s">
        <v>4314</v>
      </c>
    </row>
    <row r="99" spans="2:3" collapsed="1"/>
    <row r="100" spans="2:3" ht="23.5">
      <c r="B100" s="2" t="s">
        <v>4315</v>
      </c>
    </row>
    <row r="102" spans="2:3" hidden="1" outlineLevel="1">
      <c r="B102" s="87" t="s">
        <v>4316</v>
      </c>
    </row>
    <row r="103" spans="2:3" ht="14.5" hidden="1" outlineLevel="1" thickBot="1">
      <c r="B103" t="s">
        <v>4317</v>
      </c>
    </row>
    <row r="104" spans="2:3" ht="14.5" hidden="1" outlineLevel="1">
      <c r="B104" s="4"/>
      <c r="C104" s="510" t="s">
        <v>4318</v>
      </c>
    </row>
    <row r="105" spans="2:3" ht="29.5" hidden="1" outlineLevel="1" thickBot="1">
      <c r="B105" s="13" t="s">
        <v>4319</v>
      </c>
      <c r="C105" s="387">
        <v>980000000</v>
      </c>
    </row>
    <row r="106" spans="2:3" hidden="1" outlineLevel="1"/>
    <row r="107" spans="2:3" hidden="1" outlineLevel="1">
      <c r="B107" s="1251" t="s">
        <v>4314</v>
      </c>
    </row>
    <row r="108" spans="2:3" collapsed="1"/>
    <row r="109" spans="2:3" ht="23.5">
      <c r="B109" s="2" t="s">
        <v>4320</v>
      </c>
    </row>
    <row r="111" spans="2:3" hidden="1" outlineLevel="1">
      <c r="B111" s="3" t="s">
        <v>4321</v>
      </c>
    </row>
    <row r="112" spans="2:3" hidden="1" outlineLevel="1">
      <c r="B112" s="3"/>
    </row>
    <row r="113" spans="2:4" hidden="1" outlineLevel="1">
      <c r="B113" s="1251" t="s">
        <v>4322</v>
      </c>
    </row>
    <row r="114" spans="2:4" ht="14.5" hidden="1" outlineLevel="1" thickBot="1"/>
    <row r="115" spans="2:4" ht="14.5" hidden="1" outlineLevel="1">
      <c r="B115" s="123"/>
      <c r="C115" s="124" t="s">
        <v>4323</v>
      </c>
    </row>
    <row r="116" spans="2:4" ht="14.5" hidden="1" outlineLevel="1">
      <c r="B116" s="110" t="s">
        <v>186</v>
      </c>
      <c r="C116" s="320">
        <v>0.03</v>
      </c>
    </row>
    <row r="117" spans="2:4" ht="14.5" hidden="1" outlineLevel="1">
      <c r="B117" s="110" t="s">
        <v>426</v>
      </c>
      <c r="C117" s="320">
        <v>0.2</v>
      </c>
    </row>
    <row r="118" spans="2:4" ht="15" hidden="1" outlineLevel="1" thickBot="1">
      <c r="B118" s="111" t="s">
        <v>160</v>
      </c>
      <c r="C118" s="321">
        <v>0.77</v>
      </c>
    </row>
    <row r="119" spans="2:4" hidden="1" outlineLevel="1"/>
    <row r="120" spans="2:4" hidden="1" outlineLevel="1"/>
    <row r="121" spans="2:4" hidden="1" outlineLevel="1"/>
    <row r="122" spans="2:4" hidden="1" outlineLevel="1">
      <c r="B122" s="3" t="s">
        <v>4324</v>
      </c>
    </row>
    <row r="123" spans="2:4" hidden="1" outlineLevel="1"/>
    <row r="124" spans="2:4" ht="14.5" hidden="1" outlineLevel="1" thickBot="1">
      <c r="B124" s="1251" t="s">
        <v>4325</v>
      </c>
    </row>
    <row r="125" spans="2:4" ht="14.5" hidden="1" outlineLevel="1">
      <c r="B125" s="123"/>
      <c r="C125" s="105" t="s">
        <v>4326</v>
      </c>
      <c r="D125" s="124" t="s">
        <v>4327</v>
      </c>
    </row>
    <row r="126" spans="2:4" ht="14.5" hidden="1" outlineLevel="1">
      <c r="B126" s="110" t="s">
        <v>4328</v>
      </c>
      <c r="C126" s="536">
        <v>1</v>
      </c>
      <c r="D126" s="320">
        <v>0</v>
      </c>
    </row>
    <row r="127" spans="2:4" ht="15" hidden="1" outlineLevel="1" thickBot="1">
      <c r="B127" s="111" t="s">
        <v>248</v>
      </c>
      <c r="C127" s="304">
        <v>0.49</v>
      </c>
      <c r="D127" s="321">
        <v>0.51</v>
      </c>
    </row>
    <row r="128" spans="2:4" hidden="1" outlineLevel="1"/>
    <row r="129" hidden="1" outlineLevel="1"/>
    <row r="130" hidden="1" outlineLevel="1"/>
    <row r="131" hidden="1" outlineLevel="1"/>
    <row r="132" hidden="1" outlineLevel="1"/>
    <row r="133" hidden="1" outlineLevel="1"/>
    <row r="134" hidden="1" outlineLevel="1"/>
    <row r="135" hidden="1" outlineLevel="1"/>
    <row r="136" hidden="1" outlineLevel="1"/>
    <row r="137" hidden="1" outlineLevel="1"/>
    <row r="138" hidden="1" outlineLevel="1"/>
    <row r="139" hidden="1" outlineLevel="1"/>
    <row r="140" hidden="1" outlineLevel="1"/>
    <row r="141" hidden="1" outlineLevel="1"/>
    <row r="142" hidden="1" outlineLevel="1"/>
    <row r="143" collapsed="1"/>
  </sheetData>
  <mergeCells count="1">
    <mergeCell ref="A1:XFD2"/>
  </mergeCells>
  <conditionalFormatting sqref="A1:XFD2">
    <cfRule type="containsBlanks" dxfId="6" priority="1">
      <formula>LEN(TRIM(A1))=0</formula>
    </cfRule>
  </conditionalFormatting>
  <hyperlinks>
    <hyperlink ref="B85" r:id="rId1" location=":~:text=Comment%20se%20pratique%2Dt%2Delle,publics%20ou%20des%20cabinets%20priv%C3%A9s." display="https://www.chu-rouen.fr/services/anatomie-et-cytologie-pathologiques/ - :~:text=Comment%20se%20pratique%2Dt%2Delle,publics%20ou%20des%20cabinets%20priv%C3%A9s." xr:uid="{EEF6DEEC-7EA3-479A-AB8F-237B5A6CCF98}"/>
    <hyperlink ref="B39" r:id="rId2" location=":~:text=Le%20march%C3%A9%20fran%C3%A7ais%20du%20diagnostic,d%27instruments%20pour%20les%20laboratoires." display="https://www.xerfi.com/presentationetude/Le-marche-du-diagnostic-in-vitro_CHE13 - :~:text=Le%20march%C3%A9%20fran%C3%A7ais%20du%20diagnostic,d%27instruments%20pour%20les%20laboratoires." xr:uid="{408895AD-82F0-444F-BE6E-F0BF2D4D1CC5}"/>
    <hyperlink ref="B41" r:id="rId3" display="https://www.businesscoot.com/fr/etude/le-marche-du-diagnostic-in-vitro-france" xr:uid="{8A3F0B94-3DBD-4860-AD39-00ABD42BFE47}"/>
    <hyperlink ref="B43" r:id="rId4" display="https://www.biologiste365.fr/actualites/profession/lindustrie-du-diagnostic-in-vitro-en-france/" xr:uid="{BE7092A6-8733-40FE-BE39-74383179B80E}"/>
    <hyperlink ref="B102" r:id="rId5" display="https://www.igf.finances.gouv.fr/files/live/sites/igf/files/contributed/Rapports de mission/2024/2023-M-106-03 Rapport RDD-Dispositifs m%C3%A9dicaux.pdf" xr:uid="{C14B99F5-5BA4-41FB-9D6B-E34B208F4235}"/>
  </hyperlinks>
  <pageMargins left="0.7" right="0.7" top="0.75" bottom="0.75" header="0.3" footer="0.3"/>
  <pageSetup paperSize="9" orientation="portrait" r:id="rId6"/>
  <drawing r:id="rId7"/>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06C4B7-1A5B-400F-8A40-A33B9598C2E5}">
  <sheetPr>
    <tabColor theme="8"/>
  </sheetPr>
  <dimension ref="A1:D35"/>
  <sheetViews>
    <sheetView zoomScale="60" zoomScaleNormal="60" workbookViewId="0">
      <selection sqref="A1:XFD2"/>
    </sheetView>
  </sheetViews>
  <sheetFormatPr baseColWidth="10" defaultColWidth="11" defaultRowHeight="14" outlineLevelRow="1"/>
  <cols>
    <col min="2" max="2" width="40.33203125" customWidth="1"/>
    <col min="3" max="3" width="19.6640625" customWidth="1"/>
    <col min="4" max="4" width="14.5" customWidth="1"/>
    <col min="5" max="5" width="20.83203125" bestFit="1" customWidth="1"/>
    <col min="6" max="6" width="40.83203125" bestFit="1" customWidth="1"/>
    <col min="7" max="7" width="22.6640625" customWidth="1"/>
    <col min="8" max="8" width="20.1640625" customWidth="1"/>
    <col min="9" max="11" width="10.6640625" customWidth="1"/>
    <col min="12" max="12" width="16.83203125" customWidth="1"/>
  </cols>
  <sheetData>
    <row r="1" spans="1:4" s="1505" customFormat="1">
      <c r="A1" s="1505" t="s">
        <v>108</v>
      </c>
    </row>
    <row r="2" spans="1:4" s="1505" customFormat="1"/>
    <row r="5" spans="1:4">
      <c r="B5" s="1251" t="s">
        <v>4329</v>
      </c>
    </row>
    <row r="6" spans="1:4">
      <c r="B6" s="1251"/>
    </row>
    <row r="8" spans="1:4" ht="23.5">
      <c r="B8" s="2" t="s">
        <v>4330</v>
      </c>
    </row>
    <row r="10" spans="1:4" hidden="1" outlineLevel="1">
      <c r="B10" s="1251" t="s">
        <v>4331</v>
      </c>
    </row>
    <row r="11" spans="1:4" hidden="1" outlineLevel="1">
      <c r="B11" s="1251" t="s">
        <v>4332</v>
      </c>
    </row>
    <row r="12" spans="1:4" hidden="1" outlineLevel="1">
      <c r="B12" s="1251"/>
    </row>
    <row r="13" spans="1:4" ht="14.5" hidden="1" outlineLevel="1" thickBot="1">
      <c r="B13" s="1251" t="s">
        <v>4333</v>
      </c>
    </row>
    <row r="14" spans="1:4" ht="29" hidden="1" outlineLevel="1">
      <c r="B14" s="470" t="s">
        <v>4334</v>
      </c>
      <c r="C14" s="138" t="s">
        <v>4335</v>
      </c>
      <c r="D14" s="139" t="s">
        <v>82</v>
      </c>
    </row>
    <row r="15" spans="1:4" ht="14.5" hidden="1" outlineLevel="1">
      <c r="B15" s="27" t="s">
        <v>4336</v>
      </c>
      <c r="C15" s="21">
        <v>13</v>
      </c>
      <c r="D15" s="12">
        <f>867*C15/100</f>
        <v>112.71</v>
      </c>
    </row>
    <row r="16" spans="1:4" ht="14.5" hidden="1" outlineLevel="1">
      <c r="B16" s="27" t="s">
        <v>4337</v>
      </c>
      <c r="C16" s="21">
        <v>13</v>
      </c>
      <c r="D16" s="12">
        <f t="shared" ref="D16:D21" si="0">867*C16/100</f>
        <v>112.71</v>
      </c>
    </row>
    <row r="17" spans="2:4" ht="14.5" hidden="1" outlineLevel="1">
      <c r="B17" s="27" t="s">
        <v>4338</v>
      </c>
      <c r="C17" s="21">
        <v>13</v>
      </c>
      <c r="D17" s="12">
        <f t="shared" si="0"/>
        <v>112.71</v>
      </c>
    </row>
    <row r="18" spans="2:4" ht="14.5" hidden="1" outlineLevel="1">
      <c r="B18" s="27" t="s">
        <v>4339</v>
      </c>
      <c r="C18" s="21">
        <v>13</v>
      </c>
      <c r="D18" s="12">
        <f t="shared" si="0"/>
        <v>112.71</v>
      </c>
    </row>
    <row r="19" spans="2:4" ht="14.5" hidden="1" outlineLevel="1">
      <c r="B19" s="27" t="s">
        <v>4340</v>
      </c>
      <c r="C19" s="21">
        <v>26</v>
      </c>
      <c r="D19" s="12">
        <f t="shared" si="0"/>
        <v>225.42</v>
      </c>
    </row>
    <row r="20" spans="2:4" ht="14.5" hidden="1" outlineLevel="1">
      <c r="B20" s="27" t="s">
        <v>4341</v>
      </c>
      <c r="C20" s="21">
        <v>19</v>
      </c>
      <c r="D20" s="12">
        <f t="shared" si="0"/>
        <v>164.73</v>
      </c>
    </row>
    <row r="21" spans="2:4" ht="29.5" hidden="1" outlineLevel="1" thickBot="1">
      <c r="B21" s="471" t="s">
        <v>4342</v>
      </c>
      <c r="C21" s="22">
        <v>3</v>
      </c>
      <c r="D21" s="15">
        <f t="shared" si="0"/>
        <v>26.01</v>
      </c>
    </row>
    <row r="22" spans="2:4" hidden="1" outlineLevel="1"/>
    <row r="23" spans="2:4" hidden="1" outlineLevel="1"/>
    <row r="24" spans="2:4" hidden="1" outlineLevel="1"/>
    <row r="25" spans="2:4" hidden="1" outlineLevel="1"/>
    <row r="26" spans="2:4" collapsed="1"/>
    <row r="27" spans="2:4" ht="23.5">
      <c r="B27" s="2" t="s">
        <v>4343</v>
      </c>
    </row>
    <row r="29" spans="2:4" hidden="1" outlineLevel="1">
      <c r="B29" s="1251" t="s">
        <v>4331</v>
      </c>
    </row>
    <row r="30" spans="2:4" hidden="1" outlineLevel="1">
      <c r="B30" s="1251" t="s">
        <v>4332</v>
      </c>
    </row>
    <row r="31" spans="2:4" hidden="1" outlineLevel="1">
      <c r="B31" s="1251"/>
    </row>
    <row r="32" spans="2:4" ht="14.5" hidden="1" outlineLevel="1" thickBot="1">
      <c r="B32" s="1251" t="s">
        <v>4344</v>
      </c>
    </row>
    <row r="33" spans="2:4" ht="29.5" hidden="1" outlineLevel="1" thickBot="1">
      <c r="B33" s="20" t="s">
        <v>4345</v>
      </c>
      <c r="C33" s="1263">
        <v>414</v>
      </c>
      <c r="D33" s="1262" t="s">
        <v>661</v>
      </c>
    </row>
    <row r="34" spans="2:4" hidden="1" outlineLevel="1">
      <c r="B34" s="1251"/>
    </row>
    <row r="35" spans="2:4" collapsed="1"/>
  </sheetData>
  <mergeCells count="1">
    <mergeCell ref="A1:XFD2"/>
  </mergeCells>
  <conditionalFormatting sqref="A1:XFD2">
    <cfRule type="containsBlanks" dxfId="5" priority="1">
      <formula>LEN(TRIM(A1))=0</formula>
    </cfRule>
  </conditionalFormatting>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9C1922-99C4-4739-BFEB-BE5F1F7DD864}">
  <sheetPr>
    <tabColor theme="8"/>
  </sheetPr>
  <dimension ref="A1:K169"/>
  <sheetViews>
    <sheetView zoomScale="60" zoomScaleNormal="60" workbookViewId="0">
      <selection sqref="A1:XFD2"/>
    </sheetView>
  </sheetViews>
  <sheetFormatPr baseColWidth="10" defaultColWidth="11" defaultRowHeight="14" outlineLevelRow="2"/>
  <cols>
    <col min="2" max="2" width="48.5" customWidth="1"/>
    <col min="3" max="3" width="13.83203125" customWidth="1"/>
    <col min="4" max="4" width="12.6640625" customWidth="1"/>
    <col min="5" max="5" width="12" customWidth="1"/>
    <col min="6" max="6" width="19.1640625" customWidth="1"/>
    <col min="7" max="7" width="13" customWidth="1"/>
    <col min="8" max="8" width="17.1640625" customWidth="1"/>
    <col min="10" max="10" width="10.83203125" bestFit="1" customWidth="1"/>
  </cols>
  <sheetData>
    <row r="1" spans="1:3" s="1505" customFormat="1">
      <c r="A1" s="1505" t="s">
        <v>4346</v>
      </c>
    </row>
    <row r="2" spans="1:3" s="1505" customFormat="1"/>
    <row r="5" spans="1:3">
      <c r="B5" s="1251" t="s">
        <v>57</v>
      </c>
    </row>
    <row r="6" spans="1:3">
      <c r="B6" s="1251" t="s">
        <v>4347</v>
      </c>
    </row>
    <row r="8" spans="1:3" ht="23.5">
      <c r="B8" s="2" t="s">
        <v>180</v>
      </c>
    </row>
    <row r="10" spans="1:3" ht="14.5" hidden="1" outlineLevel="1" thickBot="1"/>
    <row r="11" spans="1:3" ht="43.5" hidden="1" outlineLevel="1">
      <c r="B11" s="461" t="s">
        <v>4348</v>
      </c>
      <c r="C11" s="510" t="s">
        <v>938</v>
      </c>
    </row>
    <row r="12" spans="1:3" ht="14.5" hidden="1" outlineLevel="1">
      <c r="B12" s="464" t="s">
        <v>4349</v>
      </c>
      <c r="C12" s="513">
        <f>E146</f>
        <v>41.83416228106983</v>
      </c>
    </row>
    <row r="13" spans="1:3" ht="14.5" hidden="1" outlineLevel="1">
      <c r="B13" s="464" t="s">
        <v>4350</v>
      </c>
      <c r="C13" s="513">
        <f>E147</f>
        <v>5.0108049044081655</v>
      </c>
    </row>
    <row r="14" spans="1:3" ht="14.5" hidden="1" outlineLevel="1">
      <c r="B14" s="464" t="s">
        <v>4351</v>
      </c>
      <c r="C14" s="513">
        <f>E148</f>
        <v>14.020500742132501</v>
      </c>
    </row>
    <row r="15" spans="1:3" ht="14.5" hidden="1" outlineLevel="1">
      <c r="B15" s="464" t="s">
        <v>2880</v>
      </c>
      <c r="C15" s="513">
        <f>E149</f>
        <v>13.113291870582751</v>
      </c>
    </row>
    <row r="16" spans="1:3" ht="14.5" hidden="1" outlineLevel="1">
      <c r="B16" s="464" t="s">
        <v>88</v>
      </c>
      <c r="C16" s="513">
        <f>E150</f>
        <v>4.7834649590804998</v>
      </c>
    </row>
    <row r="17" spans="2:11" ht="15" hidden="1" outlineLevel="1" thickBot="1">
      <c r="B17" s="465" t="s">
        <v>83</v>
      </c>
      <c r="C17" s="512">
        <f>SUM(C12:C16)</f>
        <v>78.762224757273756</v>
      </c>
    </row>
    <row r="18" spans="2:11" hidden="1" outlineLevel="1"/>
    <row r="19" spans="2:11" collapsed="1"/>
    <row r="20" spans="2:11" ht="23.5">
      <c r="B20" s="2" t="s">
        <v>1130</v>
      </c>
    </row>
    <row r="22" spans="2:11" ht="18">
      <c r="B22" s="258" t="s">
        <v>4090</v>
      </c>
      <c r="F22" s="75"/>
      <c r="G22" s="76"/>
      <c r="H22" s="76"/>
    </row>
    <row r="24" spans="2:11" hidden="1" outlineLevel="1">
      <c r="B24" s="44" t="s">
        <v>4352</v>
      </c>
      <c r="D24" s="1"/>
    </row>
    <row r="25" spans="2:11" ht="14.5" hidden="1" outlineLevel="1" thickBot="1">
      <c r="B25" s="43"/>
      <c r="D25" s="1"/>
    </row>
    <row r="26" spans="2:11" ht="29" hidden="1" outlineLevel="1">
      <c r="B26" s="4" t="s">
        <v>525</v>
      </c>
      <c r="C26" s="5" t="s">
        <v>4353</v>
      </c>
      <c r="D26" s="5" t="s">
        <v>4354</v>
      </c>
      <c r="E26" s="5" t="s">
        <v>4355</v>
      </c>
      <c r="F26" s="5" t="s">
        <v>4101</v>
      </c>
      <c r="G26" s="5" t="s">
        <v>4356</v>
      </c>
      <c r="H26" s="6" t="s">
        <v>4357</v>
      </c>
    </row>
    <row r="27" spans="2:11" ht="29.5" hidden="1" outlineLevel="1" thickBot="1">
      <c r="B27" s="13" t="s">
        <v>4358</v>
      </c>
      <c r="C27" s="504"/>
      <c r="D27" s="504"/>
      <c r="E27" s="504"/>
      <c r="F27" s="505">
        <v>375433027.56999993</v>
      </c>
      <c r="G27" s="505">
        <v>44662308</v>
      </c>
      <c r="H27" s="506">
        <f>SUM(H28:H96)</f>
        <v>35702828475</v>
      </c>
    </row>
    <row r="28" spans="2:11" hidden="1" outlineLevel="2">
      <c r="B28" s="507" t="s">
        <v>4359</v>
      </c>
      <c r="C28" s="503">
        <f>--TRIM(MID(B28, SEARCH("&gt;", B28, SEARCH("&gt;", B28) + 1) + 1, SEARCH("E", B28, SEARCH("&gt;", B28, SEARCH("&gt;", B28) + 1)) - SEARCH("&gt;", B28, SEARCH("&gt;", B28) + 1) - 1))</f>
        <v>200</v>
      </c>
      <c r="D28" s="503">
        <f t="shared" ref="D28:D47" si="0">--MID(B28, FIND("B/",B28) + 2, FIND(".", B28, FIND("B/",B28)) - FIND("B/", B28) - 2)</f>
        <v>4</v>
      </c>
      <c r="E28" s="503">
        <f t="shared" ref="E28:E59" si="1">C28*D28</f>
        <v>800</v>
      </c>
      <c r="F28" s="1463">
        <v>49408613.050000012</v>
      </c>
      <c r="G28" s="1463">
        <v>5960303</v>
      </c>
      <c r="H28" s="508">
        <f t="shared" ref="H28:H59" si="2">E28*G28</f>
        <v>4768242400</v>
      </c>
      <c r="J28" s="76"/>
      <c r="K28" s="1251"/>
    </row>
    <row r="29" spans="2:11" hidden="1" outlineLevel="2">
      <c r="B29" s="509" t="s">
        <v>4360</v>
      </c>
      <c r="C29" s="499">
        <f>--TRIM(MID(B29, SEARCH("&gt;", B29, SEARCH("&gt;", B29) + 1) + 1, SEARCH("E", B29, SEARCH("&gt;", B29, SEARCH("&gt;", B29) + 1)) - SEARCH("&gt;", B29, SEARCH("&gt;", B29) + 1) - 1))</f>
        <v>200</v>
      </c>
      <c r="D29" s="499">
        <f t="shared" si="0"/>
        <v>4</v>
      </c>
      <c r="E29" s="499">
        <f t="shared" si="1"/>
        <v>800</v>
      </c>
      <c r="F29" s="1423">
        <v>49214638.080000028</v>
      </c>
      <c r="G29" s="1423">
        <v>5786249</v>
      </c>
      <c r="H29" s="90">
        <f t="shared" si="2"/>
        <v>4628999200</v>
      </c>
    </row>
    <row r="30" spans="2:11" hidden="1" outlineLevel="2">
      <c r="B30" s="509" t="s">
        <v>4361</v>
      </c>
      <c r="C30" s="499">
        <f>--TRIM(MID(B30, SEARCH("&gt;", B30, SEARCH("&gt;", B30) + 1) + 1, SEARCH("E", B30, SEARCH("&gt;", B30, SEARCH("&gt;", B30) + 1)) - SEARCH("&gt;", B30, SEARCH("&gt;", B30) + 1) - 1))</f>
        <v>200</v>
      </c>
      <c r="D30" s="499">
        <f t="shared" si="0"/>
        <v>4</v>
      </c>
      <c r="E30" s="499">
        <f t="shared" si="1"/>
        <v>800</v>
      </c>
      <c r="F30" s="1423">
        <v>43246760.51000005</v>
      </c>
      <c r="G30" s="1423">
        <v>5187557</v>
      </c>
      <c r="H30" s="90">
        <f t="shared" si="2"/>
        <v>4150045600</v>
      </c>
    </row>
    <row r="31" spans="2:11" hidden="1" outlineLevel="2">
      <c r="B31" s="509" t="s">
        <v>4362</v>
      </c>
      <c r="C31" s="499">
        <v>200</v>
      </c>
      <c r="D31" s="499">
        <f t="shared" si="0"/>
        <v>4</v>
      </c>
      <c r="E31" s="499">
        <f t="shared" si="1"/>
        <v>800</v>
      </c>
      <c r="F31" s="1423">
        <v>38328899.659999959</v>
      </c>
      <c r="G31" s="1423">
        <v>3612919</v>
      </c>
      <c r="H31" s="90">
        <f t="shared" si="2"/>
        <v>2890335200</v>
      </c>
      <c r="J31" t="s">
        <v>2375</v>
      </c>
    </row>
    <row r="32" spans="2:11" hidden="1" outlineLevel="2">
      <c r="B32" s="509" t="s">
        <v>4363</v>
      </c>
      <c r="C32" s="499">
        <v>300</v>
      </c>
      <c r="D32" s="499">
        <f t="shared" si="0"/>
        <v>4</v>
      </c>
      <c r="E32" s="499">
        <f t="shared" si="1"/>
        <v>1200</v>
      </c>
      <c r="F32" s="1423">
        <v>20289880.780000001</v>
      </c>
      <c r="G32" s="1423">
        <v>2053472</v>
      </c>
      <c r="H32" s="90">
        <f t="shared" si="2"/>
        <v>2464166400</v>
      </c>
    </row>
    <row r="33" spans="2:8" hidden="1" outlineLevel="2">
      <c r="B33" s="509" t="s">
        <v>4364</v>
      </c>
      <c r="C33" s="499">
        <v>200</v>
      </c>
      <c r="D33" s="499">
        <f t="shared" si="0"/>
        <v>4</v>
      </c>
      <c r="E33" s="499">
        <f t="shared" si="1"/>
        <v>800</v>
      </c>
      <c r="F33" s="1423">
        <v>21022825.070000011</v>
      </c>
      <c r="G33" s="1423">
        <v>2855800</v>
      </c>
      <c r="H33" s="90">
        <f t="shared" si="2"/>
        <v>2284640000</v>
      </c>
    </row>
    <row r="34" spans="2:8" hidden="1" outlineLevel="2">
      <c r="B34" s="501" t="s">
        <v>4365</v>
      </c>
      <c r="C34" s="499">
        <v>200</v>
      </c>
      <c r="D34" s="499">
        <f t="shared" si="0"/>
        <v>4</v>
      </c>
      <c r="E34" s="499">
        <f t="shared" si="1"/>
        <v>800</v>
      </c>
      <c r="F34" s="81">
        <v>14787343.279999977</v>
      </c>
      <c r="G34" s="81">
        <v>2044958</v>
      </c>
      <c r="H34" s="270">
        <f t="shared" si="2"/>
        <v>1635966400</v>
      </c>
    </row>
    <row r="35" spans="2:8" hidden="1" outlineLevel="2">
      <c r="B35" s="501" t="s">
        <v>4366</v>
      </c>
      <c r="C35" s="499">
        <v>200</v>
      </c>
      <c r="D35" s="499">
        <f t="shared" si="0"/>
        <v>4</v>
      </c>
      <c r="E35" s="499">
        <f t="shared" si="1"/>
        <v>800</v>
      </c>
      <c r="F35" s="81">
        <v>14559534.400000004</v>
      </c>
      <c r="G35" s="81">
        <v>2040362</v>
      </c>
      <c r="H35" s="270">
        <f t="shared" si="2"/>
        <v>1632289600</v>
      </c>
    </row>
    <row r="36" spans="2:8" hidden="1" outlineLevel="2">
      <c r="B36" s="501" t="s">
        <v>4367</v>
      </c>
      <c r="C36" s="499">
        <v>200</v>
      </c>
      <c r="D36" s="499">
        <f t="shared" si="0"/>
        <v>4</v>
      </c>
      <c r="E36" s="499">
        <f t="shared" si="1"/>
        <v>800</v>
      </c>
      <c r="F36" s="81">
        <v>13670463.150000008</v>
      </c>
      <c r="G36" s="81">
        <v>1991693</v>
      </c>
      <c r="H36" s="270">
        <f t="shared" si="2"/>
        <v>1593354400</v>
      </c>
    </row>
    <row r="37" spans="2:8" hidden="1" outlineLevel="2">
      <c r="B37" s="501" t="s">
        <v>4368</v>
      </c>
      <c r="C37" s="499">
        <v>200</v>
      </c>
      <c r="D37" s="499">
        <f t="shared" si="0"/>
        <v>4</v>
      </c>
      <c r="E37" s="499">
        <f t="shared" si="1"/>
        <v>800</v>
      </c>
      <c r="F37" s="81">
        <v>20771535.439999998</v>
      </c>
      <c r="G37" s="81">
        <v>1984426</v>
      </c>
      <c r="H37" s="270">
        <f t="shared" si="2"/>
        <v>1587540800</v>
      </c>
    </row>
    <row r="38" spans="2:8" hidden="1" outlineLevel="2">
      <c r="B38" s="501" t="s">
        <v>4369</v>
      </c>
      <c r="C38" s="499">
        <v>200</v>
      </c>
      <c r="D38" s="499">
        <f t="shared" si="0"/>
        <v>4</v>
      </c>
      <c r="E38" s="499">
        <f t="shared" si="1"/>
        <v>800</v>
      </c>
      <c r="F38" s="81">
        <v>9514195.2200000044</v>
      </c>
      <c r="G38" s="81">
        <v>1278161</v>
      </c>
      <c r="H38" s="270">
        <f t="shared" si="2"/>
        <v>1022528800</v>
      </c>
    </row>
    <row r="39" spans="2:8" hidden="1" outlineLevel="2">
      <c r="B39" s="501" t="s">
        <v>4370</v>
      </c>
      <c r="C39" s="499">
        <f>--TRIM(MID(B39, SEARCH("&gt;", B39, SEARCH("&gt;", B39) + 1) + 1, SEARCH("E", B39, SEARCH("&gt;", B39, SEARCH("&gt;", B39) + 1)) - SEARCH("&gt;", B39, SEARCH("&gt;", B39) + 1) - 1))</f>
        <v>200</v>
      </c>
      <c r="D39" s="499">
        <f t="shared" si="0"/>
        <v>4</v>
      </c>
      <c r="E39" s="499">
        <f t="shared" si="1"/>
        <v>800</v>
      </c>
      <c r="F39" s="81">
        <v>10939488.209999993</v>
      </c>
      <c r="G39" s="81">
        <v>1270151</v>
      </c>
      <c r="H39" s="270">
        <f t="shared" si="2"/>
        <v>1016120800</v>
      </c>
    </row>
    <row r="40" spans="2:8" hidden="1" outlineLevel="2">
      <c r="B40" s="501" t="s">
        <v>4371</v>
      </c>
      <c r="C40" s="499">
        <v>200</v>
      </c>
      <c r="D40" s="499">
        <f t="shared" si="0"/>
        <v>4</v>
      </c>
      <c r="E40" s="499">
        <f t="shared" si="1"/>
        <v>800</v>
      </c>
      <c r="F40" s="81">
        <v>7581737.0999999968</v>
      </c>
      <c r="G40" s="81">
        <v>1040320</v>
      </c>
      <c r="H40" s="270">
        <f t="shared" si="2"/>
        <v>832256000</v>
      </c>
    </row>
    <row r="41" spans="2:8" hidden="1" outlineLevel="2">
      <c r="B41" s="501" t="s">
        <v>4372</v>
      </c>
      <c r="C41" s="499">
        <v>200</v>
      </c>
      <c r="D41" s="499">
        <f t="shared" si="0"/>
        <v>4</v>
      </c>
      <c r="E41" s="499">
        <f t="shared" si="1"/>
        <v>800</v>
      </c>
      <c r="F41" s="81">
        <v>9362227.3100000024</v>
      </c>
      <c r="G41" s="81">
        <v>898093</v>
      </c>
      <c r="H41" s="270">
        <f t="shared" si="2"/>
        <v>718474400</v>
      </c>
    </row>
    <row r="42" spans="2:8" hidden="1" outlineLevel="2">
      <c r="B42" s="501" t="s">
        <v>4373</v>
      </c>
      <c r="C42" s="499">
        <v>200</v>
      </c>
      <c r="D42" s="499">
        <f t="shared" si="0"/>
        <v>4</v>
      </c>
      <c r="E42" s="499">
        <f t="shared" si="1"/>
        <v>800</v>
      </c>
      <c r="F42" s="81">
        <v>6084188.7799999956</v>
      </c>
      <c r="G42" s="81">
        <v>895419</v>
      </c>
      <c r="H42" s="270">
        <f t="shared" si="2"/>
        <v>716335200</v>
      </c>
    </row>
    <row r="43" spans="2:8" ht="14" hidden="1" customHeight="1" outlineLevel="2">
      <c r="B43" s="501" t="s">
        <v>4374</v>
      </c>
      <c r="C43" s="499">
        <v>200</v>
      </c>
      <c r="D43" s="499">
        <f t="shared" si="0"/>
        <v>4</v>
      </c>
      <c r="E43" s="499">
        <f t="shared" si="1"/>
        <v>800</v>
      </c>
      <c r="F43" s="81">
        <v>6545885.4499999993</v>
      </c>
      <c r="G43" s="81">
        <v>895093</v>
      </c>
      <c r="H43" s="270">
        <f t="shared" si="2"/>
        <v>716074400</v>
      </c>
    </row>
    <row r="44" spans="2:8" hidden="1" outlineLevel="2">
      <c r="B44" s="501" t="s">
        <v>4375</v>
      </c>
      <c r="C44" s="499">
        <v>200</v>
      </c>
      <c r="D44" s="499">
        <f t="shared" si="0"/>
        <v>4</v>
      </c>
      <c r="E44" s="499">
        <f t="shared" si="1"/>
        <v>800</v>
      </c>
      <c r="F44" s="81">
        <v>8661512.4700000081</v>
      </c>
      <c r="G44" s="81">
        <v>815041</v>
      </c>
      <c r="H44" s="270">
        <f t="shared" si="2"/>
        <v>652032800</v>
      </c>
    </row>
    <row r="45" spans="2:8" hidden="1" outlineLevel="2">
      <c r="B45" s="501" t="s">
        <v>4376</v>
      </c>
      <c r="C45" s="499">
        <v>300</v>
      </c>
      <c r="D45" s="499">
        <f t="shared" si="0"/>
        <v>4</v>
      </c>
      <c r="E45" s="499">
        <f t="shared" si="1"/>
        <v>1200</v>
      </c>
      <c r="F45" s="81">
        <v>3687799.13</v>
      </c>
      <c r="G45" s="81">
        <v>358808</v>
      </c>
      <c r="H45" s="270">
        <f t="shared" si="2"/>
        <v>430569600</v>
      </c>
    </row>
    <row r="46" spans="2:8" hidden="1" outlineLevel="2">
      <c r="B46" s="501" t="s">
        <v>4377</v>
      </c>
      <c r="C46" s="499">
        <v>125</v>
      </c>
      <c r="D46" s="499">
        <f t="shared" si="0"/>
        <v>3</v>
      </c>
      <c r="E46" s="499">
        <f t="shared" si="1"/>
        <v>375</v>
      </c>
      <c r="F46" s="81">
        <v>2955586.2199999969</v>
      </c>
      <c r="G46" s="81">
        <v>605877</v>
      </c>
      <c r="H46" s="270">
        <f t="shared" si="2"/>
        <v>227203875</v>
      </c>
    </row>
    <row r="47" spans="2:8" hidden="1" outlineLevel="2">
      <c r="B47" s="501" t="s">
        <v>4378</v>
      </c>
      <c r="C47" s="499">
        <v>300</v>
      </c>
      <c r="D47" s="499">
        <f t="shared" si="0"/>
        <v>4</v>
      </c>
      <c r="E47" s="499">
        <f t="shared" si="1"/>
        <v>1200</v>
      </c>
      <c r="F47" s="81">
        <v>1872189.6300000008</v>
      </c>
      <c r="G47" s="81">
        <v>183052</v>
      </c>
      <c r="H47" s="270">
        <f t="shared" si="2"/>
        <v>219662400</v>
      </c>
    </row>
    <row r="48" spans="2:8" hidden="1" outlineLevel="2">
      <c r="B48" s="501" t="s">
        <v>4379</v>
      </c>
      <c r="C48" s="499">
        <v>200</v>
      </c>
      <c r="D48" s="499">
        <f>--MID(B48, FIND("B/",B48) + 2, FIND(",", B48, FIND("B/",B48)) - FIND("B/", B48) - 2)</f>
        <v>4</v>
      </c>
      <c r="E48" s="499">
        <f t="shared" si="1"/>
        <v>800</v>
      </c>
      <c r="F48" s="81">
        <v>1523584.4600000002</v>
      </c>
      <c r="G48" s="81">
        <v>249248</v>
      </c>
      <c r="H48" s="270">
        <f t="shared" si="2"/>
        <v>199398400</v>
      </c>
    </row>
    <row r="49" spans="2:8" hidden="1" outlineLevel="2">
      <c r="B49" s="501" t="s">
        <v>4380</v>
      </c>
      <c r="C49" s="499">
        <v>300</v>
      </c>
      <c r="D49" s="499">
        <f>--MID(B49, FIND("B/",B49) + 2, FIND(".", B49, FIND("B/",B49)) - FIND("B/", B49) - 2)</f>
        <v>4</v>
      </c>
      <c r="E49" s="499">
        <f t="shared" si="1"/>
        <v>1200</v>
      </c>
      <c r="F49" s="81">
        <v>1270035.8700000001</v>
      </c>
      <c r="G49" s="81">
        <v>145266</v>
      </c>
      <c r="H49" s="270">
        <f t="shared" si="2"/>
        <v>174319200</v>
      </c>
    </row>
    <row r="50" spans="2:8" hidden="1" outlineLevel="2">
      <c r="B50" s="501" t="s">
        <v>4381</v>
      </c>
      <c r="C50" s="499">
        <v>125</v>
      </c>
      <c r="D50" s="499">
        <f>--MID(B50, FIND("B/",B50) + 2, FIND(".", B50, FIND("B/",B50)) - FIND("B/", B50) - 2)</f>
        <v>4</v>
      </c>
      <c r="E50" s="499">
        <f t="shared" si="1"/>
        <v>500</v>
      </c>
      <c r="F50" s="81">
        <v>2603618.5399999968</v>
      </c>
      <c r="G50" s="81">
        <v>324393</v>
      </c>
      <c r="H50" s="270">
        <f t="shared" si="2"/>
        <v>162196500</v>
      </c>
    </row>
    <row r="51" spans="2:8" hidden="1" outlineLevel="2">
      <c r="B51" s="501" t="s">
        <v>4382</v>
      </c>
      <c r="C51" s="499">
        <v>300</v>
      </c>
      <c r="D51" s="499">
        <f>--MID(B51, FIND("B/",B51) + 2, FIND(".", B51, FIND("B/",B51)) - FIND("B/", B51) - 2)</f>
        <v>4</v>
      </c>
      <c r="E51" s="499">
        <f t="shared" si="1"/>
        <v>1200</v>
      </c>
      <c r="F51" s="81">
        <v>842647.8400000002</v>
      </c>
      <c r="G51" s="81">
        <v>102121</v>
      </c>
      <c r="H51" s="270">
        <f t="shared" si="2"/>
        <v>122545200</v>
      </c>
    </row>
    <row r="52" spans="2:8" hidden="1" outlineLevel="2">
      <c r="B52" s="501" t="s">
        <v>4383</v>
      </c>
      <c r="C52" s="499">
        <v>200</v>
      </c>
      <c r="D52" s="499">
        <f>--MID(B52, FIND("B/",B52) + 2, FIND(",", B52, FIND("B/",B52)) - FIND("B/", B52) - 2)</f>
        <v>4</v>
      </c>
      <c r="E52" s="499">
        <f t="shared" si="1"/>
        <v>800</v>
      </c>
      <c r="F52" s="81">
        <v>742473.68000000017</v>
      </c>
      <c r="G52" s="81">
        <v>126608</v>
      </c>
      <c r="H52" s="270">
        <f t="shared" si="2"/>
        <v>101286400</v>
      </c>
    </row>
    <row r="53" spans="2:8" hidden="1" outlineLevel="2">
      <c r="B53" s="501" t="s">
        <v>4384</v>
      </c>
      <c r="C53" s="499">
        <v>200</v>
      </c>
      <c r="D53" s="499">
        <f>--MID(B53, FIND("B/",B53) + 2, FIND(",", B53, FIND("B/",B53)) - FIND("B/", B53) - 2)</f>
        <v>4</v>
      </c>
      <c r="E53" s="499">
        <f t="shared" si="1"/>
        <v>800</v>
      </c>
      <c r="F53" s="81">
        <v>729965.22999999975</v>
      </c>
      <c r="G53" s="81">
        <v>122570</v>
      </c>
      <c r="H53" s="270">
        <f t="shared" si="2"/>
        <v>98056000</v>
      </c>
    </row>
    <row r="54" spans="2:8" hidden="1" outlineLevel="2">
      <c r="B54" s="501" t="s">
        <v>4385</v>
      </c>
      <c r="C54" s="499">
        <v>125</v>
      </c>
      <c r="D54" s="499">
        <f t="shared" ref="D54:D61" si="3">--MID(B54, FIND("B/",B54) + 2, FIND(".", B54, FIND("B/",B54)) - FIND("B/", B54) - 2)</f>
        <v>4</v>
      </c>
      <c r="E54" s="499">
        <f t="shared" si="1"/>
        <v>500</v>
      </c>
      <c r="F54" s="81">
        <v>1204533.1999999997</v>
      </c>
      <c r="G54" s="81">
        <v>147536</v>
      </c>
      <c r="H54" s="270">
        <f t="shared" si="2"/>
        <v>73768000</v>
      </c>
    </row>
    <row r="55" spans="2:8" hidden="1" outlineLevel="2">
      <c r="B55" s="501" t="s">
        <v>4386</v>
      </c>
      <c r="C55" s="499">
        <f>--TRIM(MID(B55, SEARCH("&gt;", B55, SEARCH("&gt;", B55) + 1) + 1, SEARCH("E", B55, SEARCH("&gt;", B55, SEARCH("&gt;", B55) + 1)) - SEARCH("&gt;", B55, SEARCH("&gt;", B55) + 1) - 1))</f>
        <v>200</v>
      </c>
      <c r="D55" s="499">
        <f t="shared" si="3"/>
        <v>4</v>
      </c>
      <c r="E55" s="499">
        <f t="shared" si="1"/>
        <v>800</v>
      </c>
      <c r="F55" s="81">
        <v>756969.66999999993</v>
      </c>
      <c r="G55" s="81">
        <v>88732</v>
      </c>
      <c r="H55" s="270">
        <f t="shared" si="2"/>
        <v>70985600</v>
      </c>
    </row>
    <row r="56" spans="2:8" hidden="1" outlineLevel="2">
      <c r="B56" s="501" t="s">
        <v>4387</v>
      </c>
      <c r="C56" s="499">
        <v>300</v>
      </c>
      <c r="D56" s="499">
        <f t="shared" si="3"/>
        <v>4</v>
      </c>
      <c r="E56" s="499">
        <f t="shared" si="1"/>
        <v>1200</v>
      </c>
      <c r="F56" s="81">
        <v>412049.99999999983</v>
      </c>
      <c r="G56" s="81">
        <v>45954</v>
      </c>
      <c r="H56" s="270">
        <f t="shared" si="2"/>
        <v>55144800</v>
      </c>
    </row>
    <row r="57" spans="2:8" hidden="1" outlineLevel="2">
      <c r="B57" s="501" t="s">
        <v>4388</v>
      </c>
      <c r="C57" s="499">
        <v>200</v>
      </c>
      <c r="D57" s="499">
        <f t="shared" si="3"/>
        <v>6</v>
      </c>
      <c r="E57" s="499">
        <f t="shared" si="1"/>
        <v>1200</v>
      </c>
      <c r="F57" s="81">
        <v>503268.74999999983</v>
      </c>
      <c r="G57" s="81">
        <v>45667</v>
      </c>
      <c r="H57" s="270">
        <f t="shared" si="2"/>
        <v>54800400</v>
      </c>
    </row>
    <row r="58" spans="2:8" hidden="1" outlineLevel="2">
      <c r="B58" s="501" t="s">
        <v>4389</v>
      </c>
      <c r="C58" s="499">
        <v>400</v>
      </c>
      <c r="D58" s="499">
        <f t="shared" si="3"/>
        <v>1</v>
      </c>
      <c r="E58" s="499">
        <f t="shared" si="1"/>
        <v>400</v>
      </c>
      <c r="F58" s="81">
        <v>1793984.5700000003</v>
      </c>
      <c r="G58" s="81">
        <v>134014</v>
      </c>
      <c r="H58" s="270">
        <f t="shared" si="2"/>
        <v>53605600</v>
      </c>
    </row>
    <row r="59" spans="2:8" hidden="1" outlineLevel="2">
      <c r="B59" s="501" t="s">
        <v>4390</v>
      </c>
      <c r="C59" s="499">
        <f>--TRIM(MID(B59, SEARCH("&gt;", B59, SEARCH("&gt;", B59) + 1) + 1, SEARCH("E", B59, SEARCH("&gt;", B59, SEARCH("&gt;", B59) + 1)) - SEARCH("&gt;", B59, SEARCH("&gt;", B59) + 1) - 1))</f>
        <v>125</v>
      </c>
      <c r="D59" s="499">
        <f t="shared" si="3"/>
        <v>4</v>
      </c>
      <c r="E59" s="499">
        <f t="shared" si="1"/>
        <v>500</v>
      </c>
      <c r="F59" s="81">
        <v>642084.62999999954</v>
      </c>
      <c r="G59" s="81">
        <v>102025</v>
      </c>
      <c r="H59" s="270">
        <f t="shared" si="2"/>
        <v>51012500</v>
      </c>
    </row>
    <row r="60" spans="2:8" hidden="1" outlineLevel="2">
      <c r="B60" s="501" t="s">
        <v>4391</v>
      </c>
      <c r="C60" s="499">
        <v>125</v>
      </c>
      <c r="D60" s="499">
        <f t="shared" si="3"/>
        <v>4</v>
      </c>
      <c r="E60" s="499">
        <f t="shared" ref="E60:E91" si="4">C60*D60</f>
        <v>500</v>
      </c>
      <c r="F60" s="81">
        <v>474403.77999999991</v>
      </c>
      <c r="G60" s="81">
        <v>92198</v>
      </c>
      <c r="H60" s="270">
        <f t="shared" ref="H60:H91" si="5">E60*G60</f>
        <v>46099000</v>
      </c>
    </row>
    <row r="61" spans="2:8" hidden="1" outlineLevel="2">
      <c r="B61" s="501" t="s">
        <v>4392</v>
      </c>
      <c r="C61" s="499">
        <v>200</v>
      </c>
      <c r="D61" s="499">
        <f t="shared" si="3"/>
        <v>4</v>
      </c>
      <c r="E61" s="499">
        <f t="shared" si="4"/>
        <v>800</v>
      </c>
      <c r="F61" s="81">
        <v>395600.95</v>
      </c>
      <c r="G61" s="81">
        <v>54150</v>
      </c>
      <c r="H61" s="270">
        <f t="shared" si="5"/>
        <v>43320000</v>
      </c>
    </row>
    <row r="62" spans="2:8" hidden="1" outlineLevel="2">
      <c r="B62" s="1464" t="s">
        <v>4393</v>
      </c>
      <c r="C62" s="499">
        <v>200</v>
      </c>
      <c r="D62" s="499">
        <f>--MID(B62, FIND("B/",B62) + 2, FIND(",", B62, FIND("B/",B62)) - FIND("B/", B62) - 2)</f>
        <v>4</v>
      </c>
      <c r="E62" s="499">
        <f t="shared" si="4"/>
        <v>800</v>
      </c>
      <c r="F62" s="81">
        <v>273423.06000000006</v>
      </c>
      <c r="G62" s="81">
        <v>46995</v>
      </c>
      <c r="H62" s="270">
        <f t="shared" si="5"/>
        <v>37596000</v>
      </c>
    </row>
    <row r="63" spans="2:8" hidden="1" outlineLevel="2">
      <c r="B63" s="501" t="s">
        <v>4394</v>
      </c>
      <c r="C63" s="499">
        <v>200</v>
      </c>
      <c r="D63" s="499">
        <f>--MID(B63, FIND("B/",B63) + 2, FIND(",", B63, FIND("B/",B63)) - FIND("B/", B63) - 2)</f>
        <v>6</v>
      </c>
      <c r="E63" s="499">
        <f t="shared" si="4"/>
        <v>1200</v>
      </c>
      <c r="F63" s="81">
        <v>181947.53999999998</v>
      </c>
      <c r="G63" s="81">
        <v>21844</v>
      </c>
      <c r="H63" s="270">
        <f t="shared" si="5"/>
        <v>26212800</v>
      </c>
    </row>
    <row r="64" spans="2:8" hidden="1" outlineLevel="2">
      <c r="B64" s="501" t="s">
        <v>4395</v>
      </c>
      <c r="C64" s="499">
        <v>200</v>
      </c>
      <c r="D64" s="499">
        <f>--MID(B64, FIND("B/",B64) + 2, FIND(",", B64, FIND("B/",B64)) - FIND("B/", B64) - 2)</f>
        <v>6</v>
      </c>
      <c r="E64" s="499">
        <f t="shared" si="4"/>
        <v>1200</v>
      </c>
      <c r="F64" s="81">
        <v>125344.85999999997</v>
      </c>
      <c r="G64" s="81">
        <v>14848</v>
      </c>
      <c r="H64" s="270">
        <f t="shared" si="5"/>
        <v>17817600</v>
      </c>
    </row>
    <row r="65" spans="2:8" hidden="1" outlineLevel="2">
      <c r="B65" s="501" t="s">
        <v>4396</v>
      </c>
      <c r="C65" s="499">
        <v>200</v>
      </c>
      <c r="D65" s="499">
        <f t="shared" ref="D65:D74" si="6">--MID(B65, FIND("B/",B65) + 2, FIND(".", B65, FIND("B/",B65)) - FIND("B/", B65) - 2)</f>
        <v>1</v>
      </c>
      <c r="E65" s="499">
        <f t="shared" si="4"/>
        <v>200</v>
      </c>
      <c r="F65" s="81">
        <v>220544.81000000008</v>
      </c>
      <c r="G65" s="81">
        <v>82578</v>
      </c>
      <c r="H65" s="270">
        <f t="shared" si="5"/>
        <v>16515600</v>
      </c>
    </row>
    <row r="66" spans="2:8" hidden="1" outlineLevel="2">
      <c r="B66" s="501" t="s">
        <v>4397</v>
      </c>
      <c r="C66" s="499">
        <v>400</v>
      </c>
      <c r="D66" s="499">
        <f t="shared" si="6"/>
        <v>1</v>
      </c>
      <c r="E66" s="499">
        <f t="shared" si="4"/>
        <v>400</v>
      </c>
      <c r="F66" s="81">
        <v>642427.56000000006</v>
      </c>
      <c r="G66" s="81">
        <v>38709</v>
      </c>
      <c r="H66" s="270">
        <f t="shared" si="5"/>
        <v>15483600</v>
      </c>
    </row>
    <row r="67" spans="2:8" hidden="1" outlineLevel="2">
      <c r="B67" s="501" t="s">
        <v>4398</v>
      </c>
      <c r="C67" s="499">
        <v>200</v>
      </c>
      <c r="D67" s="499">
        <f t="shared" si="6"/>
        <v>4</v>
      </c>
      <c r="E67" s="499">
        <f t="shared" si="4"/>
        <v>800</v>
      </c>
      <c r="F67" s="81">
        <v>127759.77000000003</v>
      </c>
      <c r="G67" s="81">
        <v>18409</v>
      </c>
      <c r="H67" s="270">
        <f t="shared" si="5"/>
        <v>14727200</v>
      </c>
    </row>
    <row r="68" spans="2:8" hidden="1" outlineLevel="2">
      <c r="B68" s="501" t="s">
        <v>4399</v>
      </c>
      <c r="C68" s="499">
        <v>125</v>
      </c>
      <c r="D68" s="499">
        <f t="shared" si="6"/>
        <v>4</v>
      </c>
      <c r="E68" s="499">
        <f t="shared" si="4"/>
        <v>500</v>
      </c>
      <c r="F68" s="81">
        <v>143075.38000000012</v>
      </c>
      <c r="G68" s="81">
        <v>28548</v>
      </c>
      <c r="H68" s="270">
        <f t="shared" si="5"/>
        <v>14274000</v>
      </c>
    </row>
    <row r="69" spans="2:8" hidden="1" outlineLevel="2">
      <c r="B69" s="501" t="s">
        <v>4400</v>
      </c>
      <c r="C69" s="499">
        <v>400</v>
      </c>
      <c r="D69" s="499">
        <f t="shared" si="6"/>
        <v>1</v>
      </c>
      <c r="E69" s="499">
        <f t="shared" si="4"/>
        <v>400</v>
      </c>
      <c r="F69" s="81">
        <v>375465.08000000013</v>
      </c>
      <c r="G69" s="81">
        <v>26810</v>
      </c>
      <c r="H69" s="270">
        <f t="shared" si="5"/>
        <v>10724000</v>
      </c>
    </row>
    <row r="70" spans="2:8" hidden="1" outlineLevel="2">
      <c r="B70" s="501" t="s">
        <v>4401</v>
      </c>
      <c r="C70" s="499">
        <v>300</v>
      </c>
      <c r="D70" s="499">
        <f t="shared" si="6"/>
        <v>1</v>
      </c>
      <c r="E70" s="499">
        <f t="shared" si="4"/>
        <v>300</v>
      </c>
      <c r="F70" s="81">
        <v>93655.409999999989</v>
      </c>
      <c r="G70" s="81">
        <v>35101</v>
      </c>
      <c r="H70" s="270">
        <f t="shared" si="5"/>
        <v>10530300</v>
      </c>
    </row>
    <row r="71" spans="2:8" hidden="1" outlineLevel="2">
      <c r="B71" s="501" t="s">
        <v>4402</v>
      </c>
      <c r="C71" s="499">
        <v>400</v>
      </c>
      <c r="D71" s="499">
        <f t="shared" si="6"/>
        <v>1</v>
      </c>
      <c r="E71" s="499">
        <f t="shared" si="4"/>
        <v>400</v>
      </c>
      <c r="F71" s="81">
        <v>246561.75999999995</v>
      </c>
      <c r="G71" s="81">
        <v>16654</v>
      </c>
      <c r="H71" s="270">
        <f t="shared" si="5"/>
        <v>6661600</v>
      </c>
    </row>
    <row r="72" spans="2:8" hidden="1" outlineLevel="2">
      <c r="B72" s="501" t="s">
        <v>4403</v>
      </c>
      <c r="C72" s="499">
        <v>300</v>
      </c>
      <c r="D72" s="499">
        <f t="shared" si="6"/>
        <v>1</v>
      </c>
      <c r="E72" s="499">
        <f t="shared" si="4"/>
        <v>300</v>
      </c>
      <c r="F72" s="81">
        <v>273682.83999999979</v>
      </c>
      <c r="G72" s="81">
        <v>22108</v>
      </c>
      <c r="H72" s="270">
        <f t="shared" si="5"/>
        <v>6632400</v>
      </c>
    </row>
    <row r="73" spans="2:8" hidden="1" outlineLevel="2">
      <c r="B73" s="501" t="s">
        <v>4404</v>
      </c>
      <c r="C73" s="499">
        <v>300</v>
      </c>
      <c r="D73" s="499">
        <f t="shared" si="6"/>
        <v>4</v>
      </c>
      <c r="E73" s="499">
        <f t="shared" si="4"/>
        <v>1200</v>
      </c>
      <c r="F73" s="81">
        <v>40213.840000000004</v>
      </c>
      <c r="G73" s="81">
        <v>4538</v>
      </c>
      <c r="H73" s="270">
        <f t="shared" si="5"/>
        <v>5445600</v>
      </c>
    </row>
    <row r="74" spans="2:8" hidden="1" outlineLevel="2">
      <c r="B74" s="501" t="s">
        <v>4405</v>
      </c>
      <c r="C74" s="499">
        <v>400</v>
      </c>
      <c r="D74" s="499">
        <f t="shared" si="6"/>
        <v>1</v>
      </c>
      <c r="E74" s="499">
        <f t="shared" si="4"/>
        <v>400</v>
      </c>
      <c r="F74" s="81">
        <v>178717.24999999997</v>
      </c>
      <c r="G74" s="81">
        <v>13094</v>
      </c>
      <c r="H74" s="270">
        <f t="shared" si="5"/>
        <v>5237600</v>
      </c>
    </row>
    <row r="75" spans="2:8" hidden="1" outlineLevel="2">
      <c r="B75" s="501" t="s">
        <v>4406</v>
      </c>
      <c r="C75" s="499">
        <v>200</v>
      </c>
      <c r="D75" s="499">
        <f>--MID(B75, FIND("B/",B75) + 2, FIND(",", B75, FIND("B/",B75)) - FIND("B/", B75) - 2)</f>
        <v>6</v>
      </c>
      <c r="E75" s="499">
        <f t="shared" si="4"/>
        <v>1200</v>
      </c>
      <c r="F75" s="81">
        <v>31193.990000000005</v>
      </c>
      <c r="G75" s="81">
        <v>3904</v>
      </c>
      <c r="H75" s="270">
        <f t="shared" si="5"/>
        <v>4684800</v>
      </c>
    </row>
    <row r="76" spans="2:8" hidden="1" outlineLevel="2">
      <c r="B76" s="501" t="s">
        <v>4407</v>
      </c>
      <c r="C76" s="499">
        <v>400</v>
      </c>
      <c r="D76" s="499">
        <f t="shared" ref="D76:D90" si="7">--MID(B76, FIND("B/",B76) + 2, FIND(".", B76, FIND("B/",B76)) - FIND("B/", B76) - 2)</f>
        <v>1</v>
      </c>
      <c r="E76" s="499">
        <f t="shared" si="4"/>
        <v>400</v>
      </c>
      <c r="F76" s="81">
        <v>123225.26999999995</v>
      </c>
      <c r="G76" s="81">
        <v>11008</v>
      </c>
      <c r="H76" s="270">
        <f t="shared" si="5"/>
        <v>4403200</v>
      </c>
    </row>
    <row r="77" spans="2:8" hidden="1" outlineLevel="2">
      <c r="B77" s="501" t="s">
        <v>4408</v>
      </c>
      <c r="C77" s="499">
        <v>450</v>
      </c>
      <c r="D77" s="499">
        <f t="shared" si="7"/>
        <v>1</v>
      </c>
      <c r="E77" s="499">
        <f t="shared" si="4"/>
        <v>450</v>
      </c>
      <c r="F77" s="81">
        <v>114658.19</v>
      </c>
      <c r="G77" s="81">
        <v>8338</v>
      </c>
      <c r="H77" s="270">
        <f t="shared" si="5"/>
        <v>3752100</v>
      </c>
    </row>
    <row r="78" spans="2:8" hidden="1" outlineLevel="2">
      <c r="B78" s="501" t="s">
        <v>4409</v>
      </c>
      <c r="C78" s="499">
        <v>125</v>
      </c>
      <c r="D78" s="499">
        <f t="shared" si="7"/>
        <v>4</v>
      </c>
      <c r="E78" s="499">
        <f t="shared" si="4"/>
        <v>500</v>
      </c>
      <c r="F78" s="81">
        <v>33827.03</v>
      </c>
      <c r="G78" s="81">
        <v>3869</v>
      </c>
      <c r="H78" s="270">
        <f t="shared" si="5"/>
        <v>1934500</v>
      </c>
    </row>
    <row r="79" spans="2:8" hidden="1" outlineLevel="2">
      <c r="B79" s="501" t="s">
        <v>4410</v>
      </c>
      <c r="C79" s="499">
        <v>300</v>
      </c>
      <c r="D79" s="499">
        <f t="shared" si="7"/>
        <v>4</v>
      </c>
      <c r="E79" s="499">
        <f t="shared" si="4"/>
        <v>1200</v>
      </c>
      <c r="F79" s="81">
        <v>11730.23</v>
      </c>
      <c r="G79" s="81">
        <v>1281</v>
      </c>
      <c r="H79" s="270">
        <f t="shared" si="5"/>
        <v>1537200</v>
      </c>
    </row>
    <row r="80" spans="2:8" hidden="1" outlineLevel="2">
      <c r="B80" s="501" t="s">
        <v>4411</v>
      </c>
      <c r="C80" s="499">
        <v>200</v>
      </c>
      <c r="D80" s="499">
        <f t="shared" si="7"/>
        <v>6</v>
      </c>
      <c r="E80" s="499">
        <f t="shared" si="4"/>
        <v>1200</v>
      </c>
      <c r="F80" s="81">
        <v>11114.619999999999</v>
      </c>
      <c r="G80" s="81">
        <v>1144</v>
      </c>
      <c r="H80" s="270">
        <f t="shared" si="5"/>
        <v>1372800</v>
      </c>
    </row>
    <row r="81" spans="2:8" hidden="1" outlineLevel="2">
      <c r="B81" s="501" t="s">
        <v>4412</v>
      </c>
      <c r="C81" s="499">
        <f>--TRIM(MID(B81, SEARCH("&gt;", B81, SEARCH("&gt;", B81) + 1) + 1, SEARCH("E", B81, SEARCH("&gt;", B81, SEARCH("&gt;", B81) + 1)) - SEARCH("&gt;", B81, SEARCH("&gt;", B81) + 1) - 1))</f>
        <v>125</v>
      </c>
      <c r="D81" s="499">
        <f t="shared" si="7"/>
        <v>4</v>
      </c>
      <c r="E81" s="499">
        <f t="shared" si="4"/>
        <v>500</v>
      </c>
      <c r="F81" s="81">
        <v>14390.93</v>
      </c>
      <c r="G81" s="81">
        <v>2032</v>
      </c>
      <c r="H81" s="270">
        <f t="shared" si="5"/>
        <v>1016000</v>
      </c>
    </row>
    <row r="82" spans="2:8" hidden="1" outlineLevel="2">
      <c r="B82" s="501" t="s">
        <v>4413</v>
      </c>
      <c r="C82" s="499">
        <v>200</v>
      </c>
      <c r="D82" s="499">
        <f t="shared" si="7"/>
        <v>6</v>
      </c>
      <c r="E82" s="499">
        <f t="shared" si="4"/>
        <v>1200</v>
      </c>
      <c r="F82" s="81">
        <v>8398.16</v>
      </c>
      <c r="G82" s="81">
        <v>807</v>
      </c>
      <c r="H82" s="270">
        <f t="shared" si="5"/>
        <v>968400</v>
      </c>
    </row>
    <row r="83" spans="2:8" hidden="1" outlineLevel="2">
      <c r="B83" s="501" t="s">
        <v>4414</v>
      </c>
      <c r="C83" s="499">
        <v>200</v>
      </c>
      <c r="D83" s="499">
        <f t="shared" si="7"/>
        <v>6</v>
      </c>
      <c r="E83" s="499">
        <f t="shared" si="4"/>
        <v>1200</v>
      </c>
      <c r="F83" s="81">
        <v>7910.49</v>
      </c>
      <c r="G83" s="81">
        <v>732</v>
      </c>
      <c r="H83" s="270">
        <f t="shared" si="5"/>
        <v>878400</v>
      </c>
    </row>
    <row r="84" spans="2:8" hidden="1" outlineLevel="2">
      <c r="B84" s="501" t="s">
        <v>4415</v>
      </c>
      <c r="C84" s="499">
        <v>125</v>
      </c>
      <c r="D84" s="499">
        <f t="shared" si="7"/>
        <v>4</v>
      </c>
      <c r="E84" s="499">
        <f t="shared" si="4"/>
        <v>500</v>
      </c>
      <c r="F84" s="81">
        <v>2207.9</v>
      </c>
      <c r="G84" s="81">
        <v>439</v>
      </c>
      <c r="H84" s="270">
        <f t="shared" si="5"/>
        <v>219500</v>
      </c>
    </row>
    <row r="85" spans="2:8" hidden="1" outlineLevel="2">
      <c r="B85" s="501" t="s">
        <v>4416</v>
      </c>
      <c r="C85" s="499">
        <v>200</v>
      </c>
      <c r="D85" s="499">
        <f t="shared" si="7"/>
        <v>4</v>
      </c>
      <c r="E85" s="499">
        <f t="shared" si="4"/>
        <v>800</v>
      </c>
      <c r="F85" s="81">
        <v>1859.47</v>
      </c>
      <c r="G85" s="81">
        <v>254</v>
      </c>
      <c r="H85" s="270">
        <f t="shared" si="5"/>
        <v>203200</v>
      </c>
    </row>
    <row r="86" spans="2:8" hidden="1" outlineLevel="2">
      <c r="B86" s="501" t="s">
        <v>4417</v>
      </c>
      <c r="C86" s="499">
        <v>125</v>
      </c>
      <c r="D86" s="499">
        <f t="shared" si="7"/>
        <v>4</v>
      </c>
      <c r="E86" s="499">
        <f t="shared" si="4"/>
        <v>500</v>
      </c>
      <c r="F86" s="81">
        <v>1582.71</v>
      </c>
      <c r="G86" s="81">
        <v>282</v>
      </c>
      <c r="H86" s="270">
        <f t="shared" si="5"/>
        <v>141000</v>
      </c>
    </row>
    <row r="87" spans="2:8" hidden="1" outlineLevel="2">
      <c r="B87" s="501" t="s">
        <v>4418</v>
      </c>
      <c r="C87" s="499">
        <v>200</v>
      </c>
      <c r="D87" s="499">
        <f t="shared" si="7"/>
        <v>4</v>
      </c>
      <c r="E87" s="499">
        <f t="shared" si="4"/>
        <v>800</v>
      </c>
      <c r="F87" s="81">
        <v>1089.32</v>
      </c>
      <c r="G87" s="81">
        <v>159</v>
      </c>
      <c r="H87" s="270">
        <f t="shared" si="5"/>
        <v>127200</v>
      </c>
    </row>
    <row r="88" spans="2:8" hidden="1" outlineLevel="2">
      <c r="B88" s="501" t="s">
        <v>4419</v>
      </c>
      <c r="C88" s="499">
        <f>--TRIM(MID(B88, SEARCH("&gt;", B88, SEARCH("&gt;", B88) + 1) + 1, SEARCH("E", B88, SEARCH("&gt;", B88, SEARCH("&gt;", B88) + 1)) - SEARCH("&gt;", B88, SEARCH("&gt;", B88) + 1) - 1))</f>
        <v>200</v>
      </c>
      <c r="D88" s="499">
        <f t="shared" si="7"/>
        <v>4</v>
      </c>
      <c r="E88" s="499">
        <f t="shared" si="4"/>
        <v>800</v>
      </c>
      <c r="F88" s="81">
        <v>886.81</v>
      </c>
      <c r="G88" s="81">
        <v>106</v>
      </c>
      <c r="H88" s="270">
        <f t="shared" si="5"/>
        <v>84800</v>
      </c>
    </row>
    <row r="89" spans="2:8" hidden="1" outlineLevel="2">
      <c r="B89" s="501" t="s">
        <v>4420</v>
      </c>
      <c r="C89" s="499">
        <v>200</v>
      </c>
      <c r="D89" s="499">
        <f t="shared" si="7"/>
        <v>3</v>
      </c>
      <c r="E89" s="499">
        <f t="shared" si="4"/>
        <v>600</v>
      </c>
      <c r="F89" s="81">
        <v>624.81999999999994</v>
      </c>
      <c r="G89" s="81">
        <v>123</v>
      </c>
      <c r="H89" s="270">
        <f t="shared" si="5"/>
        <v>73800</v>
      </c>
    </row>
    <row r="90" spans="2:8" hidden="1" outlineLevel="2">
      <c r="B90" s="501" t="s">
        <v>4421</v>
      </c>
      <c r="C90" s="499">
        <v>300</v>
      </c>
      <c r="D90" s="499">
        <f t="shared" si="7"/>
        <v>1</v>
      </c>
      <c r="E90" s="499">
        <f t="shared" si="4"/>
        <v>300</v>
      </c>
      <c r="F90" s="81">
        <v>2214.94</v>
      </c>
      <c r="G90" s="81">
        <v>170</v>
      </c>
      <c r="H90" s="270">
        <f t="shared" si="5"/>
        <v>51000</v>
      </c>
    </row>
    <row r="91" spans="2:8" hidden="1" outlineLevel="2">
      <c r="B91" s="501" t="s">
        <v>4422</v>
      </c>
      <c r="C91" s="499">
        <v>200</v>
      </c>
      <c r="D91" s="499">
        <v>4</v>
      </c>
      <c r="E91" s="499">
        <f t="shared" si="4"/>
        <v>800</v>
      </c>
      <c r="F91" s="81">
        <v>629.45000000000005</v>
      </c>
      <c r="G91" s="81">
        <v>58</v>
      </c>
      <c r="H91" s="270">
        <f t="shared" si="5"/>
        <v>46400</v>
      </c>
    </row>
    <row r="92" spans="2:8" hidden="1" outlineLevel="2">
      <c r="B92" s="501" t="s">
        <v>4423</v>
      </c>
      <c r="C92" s="499">
        <v>200</v>
      </c>
      <c r="D92" s="499">
        <f>--MID(B92, FIND("B/",B92) + 2, FIND(".", B92, FIND("B/",B92)) - FIND("B/", B92) - 2)</f>
        <v>3</v>
      </c>
      <c r="E92" s="499">
        <f>C92*D92</f>
        <v>600</v>
      </c>
      <c r="F92" s="81">
        <v>437.85</v>
      </c>
      <c r="G92" s="81">
        <v>77</v>
      </c>
      <c r="H92" s="270">
        <f>E92*G92</f>
        <v>46200</v>
      </c>
    </row>
    <row r="93" spans="2:8" hidden="1" outlineLevel="2">
      <c r="B93" s="501" t="s">
        <v>4424</v>
      </c>
      <c r="C93" s="499">
        <v>300</v>
      </c>
      <c r="D93" s="499">
        <f>--MID(B93, FIND("B/",B93) + 2, FIND(".", B93, FIND("B/",B93)) - FIND("B/", B93) - 2)</f>
        <v>1</v>
      </c>
      <c r="E93" s="499">
        <f>C93*D93</f>
        <v>300</v>
      </c>
      <c r="F93" s="81">
        <v>605.27</v>
      </c>
      <c r="G93" s="81">
        <v>62</v>
      </c>
      <c r="H93" s="270">
        <f>E93*G93</f>
        <v>18600</v>
      </c>
    </row>
    <row r="94" spans="2:8" hidden="1" outlineLevel="2">
      <c r="B94" s="501" t="s">
        <v>4425</v>
      </c>
      <c r="C94" s="499">
        <f>--TRIM(MID(B94, SEARCH("&gt;", B94, SEARCH("&gt;", B94) + 1) + 1, SEARCH("E", B94, SEARCH("&gt;", B94, SEARCH("&gt;", B94) + 1)) - SEARCH("&gt;", B94, SEARCH("&gt;", B94) + 1) - 1))</f>
        <v>200</v>
      </c>
      <c r="D94" s="499">
        <f>--MID(B94, FIND("B/",B94) + 2, FIND(".", B94, FIND("B/",B94)) - FIND("B/", B94) - 2)</f>
        <v>3</v>
      </c>
      <c r="E94" s="499">
        <f>C94*D94</f>
        <v>600</v>
      </c>
      <c r="F94" s="81">
        <v>202.48</v>
      </c>
      <c r="G94" s="81">
        <v>30</v>
      </c>
      <c r="H94" s="270">
        <f>E94*G94</f>
        <v>18000</v>
      </c>
    </row>
    <row r="95" spans="2:8" hidden="1" outlineLevel="2">
      <c r="B95" s="501" t="s">
        <v>4426</v>
      </c>
      <c r="C95" s="499">
        <v>400</v>
      </c>
      <c r="D95" s="499">
        <f>--MID(B95, FIND("B/",B95) + 2, FIND(".", B95, FIND("B/",B95)) - FIND("B/", B95) - 2)</f>
        <v>1</v>
      </c>
      <c r="E95" s="499">
        <f>C95*D95</f>
        <v>400</v>
      </c>
      <c r="F95" s="81">
        <v>416</v>
      </c>
      <c r="G95" s="81">
        <v>31</v>
      </c>
      <c r="H95" s="270">
        <f>E95*G95</f>
        <v>12400</v>
      </c>
    </row>
    <row r="96" spans="2:8" ht="14.5" hidden="1" outlineLevel="2" thickBot="1">
      <c r="B96" s="502" t="s">
        <v>4427</v>
      </c>
      <c r="C96" s="500">
        <v>400</v>
      </c>
      <c r="D96" s="500">
        <f>--MID(B96, FIND("B/",B96) + 2, FIND(".", B96, FIND("B/",B96)) - FIND("B/", B96) - 2)</f>
        <v>1</v>
      </c>
      <c r="E96" s="500">
        <f>C96*D96</f>
        <v>400</v>
      </c>
      <c r="F96" s="82">
        <v>202.27</v>
      </c>
      <c r="G96" s="82">
        <v>12</v>
      </c>
      <c r="H96" s="309">
        <f>E96*G96</f>
        <v>4800</v>
      </c>
    </row>
    <row r="97" spans="2:7" hidden="1" outlineLevel="1" collapsed="1"/>
    <row r="98" spans="2:7" hidden="1" outlineLevel="1">
      <c r="B98" s="85" t="s">
        <v>4428</v>
      </c>
    </row>
    <row r="99" spans="2:7" hidden="1" outlineLevel="1"/>
    <row r="100" spans="2:7" hidden="1" outlineLevel="1">
      <c r="B100" s="1251" t="s">
        <v>4429</v>
      </c>
    </row>
    <row r="101" spans="2:7" hidden="1" outlineLevel="1"/>
    <row r="102" spans="2:7" collapsed="1"/>
    <row r="103" spans="2:7" ht="23.5">
      <c r="B103" s="2" t="s">
        <v>864</v>
      </c>
    </row>
    <row r="105" spans="2:7" hidden="1" outlineLevel="1">
      <c r="B105" s="1251" t="s">
        <v>4430</v>
      </c>
    </row>
    <row r="106" spans="2:7" ht="14.5" hidden="1" outlineLevel="1" thickBot="1"/>
    <row r="107" spans="2:7" ht="29" hidden="1" outlineLevel="1">
      <c r="B107" s="4" t="s">
        <v>4431</v>
      </c>
      <c r="C107" s="5" t="s">
        <v>4356</v>
      </c>
      <c r="D107" s="5" t="s">
        <v>4432</v>
      </c>
      <c r="E107" s="5" t="s">
        <v>70</v>
      </c>
      <c r="F107" s="5" t="s">
        <v>4433</v>
      </c>
      <c r="G107" s="6" t="s">
        <v>4434</v>
      </c>
    </row>
    <row r="108" spans="2:7" ht="14.5" hidden="1" outlineLevel="1">
      <c r="B108" s="10" t="s">
        <v>4435</v>
      </c>
      <c r="C108" s="1423">
        <f t="shared" ref="C108:C113" si="8">G28</f>
        <v>5960303</v>
      </c>
      <c r="D108" s="1423">
        <f t="shared" ref="D108:D113" si="9">H28/1000</f>
        <v>4768242.4000000004</v>
      </c>
      <c r="E108" s="113" t="s">
        <v>4436</v>
      </c>
      <c r="F108" s="21">
        <v>10</v>
      </c>
      <c r="G108" s="1283" t="s">
        <v>4437</v>
      </c>
    </row>
    <row r="109" spans="2:7" ht="14.5" hidden="1" outlineLevel="1">
      <c r="B109" s="10" t="s">
        <v>4438</v>
      </c>
      <c r="C109" s="1423">
        <f t="shared" si="8"/>
        <v>5786249</v>
      </c>
      <c r="D109" s="1423">
        <f t="shared" si="9"/>
        <v>4628999.2</v>
      </c>
      <c r="E109" s="113" t="s">
        <v>4439</v>
      </c>
      <c r="F109" s="21">
        <v>10</v>
      </c>
      <c r="G109" s="1283" t="s">
        <v>4437</v>
      </c>
    </row>
    <row r="110" spans="2:7" ht="14.5" hidden="1" outlineLevel="1">
      <c r="B110" s="10" t="s">
        <v>4440</v>
      </c>
      <c r="C110" s="1423">
        <f t="shared" si="8"/>
        <v>5187557</v>
      </c>
      <c r="D110" s="1423">
        <f t="shared" si="9"/>
        <v>4150045.6</v>
      </c>
      <c r="E110" s="113" t="s">
        <v>4441</v>
      </c>
      <c r="F110" s="21">
        <v>10</v>
      </c>
      <c r="G110" s="1283" t="s">
        <v>4437</v>
      </c>
    </row>
    <row r="111" spans="2:7" ht="14.5" hidden="1" outlineLevel="1">
      <c r="B111" s="110" t="s">
        <v>4442</v>
      </c>
      <c r="C111" s="1423">
        <f t="shared" si="8"/>
        <v>3612919</v>
      </c>
      <c r="D111" s="1423">
        <f t="shared" si="9"/>
        <v>2890335.2</v>
      </c>
      <c r="E111" s="113" t="s">
        <v>4443</v>
      </c>
      <c r="F111" s="21">
        <v>14.5</v>
      </c>
      <c r="G111" s="1283" t="s">
        <v>4437</v>
      </c>
    </row>
    <row r="112" spans="2:7" ht="14.5" hidden="1" outlineLevel="1">
      <c r="B112" s="10" t="s">
        <v>4444</v>
      </c>
      <c r="C112" s="1423">
        <f t="shared" si="8"/>
        <v>2053472</v>
      </c>
      <c r="D112" s="1423">
        <f t="shared" si="9"/>
        <v>2464166.4</v>
      </c>
      <c r="E112" s="113" t="s">
        <v>4445</v>
      </c>
      <c r="F112" s="21">
        <v>10</v>
      </c>
      <c r="G112" s="1283" t="s">
        <v>4437</v>
      </c>
    </row>
    <row r="113" spans="2:7" ht="15" hidden="1" outlineLevel="1" thickBot="1">
      <c r="B113" s="13" t="s">
        <v>4446</v>
      </c>
      <c r="C113" s="1424">
        <f t="shared" si="8"/>
        <v>2855800</v>
      </c>
      <c r="D113" s="1424">
        <f t="shared" si="9"/>
        <v>2284640</v>
      </c>
      <c r="E113" s="144" t="s">
        <v>4447</v>
      </c>
      <c r="F113" s="22">
        <v>4</v>
      </c>
      <c r="G113" s="1285" t="s">
        <v>4437</v>
      </c>
    </row>
    <row r="114" spans="2:7" hidden="1" outlineLevel="1"/>
    <row r="115" spans="2:7" hidden="1" outlineLevel="1">
      <c r="B115" s="1251" t="s">
        <v>4448</v>
      </c>
    </row>
    <row r="116" spans="2:7" hidden="1" outlineLevel="1"/>
    <row r="117" spans="2:7" ht="14.5" hidden="1" outlineLevel="1" thickBot="1">
      <c r="B117" s="1251" t="s">
        <v>4449</v>
      </c>
    </row>
    <row r="118" spans="2:7" ht="43.5" hidden="1" outlineLevel="1">
      <c r="B118" s="461" t="s">
        <v>4348</v>
      </c>
      <c r="C118" s="510" t="s">
        <v>199</v>
      </c>
      <c r="E118" s="461" t="s">
        <v>4450</v>
      </c>
      <c r="F118" s="511" t="s">
        <v>199</v>
      </c>
      <c r="G118" s="510" t="s">
        <v>4451</v>
      </c>
    </row>
    <row r="119" spans="2:7" ht="14.5" hidden="1" outlineLevel="1">
      <c r="B119" s="464" t="s">
        <v>4452</v>
      </c>
      <c r="C119" s="1301">
        <f>56.8%*2.31</f>
        <v>1.3120799999999999</v>
      </c>
      <c r="E119" s="464" t="s">
        <v>4453</v>
      </c>
      <c r="F119" s="1294">
        <f>2.9%*2.31</f>
        <v>6.6989999999999994E-2</v>
      </c>
      <c r="G119" s="161">
        <f t="shared" ref="G119:G124" si="10">F119/2.31</f>
        <v>2.8999999999999998E-2</v>
      </c>
    </row>
    <row r="120" spans="2:7" ht="14.5" hidden="1" outlineLevel="1">
      <c r="B120" s="464" t="s">
        <v>4351</v>
      </c>
      <c r="C120" s="1301">
        <f>17%*2.31</f>
        <v>0.39270000000000005</v>
      </c>
      <c r="E120" s="464" t="s">
        <v>4454</v>
      </c>
      <c r="F120" s="1294">
        <f>3.1%*2.31</f>
        <v>7.1610000000000007E-2</v>
      </c>
      <c r="G120" s="161">
        <f t="shared" si="10"/>
        <v>3.1000000000000003E-2</v>
      </c>
    </row>
    <row r="121" spans="2:7" ht="14.5" hidden="1" outlineLevel="1">
      <c r="B121" s="464" t="s">
        <v>2880</v>
      </c>
      <c r="C121" s="1301">
        <f>15.9%*2.31</f>
        <v>0.36729000000000001</v>
      </c>
      <c r="E121" s="464" t="s">
        <v>4455</v>
      </c>
      <c r="F121" s="1294">
        <f>51.6%*2.31</f>
        <v>1.1919600000000001</v>
      </c>
      <c r="G121" s="514">
        <f t="shared" si="10"/>
        <v>0.51600000000000001</v>
      </c>
    </row>
    <row r="122" spans="2:7" ht="14.5" hidden="1" outlineLevel="1">
      <c r="B122" s="464" t="s">
        <v>88</v>
      </c>
      <c r="C122" s="1301">
        <f>5.8%*2.31</f>
        <v>0.13397999999999999</v>
      </c>
      <c r="E122" s="464" t="s">
        <v>4456</v>
      </c>
      <c r="F122" s="1294">
        <f>4.3%*2.31</f>
        <v>9.9329999999999988E-2</v>
      </c>
      <c r="G122" s="161">
        <f t="shared" si="10"/>
        <v>4.2999999999999997E-2</v>
      </c>
    </row>
    <row r="123" spans="2:7" ht="14.5" hidden="1" outlineLevel="1">
      <c r="B123" s="464" t="s">
        <v>4457</v>
      </c>
      <c r="C123" s="1301">
        <f>3.4%*2.31</f>
        <v>7.8540000000000013E-2</v>
      </c>
      <c r="E123" s="464" t="s">
        <v>4458</v>
      </c>
      <c r="F123" s="1294">
        <f>37.9%*2.31</f>
        <v>0.87548999999999999</v>
      </c>
      <c r="G123" s="161">
        <f t="shared" si="10"/>
        <v>0.379</v>
      </c>
    </row>
    <row r="124" spans="2:7" ht="15" hidden="1" outlineLevel="1" thickBot="1">
      <c r="B124" s="464" t="s">
        <v>2892</v>
      </c>
      <c r="C124" s="132">
        <f>0.9%*2.31</f>
        <v>2.0790000000000003E-2</v>
      </c>
      <c r="E124" s="465" t="s">
        <v>83</v>
      </c>
      <c r="F124" s="92">
        <f>SUM(F119:F123)</f>
        <v>2.30538</v>
      </c>
      <c r="G124" s="313">
        <f t="shared" si="10"/>
        <v>0.998</v>
      </c>
    </row>
    <row r="125" spans="2:7" ht="15" hidden="1" outlineLevel="1" thickBot="1">
      <c r="B125" s="465" t="s">
        <v>83</v>
      </c>
      <c r="C125" s="209">
        <f>SUM(C119:C124)</f>
        <v>2.30538</v>
      </c>
    </row>
    <row r="126" spans="2:7" hidden="1" outlineLevel="1">
      <c r="C126" s="1251" t="s">
        <v>4459</v>
      </c>
    </row>
    <row r="127" spans="2:7" hidden="1" outlineLevel="1">
      <c r="B127" s="1251" t="s">
        <v>4460</v>
      </c>
      <c r="C127" s="1251"/>
    </row>
    <row r="128" spans="2:7" hidden="1" outlineLevel="1">
      <c r="B128" s="1251" t="s">
        <v>4461</v>
      </c>
      <c r="C128" s="87" t="s">
        <v>4462</v>
      </c>
    </row>
    <row r="129" spans="2:8" hidden="1" outlineLevel="1">
      <c r="B129" s="1251"/>
      <c r="C129" s="1251"/>
    </row>
    <row r="130" spans="2:8" ht="14.5" hidden="1" outlineLevel="1" thickBot="1">
      <c r="B130" s="1251" t="s">
        <v>4463</v>
      </c>
      <c r="C130" s="1251"/>
    </row>
    <row r="131" spans="2:8" ht="43.5" hidden="1" outlineLevel="1">
      <c r="B131" s="461" t="s">
        <v>4348</v>
      </c>
      <c r="C131" s="510" t="s">
        <v>199</v>
      </c>
    </row>
    <row r="132" spans="2:8" ht="14.5" hidden="1" outlineLevel="1">
      <c r="B132" s="464" t="s">
        <v>4349</v>
      </c>
      <c r="C132" s="1301">
        <f>G121*C125*98.5%</f>
        <v>1.1717324387999999</v>
      </c>
    </row>
    <row r="133" spans="2:8" ht="14.5" hidden="1" outlineLevel="1">
      <c r="B133" s="464" t="s">
        <v>4350</v>
      </c>
      <c r="C133" s="1301">
        <f>C119-C132</f>
        <v>0.14034756120000003</v>
      </c>
    </row>
    <row r="134" spans="2:8" ht="14.5" hidden="1" outlineLevel="1">
      <c r="B134" s="464" t="s">
        <v>4351</v>
      </c>
      <c r="C134" s="1301">
        <f t="shared" ref="C134:C139" si="11">C120</f>
        <v>0.39270000000000005</v>
      </c>
    </row>
    <row r="135" spans="2:8" ht="14.5" hidden="1" outlineLevel="1">
      <c r="B135" s="464" t="s">
        <v>2880</v>
      </c>
      <c r="C135" s="1301">
        <f t="shared" si="11"/>
        <v>0.36729000000000001</v>
      </c>
    </row>
    <row r="136" spans="2:8" ht="14.5" hidden="1" outlineLevel="1">
      <c r="B136" s="464" t="s">
        <v>88</v>
      </c>
      <c r="C136" s="1301">
        <f t="shared" si="11"/>
        <v>0.13397999999999999</v>
      </c>
    </row>
    <row r="137" spans="2:8" ht="14.5" hidden="1" outlineLevel="1">
      <c r="B137" s="464" t="s">
        <v>4457</v>
      </c>
      <c r="C137" s="1301">
        <f t="shared" si="11"/>
        <v>7.8540000000000013E-2</v>
      </c>
    </row>
    <row r="138" spans="2:8" ht="14.5" hidden="1" outlineLevel="1">
      <c r="B138" s="464" t="s">
        <v>2892</v>
      </c>
      <c r="C138" s="1301">
        <f t="shared" si="11"/>
        <v>2.0790000000000003E-2</v>
      </c>
    </row>
    <row r="139" spans="2:8" ht="15" hidden="1" outlineLevel="1" thickBot="1">
      <c r="B139" s="465" t="s">
        <v>83</v>
      </c>
      <c r="C139" s="209">
        <f t="shared" si="11"/>
        <v>2.30538</v>
      </c>
    </row>
    <row r="140" spans="2:8" hidden="1" outlineLevel="1"/>
    <row r="141" spans="2:8" hidden="1" outlineLevel="1">
      <c r="B141" s="1251" t="s">
        <v>4464</v>
      </c>
    </row>
    <row r="142" spans="2:8" hidden="1" outlineLevel="1">
      <c r="B142" s="1251" t="s">
        <v>4465</v>
      </c>
    </row>
    <row r="143" spans="2:8" hidden="1" outlineLevel="1"/>
    <row r="144" spans="2:8" ht="14.5" hidden="1" outlineLevel="1" thickBot="1">
      <c r="B144" s="1251" t="s">
        <v>3445</v>
      </c>
      <c r="H144" s="87" t="s">
        <v>4466</v>
      </c>
    </row>
    <row r="145" spans="1:10" ht="43.5" hidden="1" outlineLevel="1">
      <c r="B145" s="461" t="s">
        <v>4348</v>
      </c>
      <c r="C145" s="511" t="s">
        <v>199</v>
      </c>
      <c r="D145" s="511" t="s">
        <v>4467</v>
      </c>
      <c r="E145" s="510" t="s">
        <v>938</v>
      </c>
    </row>
    <row r="146" spans="1:10" ht="14.5" hidden="1" outlineLevel="1">
      <c r="B146" s="464" t="s">
        <v>4349</v>
      </c>
      <c r="C146" s="1298">
        <f>C132</f>
        <v>1.1717324387999999</v>
      </c>
      <c r="D146" s="1298">
        <f t="shared" ref="D146:D151" si="12">C146/C$151</f>
        <v>0.53114500523560193</v>
      </c>
      <c r="E146" s="513">
        <f t="shared" ref="E146:E151" si="13">C146*H$27/10^9</f>
        <v>41.83416228106983</v>
      </c>
      <c r="F146" s="1251" t="s">
        <v>4468</v>
      </c>
    </row>
    <row r="147" spans="1:10" ht="14.5" hidden="1" outlineLevel="1">
      <c r="B147" s="464" t="s">
        <v>4350</v>
      </c>
      <c r="C147" s="1298">
        <f>C133</f>
        <v>0.14034756120000003</v>
      </c>
      <c r="D147" s="1298">
        <f t="shared" si="12"/>
        <v>6.3619392670157066E-2</v>
      </c>
      <c r="E147" s="513">
        <f t="shared" si="13"/>
        <v>5.0108049044081655</v>
      </c>
    </row>
    <row r="148" spans="1:10" ht="14.5" hidden="1" outlineLevel="1">
      <c r="B148" s="464" t="s">
        <v>4351</v>
      </c>
      <c r="C148" s="1298">
        <f>C134</f>
        <v>0.39270000000000005</v>
      </c>
      <c r="D148" s="1298">
        <f t="shared" si="12"/>
        <v>0.17801047120418848</v>
      </c>
      <c r="E148" s="513">
        <f t="shared" si="13"/>
        <v>14.020500742132501</v>
      </c>
    </row>
    <row r="149" spans="1:10" ht="14.5" hidden="1" outlineLevel="1">
      <c r="B149" s="464" t="s">
        <v>2880</v>
      </c>
      <c r="C149" s="1298">
        <f>C135</f>
        <v>0.36729000000000001</v>
      </c>
      <c r="D149" s="1298">
        <f t="shared" si="12"/>
        <v>0.16649214659685863</v>
      </c>
      <c r="E149" s="513">
        <f t="shared" si="13"/>
        <v>13.113291870582751</v>
      </c>
    </row>
    <row r="150" spans="1:10" ht="14.5" hidden="1" outlineLevel="1">
      <c r="B150" s="464" t="s">
        <v>88</v>
      </c>
      <c r="C150" s="1298">
        <f>C136</f>
        <v>0.13397999999999999</v>
      </c>
      <c r="D150" s="1298">
        <f t="shared" si="12"/>
        <v>6.0732984293193702E-2</v>
      </c>
      <c r="E150" s="513">
        <f t="shared" si="13"/>
        <v>4.7834649590804998</v>
      </c>
    </row>
    <row r="151" spans="1:10" ht="15" hidden="1" outlineLevel="1" thickBot="1">
      <c r="B151" s="465" t="s">
        <v>83</v>
      </c>
      <c r="C151" s="170">
        <f>SUM(C146:C150)</f>
        <v>2.2060500000000003</v>
      </c>
      <c r="D151" s="170">
        <f t="shared" si="12"/>
        <v>1</v>
      </c>
      <c r="E151" s="512">
        <f t="shared" si="13"/>
        <v>78.762224757273756</v>
      </c>
    </row>
    <row r="152" spans="1:10" hidden="1" outlineLevel="1"/>
    <row r="153" spans="1:10" collapsed="1"/>
    <row r="154" spans="1:10">
      <c r="B154" s="1251"/>
    </row>
    <row r="155" spans="1:10">
      <c r="B155" s="1251"/>
      <c r="D155" s="1251"/>
    </row>
    <row r="156" spans="1:10">
      <c r="B156" s="1251"/>
      <c r="D156" s="1251"/>
    </row>
    <row r="157" spans="1:10">
      <c r="A157" s="1251"/>
      <c r="I157" s="1251"/>
      <c r="J157" s="87"/>
    </row>
    <row r="158" spans="1:10">
      <c r="I158" s="1251"/>
    </row>
    <row r="159" spans="1:10">
      <c r="A159" s="1251"/>
      <c r="F159" s="1251"/>
      <c r="G159" s="1251"/>
      <c r="I159" s="1251"/>
    </row>
    <row r="160" spans="1:10">
      <c r="E160" s="1251"/>
    </row>
    <row r="161" spans="1:11">
      <c r="E161" s="1251"/>
    </row>
    <row r="162" spans="1:11">
      <c r="E162" s="1251"/>
    </row>
    <row r="163" spans="1:11">
      <c r="E163" s="1251"/>
    </row>
    <row r="164" spans="1:11">
      <c r="E164" s="1251"/>
    </row>
    <row r="165" spans="1:11">
      <c r="I165" s="1251"/>
      <c r="K165" s="1251"/>
    </row>
    <row r="166" spans="1:11">
      <c r="A166" s="1251" t="s">
        <v>4469</v>
      </c>
    </row>
    <row r="168" spans="1:11">
      <c r="B168" s="1251"/>
    </row>
    <row r="169" spans="1:11">
      <c r="B169" s="87"/>
    </row>
  </sheetData>
  <sortState xmlns:xlrd2="http://schemas.microsoft.com/office/spreadsheetml/2017/richdata2" ref="B28:H96">
    <sortCondition descending="1" ref="H28:H96"/>
  </sortState>
  <mergeCells count="1">
    <mergeCell ref="A1:XFD2"/>
  </mergeCells>
  <conditionalFormatting sqref="A1:XFD2">
    <cfRule type="containsBlanks" dxfId="4" priority="1">
      <formula>LEN(TRIM(A1))=0</formula>
    </cfRule>
  </conditionalFormatting>
  <hyperlinks>
    <hyperlink ref="E108" r:id="rId1" display="https://www.vidal.fr/parapharmacie/delical-boisson-hp-hc-lactee-nutriment-nature-76114.html" xr:uid="{322BD302-64C6-40C8-B54D-0C13F413F179}"/>
    <hyperlink ref="E109" r:id="rId2" display="https://www.vidal.fr/parapharmacie/clinutren-boisson-sans-sucre-nutriment-cappuccino-245778.html" xr:uid="{A3AA7286-365D-4250-8CE6-6265418D870D}"/>
    <hyperlink ref="E110" r:id="rId3" display="https://www.vidal.fr/parapharmacie/fresubin-2kcal-drink-nutriment-cappuccino-94657.html" xr:uid="{A954D348-9C0F-4AB4-A423-DBD81A26E4FE}"/>
    <hyperlink ref="E113" r:id="rId4" display="https://www.vidal.fr/parapharmacie/clinutren-fruit-nutriment-pomme-83045.html" xr:uid="{B95C66B5-0AFC-48FC-993F-3FD1D4FA42A0}"/>
    <hyperlink ref="E111" r:id="rId5" display="https://www.vidal.fr/parapharmacie/fortimel-protein-nutriment-banane-131184.html" xr:uid="{B621E6DA-5EC2-4220-BF0C-D81AC99A6DB0}"/>
    <hyperlink ref="E112" r:id="rId6" display="https://www.vidal.fr/parapharmacie/clinutren-renutryl-booster-nutriment-vanille-95505.html" xr:uid="{35A4D6EA-A4AA-4AE4-8A36-A401EBA6DB68}"/>
    <hyperlink ref="C128" r:id="rId7" location="Lait_en_poudre,_%C3%A9cr%C3%A9m%C3%A9" display="https://agribalyse.ademe.fr/app/aliments/19054 - Lait_en_poudre,_%C3%A9cr%C3%A9m%C3%A9" xr:uid="{B7AAB46E-9663-4E62-B4C5-CC087848953E}"/>
    <hyperlink ref="H144" r:id="rId8" display="https://www.nutricia.fr/wp-content/uploads/2022/06/nutricia-fr_book-rse_rapport-d-impact-sn-france-2021.pdf" xr:uid="{EA9D7405-6E42-46FA-8736-6D8C99CFA190}"/>
  </hyperlinks>
  <pageMargins left="0.7" right="0.7" top="0.75" bottom="0.75" header="0.3" footer="0.3"/>
  <pageSetup paperSize="9" orientation="portrait" r:id="rId9"/>
  <drawing r:id="rId10"/>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97F2DD-FEEF-43F5-91EA-F5612ACF7399}">
  <sheetPr>
    <tabColor theme="3"/>
  </sheetPr>
  <dimension ref="A1:Q56"/>
  <sheetViews>
    <sheetView zoomScale="60" zoomScaleNormal="60" workbookViewId="0">
      <selection sqref="A1:XFD2"/>
    </sheetView>
  </sheetViews>
  <sheetFormatPr baseColWidth="10" defaultColWidth="11" defaultRowHeight="14" outlineLevelRow="1"/>
  <cols>
    <col min="2" max="2" width="27.33203125" customWidth="1"/>
    <col min="3" max="3" width="11.83203125" customWidth="1"/>
    <col min="4" max="4" width="15.5" customWidth="1"/>
    <col min="5" max="5" width="14.83203125" customWidth="1"/>
    <col min="7" max="7" width="13.5" bestFit="1" customWidth="1"/>
    <col min="9" max="9" width="11.83203125" bestFit="1" customWidth="1"/>
    <col min="12" max="12" width="12" bestFit="1" customWidth="1"/>
    <col min="13" max="13" width="13.5" customWidth="1"/>
    <col min="14" max="14" width="15.6640625" customWidth="1"/>
  </cols>
  <sheetData>
    <row r="1" spans="1:17" s="1505" customFormat="1">
      <c r="A1" s="1505" t="s">
        <v>4470</v>
      </c>
    </row>
    <row r="2" spans="1:17" s="1505" customFormat="1"/>
    <row r="4" spans="1:17">
      <c r="B4" s="1251" t="s">
        <v>60</v>
      </c>
      <c r="C4" s="89"/>
    </row>
    <row r="5" spans="1:17">
      <c r="C5" s="89"/>
    </row>
    <row r="6" spans="1:17" ht="23.5">
      <c r="B6" s="2" t="s">
        <v>4471</v>
      </c>
    </row>
    <row r="8" spans="1:17" hidden="1" outlineLevel="1">
      <c r="B8" s="1251" t="s">
        <v>4472</v>
      </c>
    </row>
    <row r="9" spans="1:17" ht="14.5" hidden="1" outlineLevel="1" thickBot="1"/>
    <row r="10" spans="1:17" ht="43.5" hidden="1" outlineLevel="1">
      <c r="B10" s="1553" t="s">
        <v>523</v>
      </c>
      <c r="C10" s="1554"/>
      <c r="D10" s="158" t="s">
        <v>165</v>
      </c>
      <c r="E10" s="158" t="s">
        <v>175</v>
      </c>
      <c r="F10" s="158" t="s">
        <v>163</v>
      </c>
      <c r="G10" s="158" t="s">
        <v>169</v>
      </c>
      <c r="H10" s="158" t="s">
        <v>161</v>
      </c>
      <c r="I10" s="158" t="s">
        <v>153</v>
      </c>
      <c r="J10" s="158" t="s">
        <v>171</v>
      </c>
      <c r="K10" s="158" t="s">
        <v>527</v>
      </c>
      <c r="L10" s="158" t="s">
        <v>167</v>
      </c>
      <c r="M10" s="158" t="s">
        <v>173</v>
      </c>
      <c r="N10" s="158" t="s">
        <v>159</v>
      </c>
      <c r="O10" s="158" t="s">
        <v>154</v>
      </c>
      <c r="P10" s="178" t="s">
        <v>157</v>
      </c>
      <c r="Q10" s="300" t="s">
        <v>186</v>
      </c>
    </row>
    <row r="11" spans="1:17" s="1" customFormat="1" ht="42.5" hidden="1" outlineLevel="1">
      <c r="B11" s="1661" t="s">
        <v>4473</v>
      </c>
      <c r="C11" s="149" t="s">
        <v>4474</v>
      </c>
      <c r="D11" s="1321" t="s">
        <v>4475</v>
      </c>
      <c r="E11" s="1321" t="s">
        <v>4476</v>
      </c>
      <c r="F11" s="1321" t="s">
        <v>4477</v>
      </c>
      <c r="G11" s="1321" t="s">
        <v>4478</v>
      </c>
      <c r="H11" s="1321" t="s">
        <v>4479</v>
      </c>
      <c r="I11" s="1321" t="s">
        <v>4480</v>
      </c>
      <c r="J11" s="1321" t="s">
        <v>4481</v>
      </c>
      <c r="K11" s="36"/>
      <c r="L11" s="1321" t="s">
        <v>4482</v>
      </c>
      <c r="M11" s="1321" t="s">
        <v>4483</v>
      </c>
      <c r="N11" s="1321" t="s">
        <v>4484</v>
      </c>
      <c r="O11" s="36"/>
      <c r="P11" s="1465" t="s">
        <v>4485</v>
      </c>
      <c r="Q11" s="1466" t="s">
        <v>4486</v>
      </c>
    </row>
    <row r="12" spans="1:17" ht="73" hidden="1" outlineLevel="1" thickBot="1">
      <c r="B12" s="1661"/>
      <c r="C12" s="149" t="s">
        <v>4487</v>
      </c>
      <c r="D12" s="36">
        <v>1000</v>
      </c>
      <c r="E12" s="36">
        <v>1000</v>
      </c>
      <c r="F12" s="36">
        <v>1000</v>
      </c>
      <c r="G12" s="36">
        <v>1000</v>
      </c>
      <c r="H12" s="36">
        <v>1000</v>
      </c>
      <c r="I12" s="36">
        <v>1000</v>
      </c>
      <c r="J12" s="36">
        <v>1000</v>
      </c>
      <c r="K12" s="36">
        <v>1000</v>
      </c>
      <c r="L12" s="36">
        <v>1000</v>
      </c>
      <c r="M12" s="36">
        <v>1000</v>
      </c>
      <c r="N12" s="36">
        <v>1000</v>
      </c>
      <c r="O12" s="36">
        <v>1000</v>
      </c>
      <c r="P12" s="299">
        <v>1600</v>
      </c>
      <c r="Q12" s="301">
        <v>500</v>
      </c>
    </row>
    <row r="13" spans="1:17" ht="43.5" hidden="1" outlineLevel="1">
      <c r="B13" s="1661"/>
      <c r="C13" s="149" t="s">
        <v>4488</v>
      </c>
      <c r="D13" s="36">
        <v>3000</v>
      </c>
      <c r="E13" s="36">
        <v>7390</v>
      </c>
      <c r="F13" s="36">
        <v>9320</v>
      </c>
      <c r="G13" s="36">
        <v>5665</v>
      </c>
      <c r="H13" s="36">
        <v>17270</v>
      </c>
      <c r="I13" s="1307">
        <v>18801.79</v>
      </c>
      <c r="J13" s="36">
        <v>11610</v>
      </c>
      <c r="K13" s="163">
        <f>AVERAGE(I13,D13)</f>
        <v>10900.895</v>
      </c>
      <c r="L13" s="36">
        <v>20240</v>
      </c>
      <c r="M13" s="36">
        <v>21140</v>
      </c>
      <c r="N13" s="36">
        <v>9160</v>
      </c>
      <c r="O13" s="36"/>
      <c r="P13" s="66"/>
    </row>
    <row r="14" spans="1:17" s="1" customFormat="1" ht="29" hidden="1" outlineLevel="1">
      <c r="B14" s="1661" t="s">
        <v>4489</v>
      </c>
      <c r="C14" s="149" t="s">
        <v>4474</v>
      </c>
      <c r="D14" s="1321" t="s">
        <v>4490</v>
      </c>
      <c r="E14" s="1321" t="s">
        <v>4491</v>
      </c>
      <c r="F14" s="1321" t="s">
        <v>4492</v>
      </c>
      <c r="G14" s="1321" t="s">
        <v>4493</v>
      </c>
      <c r="H14" s="1321" t="s">
        <v>4494</v>
      </c>
      <c r="I14" s="1321" t="s">
        <v>4495</v>
      </c>
      <c r="J14" s="1321" t="s">
        <v>4496</v>
      </c>
      <c r="K14" s="36"/>
      <c r="L14" s="1321" t="s">
        <v>4497</v>
      </c>
      <c r="M14" s="1321" t="s">
        <v>4498</v>
      </c>
      <c r="N14" s="1321" t="s">
        <v>4499</v>
      </c>
      <c r="O14" s="1321" t="s">
        <v>4500</v>
      </c>
      <c r="P14" s="1457" t="s">
        <v>4485</v>
      </c>
    </row>
    <row r="15" spans="1:17" ht="43.5" hidden="1" outlineLevel="1">
      <c r="B15" s="1661"/>
      <c r="C15" s="149" t="s">
        <v>4501</v>
      </c>
      <c r="D15" s="21">
        <v>1000</v>
      </c>
      <c r="E15" s="21">
        <v>1000</v>
      </c>
      <c r="F15" s="21">
        <v>1000</v>
      </c>
      <c r="G15" s="21">
        <v>1000</v>
      </c>
      <c r="H15" s="21">
        <v>1000</v>
      </c>
      <c r="I15" s="21">
        <v>1000</v>
      </c>
      <c r="J15" s="21">
        <v>1000</v>
      </c>
      <c r="K15" s="21">
        <v>1000</v>
      </c>
      <c r="L15" s="21">
        <v>1000</v>
      </c>
      <c r="M15" s="21">
        <v>1000</v>
      </c>
      <c r="N15" s="21">
        <v>1000</v>
      </c>
      <c r="O15" s="21">
        <v>1000</v>
      </c>
      <c r="P15" s="17">
        <v>1000</v>
      </c>
    </row>
    <row r="16" spans="1:17" ht="44" hidden="1" outlineLevel="1" thickBot="1">
      <c r="B16" s="1662"/>
      <c r="C16" s="160" t="s">
        <v>4502</v>
      </c>
      <c r="D16" s="22">
        <v>1440</v>
      </c>
      <c r="E16" s="22">
        <v>4780</v>
      </c>
      <c r="F16" s="22">
        <v>9400</v>
      </c>
      <c r="G16" s="22">
        <v>2600</v>
      </c>
      <c r="H16" s="22">
        <v>10700</v>
      </c>
      <c r="I16" s="22">
        <v>9500</v>
      </c>
      <c r="J16" s="22">
        <v>6580</v>
      </c>
      <c r="K16" s="22">
        <f>AVERAGE(O16,I16)</f>
        <v>4950</v>
      </c>
      <c r="L16" s="22">
        <v>9700</v>
      </c>
      <c r="M16" s="22">
        <v>16950</v>
      </c>
      <c r="N16" s="22">
        <v>7760</v>
      </c>
      <c r="O16" s="22">
        <v>400</v>
      </c>
      <c r="P16" s="38">
        <v>1360</v>
      </c>
    </row>
    <row r="17" spans="2:14" hidden="1" outlineLevel="1">
      <c r="G17" s="50"/>
      <c r="H17" s="50"/>
      <c r="I17" s="50"/>
      <c r="J17" s="50"/>
      <c r="K17" s="50"/>
      <c r="L17" s="50"/>
      <c r="M17" s="50"/>
      <c r="N17" s="50"/>
    </row>
    <row r="18" spans="2:14" hidden="1" outlineLevel="1">
      <c r="B18" s="1251" t="s">
        <v>4503</v>
      </c>
      <c r="H18" s="39"/>
    </row>
    <row r="19" spans="2:14" hidden="1" outlineLevel="1"/>
    <row r="20" spans="2:14" collapsed="1"/>
    <row r="21" spans="2:14" ht="23.5">
      <c r="B21" s="2" t="s">
        <v>4504</v>
      </c>
      <c r="I21" s="103"/>
      <c r="L21" s="103"/>
    </row>
    <row r="22" spans="2:14">
      <c r="L22" s="103"/>
    </row>
    <row r="23" spans="2:14" ht="14.5" hidden="1" outlineLevel="1" thickBot="1">
      <c r="B23" s="1251" t="s">
        <v>4505</v>
      </c>
      <c r="L23" s="103"/>
    </row>
    <row r="24" spans="2:14" ht="29" hidden="1" outlineLevel="1">
      <c r="B24" s="169"/>
      <c r="C24" s="158"/>
      <c r="D24" s="158" t="s">
        <v>73</v>
      </c>
      <c r="E24" s="158" t="s">
        <v>301</v>
      </c>
      <c r="F24" s="159" t="s">
        <v>70</v>
      </c>
    </row>
    <row r="25" spans="2:14" ht="29" hidden="1" outlineLevel="1">
      <c r="B25" s="1661" t="s">
        <v>4506</v>
      </c>
      <c r="C25" s="149" t="s">
        <v>4507</v>
      </c>
      <c r="D25" s="168">
        <v>1.31</v>
      </c>
      <c r="E25" s="1266" t="s">
        <v>4508</v>
      </c>
      <c r="F25" s="1457" t="s">
        <v>449</v>
      </c>
      <c r="H25" s="815"/>
    </row>
    <row r="26" spans="2:14" ht="28.5" hidden="1" outlineLevel="1">
      <c r="B26" s="1661"/>
      <c r="C26" s="149" t="s">
        <v>4509</v>
      </c>
      <c r="D26" s="168">
        <v>1.2</v>
      </c>
      <c r="E26" s="21" t="s">
        <v>4508</v>
      </c>
      <c r="F26" s="1457" t="s">
        <v>449</v>
      </c>
    </row>
    <row r="27" spans="2:14" ht="28.5" hidden="1" outlineLevel="1">
      <c r="B27" s="1661"/>
      <c r="C27" s="149" t="s">
        <v>4510</v>
      </c>
      <c r="D27" s="168">
        <v>1.63</v>
      </c>
      <c r="E27" s="21" t="s">
        <v>4508</v>
      </c>
      <c r="F27" s="1457" t="s">
        <v>449</v>
      </c>
      <c r="H27" s="815"/>
    </row>
    <row r="28" spans="2:14" ht="43.5" hidden="1" outlineLevel="1">
      <c r="B28" s="961" t="s">
        <v>4511</v>
      </c>
      <c r="C28" s="149" t="s">
        <v>4512</v>
      </c>
      <c r="D28" s="168">
        <v>4.53E-2</v>
      </c>
      <c r="E28" s="21" t="s">
        <v>4508</v>
      </c>
      <c r="F28" s="1457" t="s">
        <v>449</v>
      </c>
    </row>
    <row r="29" spans="2:14" ht="44" hidden="1" customHeight="1" outlineLevel="1">
      <c r="B29" s="1661" t="s">
        <v>4513</v>
      </c>
      <c r="C29" s="149" t="s">
        <v>4514</v>
      </c>
      <c r="D29" s="171">
        <v>0.20300000000000001</v>
      </c>
      <c r="E29" s="21" t="s">
        <v>4508</v>
      </c>
      <c r="F29" s="1457" t="s">
        <v>449</v>
      </c>
    </row>
    <row r="30" spans="2:14" ht="29" hidden="1" outlineLevel="1" thickBot="1">
      <c r="B30" s="1662"/>
      <c r="C30" s="160" t="s">
        <v>426</v>
      </c>
      <c r="D30" s="172">
        <v>0.155</v>
      </c>
      <c r="E30" s="22" t="s">
        <v>4508</v>
      </c>
      <c r="F30" s="1467" t="s">
        <v>449</v>
      </c>
    </row>
    <row r="31" spans="2:14" hidden="1" outlineLevel="1">
      <c r="B31" s="148"/>
    </row>
    <row r="32" spans="2:14" collapsed="1">
      <c r="B32" s="164"/>
    </row>
    <row r="33" spans="2:11" ht="23.5">
      <c r="B33" s="2" t="s">
        <v>4515</v>
      </c>
    </row>
    <row r="34" spans="2:11">
      <c r="B34" s="165"/>
    </row>
    <row r="35" spans="2:11" hidden="1" outlineLevel="1">
      <c r="B35" s="1251" t="s">
        <v>4516</v>
      </c>
    </row>
    <row r="36" spans="2:11" hidden="1" outlineLevel="1">
      <c r="B36" s="87" t="s">
        <v>4517</v>
      </c>
    </row>
    <row r="37" spans="2:11" ht="14.5" hidden="1" outlineLevel="1" thickBot="1">
      <c r="B37" s="148"/>
    </row>
    <row r="38" spans="2:11" ht="29" hidden="1" outlineLevel="1">
      <c r="B38" s="169"/>
      <c r="C38" s="158" t="s">
        <v>2584</v>
      </c>
      <c r="D38" s="159" t="s">
        <v>301</v>
      </c>
    </row>
    <row r="39" spans="2:11" ht="14.5" hidden="1" outlineLevel="1">
      <c r="B39" s="10" t="s">
        <v>4518</v>
      </c>
      <c r="C39" s="94">
        <v>0.01</v>
      </c>
      <c r="D39" s="1283" t="s">
        <v>659</v>
      </c>
    </row>
    <row r="40" spans="2:11" ht="14.5" hidden="1" outlineLevel="1">
      <c r="B40" s="10" t="s">
        <v>4519</v>
      </c>
      <c r="C40" s="94">
        <v>7.4999999999999997E-2</v>
      </c>
      <c r="D40" s="17" t="s">
        <v>659</v>
      </c>
    </row>
    <row r="41" spans="2:11" ht="14.5" hidden="1" outlineLevel="1">
      <c r="B41" s="10" t="s">
        <v>4520</v>
      </c>
      <c r="C41" s="94">
        <v>0.17</v>
      </c>
      <c r="D41" s="1283" t="s">
        <v>659</v>
      </c>
    </row>
    <row r="42" spans="2:11" ht="15" hidden="1" outlineLevel="1" thickBot="1">
      <c r="B42" s="13" t="s">
        <v>83</v>
      </c>
      <c r="C42" s="99">
        <f>SUM(C39:C41)</f>
        <v>0.255</v>
      </c>
      <c r="D42" s="1285" t="s">
        <v>659</v>
      </c>
    </row>
    <row r="43" spans="2:11" hidden="1" outlineLevel="1"/>
    <row r="44" spans="2:11" hidden="1" outlineLevel="1">
      <c r="B44" s="1251" t="s">
        <v>4521</v>
      </c>
      <c r="K44" s="516"/>
    </row>
    <row r="45" spans="2:11" collapsed="1"/>
    <row r="46" spans="2:11" ht="23.5">
      <c r="B46" s="2" t="s">
        <v>4522</v>
      </c>
    </row>
    <row r="47" spans="2:11">
      <c r="J47" s="713"/>
      <c r="K47" s="1251"/>
    </row>
    <row r="48" spans="2:11" hidden="1" outlineLevel="1">
      <c r="B48" s="1251" t="s">
        <v>4523</v>
      </c>
      <c r="J48" s="713"/>
      <c r="K48" s="1251"/>
    </row>
    <row r="49" spans="2:5" ht="14.5" hidden="1" outlineLevel="1" thickBot="1"/>
    <row r="50" spans="2:5" ht="43.5" hidden="1" outlineLevel="1">
      <c r="B50" s="169"/>
      <c r="C50" s="158" t="s">
        <v>4524</v>
      </c>
      <c r="D50" s="158" t="s">
        <v>4525</v>
      </c>
      <c r="E50" s="159" t="s">
        <v>70</v>
      </c>
    </row>
    <row r="51" spans="2:5" ht="14.5" hidden="1" outlineLevel="1">
      <c r="B51" s="10" t="s">
        <v>4526</v>
      </c>
      <c r="C51" s="11">
        <v>130</v>
      </c>
      <c r="D51" s="1294">
        <f>D30</f>
        <v>0.155</v>
      </c>
      <c r="E51" s="1283" t="s">
        <v>4527</v>
      </c>
    </row>
    <row r="52" spans="2:5" ht="14.5" hidden="1" outlineLevel="1">
      <c r="B52" s="10" t="s">
        <v>4528</v>
      </c>
      <c r="C52" s="11">
        <v>240</v>
      </c>
      <c r="D52" s="94">
        <v>2.2599999999999999E-2</v>
      </c>
      <c r="E52" s="1283" t="s">
        <v>4529</v>
      </c>
    </row>
    <row r="53" spans="2:5" ht="15" hidden="1" outlineLevel="1" thickBot="1">
      <c r="B53" s="13" t="s">
        <v>4530</v>
      </c>
      <c r="C53" s="14">
        <v>270</v>
      </c>
      <c r="D53" s="1296">
        <v>6.6199999999999995E-2</v>
      </c>
      <c r="E53" s="1285" t="s">
        <v>4531</v>
      </c>
    </row>
    <row r="54" spans="2:5" ht="15" hidden="1" outlineLevel="1" thickBot="1">
      <c r="B54" s="20" t="s">
        <v>4532</v>
      </c>
      <c r="C54" s="966">
        <f>SUMPRODUCT(C51:C53,D51:D53)/1000</f>
        <v>4.3447999999999994E-2</v>
      </c>
    </row>
    <row r="55" spans="2:5" hidden="1" outlineLevel="1"/>
    <row r="56" spans="2:5" collapsed="1"/>
  </sheetData>
  <mergeCells count="6">
    <mergeCell ref="B29:B30"/>
    <mergeCell ref="A1:XFD2"/>
    <mergeCell ref="B11:B13"/>
    <mergeCell ref="B14:B16"/>
    <mergeCell ref="B10:C10"/>
    <mergeCell ref="B25:B27"/>
  </mergeCells>
  <conditionalFormatting sqref="A1:XFD2">
    <cfRule type="containsBlanks" dxfId="3" priority="1">
      <formula>LEN(TRIM(A1))=0</formula>
    </cfRule>
  </conditionalFormatting>
  <hyperlinks>
    <hyperlink ref="B36" r:id="rId1" display="https://librairie.ademe.fr/ged/7873/commerce-ligne-impacts-environnementaux-logistique-transports-deplacements-rapport.pdf" xr:uid="{6EB452B6-77C1-4513-863B-1635E34833D0}"/>
  </hyperlinks>
  <pageMargins left="0.7" right="0.7" top="0.75" bottom="0.75" header="0.3" footer="0.3"/>
  <pageSetup paperSize="9" orientation="portrait" r:id="rId2"/>
  <drawing r:id="rId3"/>
  <legacyDrawing r:id="rId4"/>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613AB2-70F5-4BA3-B627-8AD63D7DF85E}">
  <sheetPr>
    <tabColor theme="4"/>
  </sheetPr>
  <dimension ref="A1:S341"/>
  <sheetViews>
    <sheetView zoomScale="60" zoomScaleNormal="60" workbookViewId="0">
      <selection sqref="A1:XFD2"/>
    </sheetView>
  </sheetViews>
  <sheetFormatPr baseColWidth="10" defaultColWidth="11" defaultRowHeight="14" outlineLevelRow="1"/>
  <cols>
    <col min="2" max="2" width="19.33203125" customWidth="1"/>
    <col min="3" max="3" width="13.33203125" customWidth="1"/>
    <col min="4" max="4" width="15.5" customWidth="1"/>
    <col min="5" max="5" width="32" customWidth="1"/>
    <col min="7" max="7" width="15.83203125" bestFit="1" customWidth="1"/>
    <col min="9" max="9" width="14.5" bestFit="1" customWidth="1"/>
    <col min="10" max="10" width="19.5" customWidth="1"/>
    <col min="11" max="11" width="12" bestFit="1" customWidth="1"/>
    <col min="12" max="12" width="13.33203125" bestFit="1" customWidth="1"/>
    <col min="14" max="14" width="13.6640625" customWidth="1"/>
    <col min="15" max="15" width="14.5" bestFit="1" customWidth="1"/>
    <col min="16" max="16" width="15.5" bestFit="1" customWidth="1"/>
  </cols>
  <sheetData>
    <row r="1" spans="1:19" s="1505" customFormat="1">
      <c r="A1" s="1505" t="s">
        <v>4533</v>
      </c>
    </row>
    <row r="2" spans="1:19" s="1505" customFormat="1"/>
    <row r="5" spans="1:19">
      <c r="B5" s="1251" t="s">
        <v>62</v>
      </c>
    </row>
    <row r="6" spans="1:19">
      <c r="B6" s="1251"/>
    </row>
    <row r="8" spans="1:19" ht="23.5">
      <c r="B8" s="2" t="s">
        <v>180</v>
      </c>
    </row>
    <row r="10" spans="1:19" ht="14.5" hidden="1" outlineLevel="1" thickBot="1">
      <c r="B10" s="1251"/>
      <c r="P10" s="1251"/>
      <c r="Q10" s="87"/>
    </row>
    <row r="11" spans="1:19" ht="43.5" hidden="1" outlineLevel="1">
      <c r="B11" s="250" t="s">
        <v>4534</v>
      </c>
      <c r="C11" s="251" t="s">
        <v>194</v>
      </c>
      <c r="D11" s="251" t="s">
        <v>4535</v>
      </c>
      <c r="E11" s="251" t="s">
        <v>4339</v>
      </c>
      <c r="F11" s="251" t="s">
        <v>2125</v>
      </c>
      <c r="G11" s="252" t="s">
        <v>4536</v>
      </c>
      <c r="Q11" s="1251"/>
    </row>
    <row r="12" spans="1:19" ht="14.5" hidden="1" outlineLevel="1">
      <c r="B12" s="253" t="s">
        <v>4537</v>
      </c>
      <c r="C12" s="1122">
        <f>C150</f>
        <v>0.10901159929799048</v>
      </c>
      <c r="D12" s="1122">
        <f>C211</f>
        <v>1.1201944199521674E-2</v>
      </c>
      <c r="E12" s="1122">
        <f>C245</f>
        <v>6.8515342791929095E-3</v>
      </c>
      <c r="F12" s="1122">
        <f>C280</f>
        <v>2.1821921443736729E-2</v>
      </c>
      <c r="G12" s="1123">
        <f>C$300</f>
        <v>8.5067926911841396E-2</v>
      </c>
      <c r="H12" s="39"/>
    </row>
    <row r="13" spans="1:19" ht="14.5" hidden="1" outlineLevel="1">
      <c r="B13" s="253" t="s">
        <v>4538</v>
      </c>
      <c r="C13" s="1122">
        <f>C99</f>
        <v>9.6207402777355663E-3</v>
      </c>
      <c r="D13" s="1468"/>
      <c r="E13" s="1468">
        <f>C244</f>
        <v>3.1435975346579504E-3</v>
      </c>
      <c r="F13" s="1122">
        <f>C279</f>
        <v>1.0485222257295531E-2</v>
      </c>
      <c r="G13" s="1123">
        <f t="shared" ref="G13:G15" si="0">C$300</f>
        <v>8.5067926911841396E-2</v>
      </c>
      <c r="H13" s="39"/>
    </row>
    <row r="14" spans="1:19" ht="14.5" hidden="1" outlineLevel="1">
      <c r="B14" s="253" t="s">
        <v>4539</v>
      </c>
      <c r="C14" s="1122">
        <f>C69</f>
        <v>2.8614312041661136E-2</v>
      </c>
      <c r="D14" s="1468">
        <f>C195</f>
        <v>4.2769595911173339E-2</v>
      </c>
      <c r="E14" s="1468">
        <f>C243</f>
        <v>1.4892503988396268E-3</v>
      </c>
      <c r="F14" s="1122">
        <f>C278</f>
        <v>3.5693095008529256E-3</v>
      </c>
      <c r="G14" s="1123">
        <f t="shared" si="0"/>
        <v>8.5067926911841396E-2</v>
      </c>
      <c r="H14" s="39"/>
      <c r="Q14" s="1251"/>
      <c r="S14" s="1251"/>
    </row>
    <row r="15" spans="1:19" ht="15" hidden="1" outlineLevel="1" thickBot="1">
      <c r="B15" s="254" t="s">
        <v>4540</v>
      </c>
      <c r="C15" s="1126">
        <f>C172</f>
        <v>0.15439359404103126</v>
      </c>
      <c r="D15" s="1126"/>
      <c r="E15" s="1126">
        <f>C246</f>
        <v>3.1435975346579504E-3</v>
      </c>
      <c r="F15" s="1126">
        <f>C281</f>
        <v>1.0485222257295531E-2</v>
      </c>
      <c r="G15" s="1127">
        <f t="shared" si="0"/>
        <v>8.5067926911841396E-2</v>
      </c>
      <c r="H15" s="39"/>
    </row>
    <row r="16" spans="1:19" hidden="1" outlineLevel="1">
      <c r="G16" s="1251" t="s">
        <v>4541</v>
      </c>
    </row>
    <row r="17" spans="2:4" hidden="1" outlineLevel="1">
      <c r="B17" s="1251" t="s">
        <v>4542</v>
      </c>
    </row>
    <row r="18" spans="2:4" hidden="1" outlineLevel="1">
      <c r="B18" s="87" t="s">
        <v>4543</v>
      </c>
    </row>
    <row r="19" spans="2:4" hidden="1" outlineLevel="1"/>
    <row r="20" spans="2:4" hidden="1" outlineLevel="1"/>
    <row r="21" spans="2:4" hidden="1" outlineLevel="1"/>
    <row r="22" spans="2:4" hidden="1" outlineLevel="1"/>
    <row r="23" spans="2:4" hidden="1" outlineLevel="1"/>
    <row r="24" spans="2:4" hidden="1" outlineLevel="1"/>
    <row r="25" spans="2:4" ht="14.5" hidden="1" outlineLevel="1" thickBot="1">
      <c r="B25" s="1251" t="s">
        <v>4544</v>
      </c>
    </row>
    <row r="26" spans="2:4" ht="15" hidden="1" outlineLevel="1" thickBot="1">
      <c r="B26" s="457" t="s">
        <v>4545</v>
      </c>
      <c r="C26" s="492">
        <f>55%*SUM(C12:G12)+35%*SUM(C13:G13)+10%*SUM(C14:G14)</f>
        <v>0.18273736929272824</v>
      </c>
      <c r="D26" s="35" t="s">
        <v>659</v>
      </c>
    </row>
    <row r="27" spans="2:4" ht="29.5" hidden="1" outlineLevel="1" thickBot="1">
      <c r="B27" s="1008" t="s">
        <v>4546</v>
      </c>
      <c r="C27" s="1009">
        <f>(55%*G12+35%*G13+10%*G14)/C26</f>
        <v>0.46552014643250395</v>
      </c>
    </row>
    <row r="28" spans="2:4" collapsed="1"/>
    <row r="29" spans="2:4" ht="23.5">
      <c r="B29" s="2" t="s">
        <v>4547</v>
      </c>
    </row>
    <row r="31" spans="2:4">
      <c r="B31" s="1251" t="s">
        <v>4548</v>
      </c>
    </row>
    <row r="33" spans="2:7" ht="20">
      <c r="B33" s="216" t="s">
        <v>4549</v>
      </c>
    </row>
    <row r="35" spans="2:7" hidden="1" outlineLevel="1">
      <c r="B35" s="1251" t="s">
        <v>4550</v>
      </c>
    </row>
    <row r="36" spans="2:7" hidden="1" outlineLevel="1">
      <c r="B36" s="1251" t="s">
        <v>4551</v>
      </c>
    </row>
    <row r="37" spans="2:7" hidden="1" outlineLevel="1">
      <c r="B37" s="1251"/>
    </row>
    <row r="38" spans="2:7" hidden="1" outlineLevel="1">
      <c r="B38" s="1251" t="s">
        <v>4552</v>
      </c>
    </row>
    <row r="39" spans="2:7" hidden="1" outlineLevel="1"/>
    <row r="40" spans="2:7" hidden="1" outlineLevel="1">
      <c r="F40" s="1251"/>
    </row>
    <row r="41" spans="2:7" hidden="1" outlineLevel="1">
      <c r="G41" s="1251"/>
    </row>
    <row r="42" spans="2:7" hidden="1" outlineLevel="1"/>
    <row r="43" spans="2:7" hidden="1" outlineLevel="1"/>
    <row r="44" spans="2:7" hidden="1" outlineLevel="1">
      <c r="F44" s="1251"/>
      <c r="G44" s="1251"/>
    </row>
    <row r="45" spans="2:7" hidden="1" outlineLevel="1">
      <c r="G45" s="1251"/>
    </row>
    <row r="46" spans="2:7" hidden="1" outlineLevel="1"/>
    <row r="47" spans="2:7" hidden="1" outlineLevel="1"/>
    <row r="48" spans="2:7" hidden="1" outlineLevel="1">
      <c r="B48" t="s">
        <v>4553</v>
      </c>
      <c r="C48">
        <v>0.64611099999999999</v>
      </c>
      <c r="D48" t="s">
        <v>4554</v>
      </c>
    </row>
    <row r="49" spans="2:17" ht="14.5" hidden="1" outlineLevel="1" thickBot="1">
      <c r="B49" t="s">
        <v>4555</v>
      </c>
    </row>
    <row r="50" spans="2:17" ht="14.5" hidden="1" outlineLevel="1">
      <c r="B50" s="4"/>
      <c r="C50" s="5" t="s">
        <v>4556</v>
      </c>
      <c r="D50" s="6" t="s">
        <v>4557</v>
      </c>
    </row>
    <row r="51" spans="2:17" ht="29.5" hidden="1" outlineLevel="1" thickBot="1">
      <c r="B51" s="13" t="s">
        <v>4558</v>
      </c>
      <c r="C51" s="92">
        <f>2.1*C48</f>
        <v>1.3568331</v>
      </c>
      <c r="D51" s="97">
        <f>0.42*C48</f>
        <v>0.27136662</v>
      </c>
      <c r="G51" s="104"/>
    </row>
    <row r="52" spans="2:17" hidden="1" outlineLevel="1"/>
    <row r="53" spans="2:17" hidden="1" outlineLevel="1">
      <c r="B53" s="1251" t="s">
        <v>4559</v>
      </c>
    </row>
    <row r="54" spans="2:17" ht="14.5" hidden="1" outlineLevel="1" thickBot="1">
      <c r="B54" s="1251" t="s">
        <v>4560</v>
      </c>
    </row>
    <row r="55" spans="2:17" ht="43.5" hidden="1" outlineLevel="1">
      <c r="B55" s="4"/>
      <c r="C55" s="5" t="s">
        <v>4561</v>
      </c>
      <c r="D55" s="5" t="s">
        <v>301</v>
      </c>
      <c r="E55" s="6" t="s">
        <v>70</v>
      </c>
      <c r="G55" s="4"/>
      <c r="H55" s="5" t="s">
        <v>4562</v>
      </c>
      <c r="I55" s="5" t="s">
        <v>301</v>
      </c>
      <c r="J55" s="223" t="s">
        <v>70</v>
      </c>
      <c r="Q55" s="1251"/>
    </row>
    <row r="56" spans="2:17" ht="70" hidden="1" outlineLevel="1">
      <c r="B56" s="10" t="s">
        <v>4563</v>
      </c>
      <c r="C56" s="11">
        <v>2484.6689999999999</v>
      </c>
      <c r="D56" s="94" t="s">
        <v>2433</v>
      </c>
      <c r="E56" s="1469" t="s">
        <v>4564</v>
      </c>
      <c r="G56" s="10" t="s">
        <v>4563</v>
      </c>
      <c r="H56" s="11">
        <v>4000</v>
      </c>
      <c r="I56" s="1294" t="s">
        <v>1023</v>
      </c>
      <c r="J56" s="224" t="s">
        <v>4565</v>
      </c>
      <c r="Q56" s="1251"/>
    </row>
    <row r="57" spans="2:17" ht="28" hidden="1" outlineLevel="1">
      <c r="B57" s="10" t="s">
        <v>4566</v>
      </c>
      <c r="C57" s="11">
        <v>1512</v>
      </c>
      <c r="D57" s="94" t="s">
        <v>1059</v>
      </c>
      <c r="E57" s="1469" t="s">
        <v>4567</v>
      </c>
      <c r="G57" s="10" t="s">
        <v>4566</v>
      </c>
      <c r="H57" s="11">
        <v>9700</v>
      </c>
      <c r="I57" s="94" t="s">
        <v>1059</v>
      </c>
      <c r="J57" s="1469" t="s">
        <v>4567</v>
      </c>
      <c r="Q57" s="1251"/>
    </row>
    <row r="58" spans="2:17" ht="29.5" hidden="1" outlineLevel="1" thickBot="1">
      <c r="B58" s="10" t="s">
        <v>4568</v>
      </c>
      <c r="C58" s="11">
        <v>40449</v>
      </c>
      <c r="D58" s="1294" t="s">
        <v>4569</v>
      </c>
      <c r="E58" s="1469" t="s">
        <v>4564</v>
      </c>
      <c r="G58" s="13" t="s">
        <v>4568</v>
      </c>
      <c r="H58" s="14">
        <v>100</v>
      </c>
      <c r="I58" s="1296" t="s">
        <v>4570</v>
      </c>
      <c r="J58" s="225" t="s">
        <v>4571</v>
      </c>
      <c r="L58" s="1251"/>
    </row>
    <row r="59" spans="2:17" ht="14.5" hidden="1" outlineLevel="1">
      <c r="B59" s="10" t="s">
        <v>4572</v>
      </c>
      <c r="C59" s="1298">
        <f>0.8*1.2*1.8</f>
        <v>1.728</v>
      </c>
      <c r="D59" s="1294" t="s">
        <v>2402</v>
      </c>
      <c r="E59" s="1469" t="s">
        <v>4564</v>
      </c>
    </row>
    <row r="60" spans="2:17" ht="14.5" hidden="1" outlineLevel="1">
      <c r="B60" s="10" t="s">
        <v>4573</v>
      </c>
      <c r="C60" s="1298">
        <v>0.25</v>
      </c>
      <c r="D60" s="1294"/>
      <c r="E60" s="1469" t="s">
        <v>4564</v>
      </c>
    </row>
    <row r="61" spans="2:17" ht="17" hidden="1" outlineLevel="1">
      <c r="B61" s="10" t="s">
        <v>4568</v>
      </c>
      <c r="C61" s="11">
        <f>C58*C60*C59</f>
        <v>17473.968000000001</v>
      </c>
      <c r="D61" s="1294" t="s">
        <v>4574</v>
      </c>
      <c r="E61" s="95"/>
      <c r="K61" s="1274"/>
      <c r="M61" s="1251"/>
      <c r="N61" s="1251"/>
    </row>
    <row r="62" spans="2:17" ht="17.5" hidden="1" outlineLevel="1" thickBot="1">
      <c r="B62" s="13" t="s">
        <v>4575</v>
      </c>
      <c r="C62" s="98">
        <f>C56/C61</f>
        <v>0.1421926033056716</v>
      </c>
      <c r="D62" s="1296" t="s">
        <v>4576</v>
      </c>
      <c r="E62" s="96"/>
      <c r="K62" s="1274"/>
      <c r="N62" s="1251"/>
    </row>
    <row r="63" spans="2:17" hidden="1" outlineLevel="1">
      <c r="B63" s="1251"/>
    </row>
    <row r="64" spans="2:17" hidden="1" outlineLevel="1">
      <c r="B64" s="1251" t="s">
        <v>4577</v>
      </c>
    </row>
    <row r="65" spans="2:14" hidden="1" outlineLevel="1">
      <c r="B65" s="1251" t="s">
        <v>4578</v>
      </c>
    </row>
    <row r="66" spans="2:14" hidden="1" outlineLevel="1">
      <c r="B66" s="1251"/>
    </row>
    <row r="67" spans="2:14" ht="14.5" hidden="1" outlineLevel="1" thickBot="1">
      <c r="B67" s="1251" t="s">
        <v>4579</v>
      </c>
    </row>
    <row r="68" spans="2:14" ht="14.5" hidden="1" outlineLevel="1">
      <c r="B68" s="4"/>
      <c r="C68" s="5" t="s">
        <v>2328</v>
      </c>
      <c r="D68" s="6" t="s">
        <v>301</v>
      </c>
    </row>
    <row r="69" spans="2:14" ht="15" hidden="1" outlineLevel="1" thickBot="1">
      <c r="B69" s="13" t="s">
        <v>4580</v>
      </c>
      <c r="C69" s="99">
        <v>2.8614312041661136E-2</v>
      </c>
      <c r="D69" s="1297" t="s">
        <v>659</v>
      </c>
      <c r="J69" s="104"/>
    </row>
    <row r="70" spans="2:14" collapsed="1">
      <c r="D70" s="103"/>
      <c r="E70" s="1251"/>
      <c r="H70" s="1251"/>
      <c r="I70" s="1251"/>
      <c r="N70" s="1251"/>
    </row>
    <row r="71" spans="2:14" ht="20">
      <c r="B71" s="216" t="s">
        <v>4581</v>
      </c>
    </row>
    <row r="73" spans="2:14" hidden="1" outlineLevel="1">
      <c r="B73" s="1251" t="s">
        <v>4582</v>
      </c>
    </row>
    <row r="74" spans="2:14" hidden="1" outlineLevel="1">
      <c r="B74" s="1251" t="s">
        <v>4583</v>
      </c>
    </row>
    <row r="75" spans="2:14" hidden="1" outlineLevel="1"/>
    <row r="76" spans="2:14" hidden="1" outlineLevel="1">
      <c r="B76" s="1251" t="s">
        <v>4584</v>
      </c>
    </row>
    <row r="77" spans="2:14" ht="14.5" hidden="1" outlineLevel="1" thickBot="1"/>
    <row r="78" spans="2:14" ht="43.5" hidden="1" outlineLevel="1">
      <c r="B78" s="4"/>
      <c r="C78" s="5" t="s">
        <v>4585</v>
      </c>
      <c r="D78" s="5" t="s">
        <v>4586</v>
      </c>
      <c r="E78" s="5" t="s">
        <v>4587</v>
      </c>
      <c r="F78" s="5" t="s">
        <v>4588</v>
      </c>
      <c r="G78" s="5" t="s">
        <v>4589</v>
      </c>
      <c r="H78" s="6" t="s">
        <v>301</v>
      </c>
    </row>
    <row r="79" spans="2:14" ht="29" hidden="1" outlineLevel="1">
      <c r="B79" s="10" t="s">
        <v>4563</v>
      </c>
      <c r="C79" s="11">
        <v>4500</v>
      </c>
      <c r="D79" s="11">
        <v>590.16800000000001</v>
      </c>
      <c r="E79" s="11">
        <v>464.65899999999999</v>
      </c>
      <c r="F79" s="11">
        <v>582.92100000000005</v>
      </c>
      <c r="G79" s="21">
        <f>3744</f>
        <v>3744</v>
      </c>
      <c r="H79" s="228" t="s">
        <v>2433</v>
      </c>
    </row>
    <row r="80" spans="2:14" ht="29" hidden="1" outlineLevel="1">
      <c r="B80" s="10" t="s">
        <v>4590</v>
      </c>
      <c r="C80" s="11"/>
      <c r="D80" s="11">
        <v>0</v>
      </c>
      <c r="E80" s="11">
        <v>0</v>
      </c>
      <c r="F80" s="11">
        <v>328.827</v>
      </c>
      <c r="G80" s="21"/>
      <c r="H80" s="228" t="s">
        <v>2433</v>
      </c>
    </row>
    <row r="81" spans="1:11" ht="17" hidden="1" outlineLevel="1">
      <c r="B81" s="10" t="s">
        <v>70</v>
      </c>
      <c r="C81" s="226" t="s">
        <v>1024</v>
      </c>
      <c r="D81" s="1307" t="s">
        <v>4564</v>
      </c>
      <c r="E81" s="1307" t="s">
        <v>4564</v>
      </c>
      <c r="F81" s="1307" t="s">
        <v>4564</v>
      </c>
      <c r="G81" s="21" t="s">
        <v>4591</v>
      </c>
      <c r="H81" s="228"/>
    </row>
    <row r="82" spans="1:11" ht="14.5" hidden="1" outlineLevel="1">
      <c r="B82" s="10" t="s">
        <v>4592</v>
      </c>
      <c r="C82" s="1307">
        <v>4140</v>
      </c>
      <c r="D82" s="21">
        <v>3200</v>
      </c>
      <c r="E82" s="21">
        <v>1500</v>
      </c>
      <c r="F82" s="21"/>
      <c r="G82" s="21"/>
      <c r="H82" s="228" t="s">
        <v>1059</v>
      </c>
    </row>
    <row r="83" spans="1:11" ht="14.5" hidden="1" outlineLevel="1">
      <c r="B83" s="10" t="s">
        <v>4568</v>
      </c>
      <c r="C83" s="11">
        <f>180*365.25</f>
        <v>65745</v>
      </c>
      <c r="D83" s="11">
        <v>47717</v>
      </c>
      <c r="E83" s="21">
        <v>17925</v>
      </c>
      <c r="F83" s="11">
        <v>32565</v>
      </c>
      <c r="G83" s="21"/>
      <c r="H83" s="1295" t="s">
        <v>4569</v>
      </c>
    </row>
    <row r="84" spans="1:11" ht="14.5" hidden="1" outlineLevel="1">
      <c r="B84" s="10" t="s">
        <v>70</v>
      </c>
      <c r="C84" s="232" t="s">
        <v>4593</v>
      </c>
      <c r="D84" s="1307" t="s">
        <v>4564</v>
      </c>
      <c r="E84" s="1307" t="s">
        <v>4564</v>
      </c>
      <c r="F84" s="1307" t="s">
        <v>4564</v>
      </c>
      <c r="G84" s="21"/>
      <c r="H84" s="228"/>
    </row>
    <row r="85" spans="1:11" ht="29" hidden="1" outlineLevel="1">
      <c r="B85" s="10" t="s">
        <v>4594</v>
      </c>
      <c r="C85" s="1307">
        <f>4180</f>
        <v>4180</v>
      </c>
      <c r="D85" s="21">
        <v>3500</v>
      </c>
      <c r="E85" s="21">
        <v>2600</v>
      </c>
      <c r="F85" s="21">
        <v>4684</v>
      </c>
      <c r="G85" s="21">
        <v>4200</v>
      </c>
      <c r="H85" s="1295" t="s">
        <v>1059</v>
      </c>
    </row>
    <row r="86" spans="1:11" ht="14.5" hidden="1" outlineLevel="1">
      <c r="B86" s="10"/>
      <c r="C86" s="1298"/>
      <c r="D86" s="1298">
        <f>D79/D85</f>
        <v>0.16861942857142859</v>
      </c>
      <c r="E86" s="1298">
        <f>E79/E85</f>
        <v>0.17871499999999998</v>
      </c>
      <c r="F86" s="1298">
        <f>F79/F85</f>
        <v>0.12444940222032452</v>
      </c>
      <c r="G86" s="1298"/>
      <c r="H86" s="1295"/>
    </row>
    <row r="87" spans="1:11" ht="14.5" hidden="1" outlineLevel="1">
      <c r="B87" s="10" t="s">
        <v>4595</v>
      </c>
      <c r="C87" s="1307"/>
      <c r="D87" s="1431">
        <f>$C59*$C60*D83</f>
        <v>20613.743999999999</v>
      </c>
      <c r="E87" s="1431">
        <f>$C59*$C60*E83</f>
        <v>7743.6</v>
      </c>
      <c r="F87" s="1431">
        <f>$C59*$C60*F83</f>
        <v>14068.08</v>
      </c>
      <c r="G87" s="21"/>
      <c r="H87" s="1295" t="s">
        <v>4596</v>
      </c>
      <c r="K87" s="1251"/>
    </row>
    <row r="88" spans="1:11" ht="15" hidden="1" outlineLevel="1" thickBot="1">
      <c r="B88" s="13" t="s">
        <v>4575</v>
      </c>
      <c r="C88" s="419"/>
      <c r="D88" s="99">
        <f>(D79+D80)/D87</f>
        <v>2.8629830660553465E-2</v>
      </c>
      <c r="E88" s="99">
        <f>(E79+E80)/E87</f>
        <v>6.0005552972777515E-2</v>
      </c>
      <c r="F88" s="99">
        <f>(F79+F80)/F87</f>
        <v>6.4809696845624987E-2</v>
      </c>
      <c r="G88" s="326"/>
      <c r="H88" s="1297" t="s">
        <v>4576</v>
      </c>
    </row>
    <row r="89" spans="1:11" hidden="1" outlineLevel="1"/>
    <row r="90" spans="1:11" hidden="1" outlineLevel="1">
      <c r="A90" s="1251"/>
      <c r="B90" s="1251" t="s">
        <v>4597</v>
      </c>
    </row>
    <row r="91" spans="1:11" hidden="1" outlineLevel="1">
      <c r="A91" s="1251"/>
      <c r="B91" s="1251"/>
    </row>
    <row r="92" spans="1:11" hidden="1" outlineLevel="1">
      <c r="A92" s="1251"/>
      <c r="B92" s="1251" t="s">
        <v>4598</v>
      </c>
    </row>
    <row r="93" spans="1:11" hidden="1" outlineLevel="1">
      <c r="A93" s="1251"/>
      <c r="B93" s="1251"/>
    </row>
    <row r="94" spans="1:11" hidden="1" outlineLevel="1">
      <c r="B94" s="1251" t="s">
        <v>4577</v>
      </c>
    </row>
    <row r="95" spans="1:11" hidden="1" outlineLevel="1">
      <c r="B95" s="1251" t="s">
        <v>4578</v>
      </c>
    </row>
    <row r="96" spans="1:11" hidden="1" outlineLevel="1">
      <c r="B96" s="1251"/>
    </row>
    <row r="97" spans="1:7" ht="14.5" hidden="1" outlineLevel="1" thickBot="1">
      <c r="B97" s="1251" t="s">
        <v>4599</v>
      </c>
    </row>
    <row r="98" spans="1:7" ht="14.5" hidden="1" outlineLevel="1">
      <c r="B98" s="4"/>
      <c r="C98" s="5" t="s">
        <v>2328</v>
      </c>
      <c r="D98" s="6" t="s">
        <v>301</v>
      </c>
    </row>
    <row r="99" spans="1:7" ht="15" hidden="1" outlineLevel="1" thickBot="1">
      <c r="B99" s="13" t="s">
        <v>4580</v>
      </c>
      <c r="C99" s="99">
        <v>9.6207402777355663E-3</v>
      </c>
      <c r="D99" s="1297" t="s">
        <v>659</v>
      </c>
    </row>
    <row r="100" spans="1:7" hidden="1" outlineLevel="1">
      <c r="A100" s="1251"/>
      <c r="B100" s="1251"/>
    </row>
    <row r="101" spans="1:7" collapsed="1"/>
    <row r="102" spans="1:7" ht="20">
      <c r="B102" s="216" t="s">
        <v>4600</v>
      </c>
    </row>
    <row r="104" spans="1:7" hidden="1" outlineLevel="1">
      <c r="B104" s="1251" t="s">
        <v>4601</v>
      </c>
    </row>
    <row r="105" spans="1:7" hidden="1" outlineLevel="1">
      <c r="B105" s="1251" t="s">
        <v>4602</v>
      </c>
    </row>
    <row r="106" spans="1:7" hidden="1" outlineLevel="1">
      <c r="B106" s="1251"/>
    </row>
    <row r="107" spans="1:7" hidden="1" outlineLevel="1">
      <c r="B107" s="1251" t="s">
        <v>4552</v>
      </c>
    </row>
    <row r="108" spans="1:7" hidden="1" outlineLevel="1"/>
    <row r="109" spans="1:7" hidden="1" outlineLevel="1">
      <c r="F109" s="1251"/>
    </row>
    <row r="110" spans="1:7" hidden="1" outlineLevel="1">
      <c r="G110" s="1251"/>
    </row>
    <row r="111" spans="1:7" hidden="1" outlineLevel="1"/>
    <row r="112" spans="1:7" hidden="1" outlineLevel="1"/>
    <row r="113" spans="2:7" hidden="1" outlineLevel="1">
      <c r="F113" s="1251"/>
      <c r="G113" s="1251"/>
    </row>
    <row r="114" spans="2:7" hidden="1" outlineLevel="1">
      <c r="G114" s="1251"/>
    </row>
    <row r="115" spans="2:7" hidden="1" outlineLevel="1"/>
    <row r="116" spans="2:7" hidden="1" outlineLevel="1"/>
    <row r="117" spans="2:7" hidden="1" outlineLevel="1">
      <c r="B117" t="s">
        <v>4553</v>
      </c>
      <c r="C117">
        <v>0.64611099999999999</v>
      </c>
      <c r="D117" t="s">
        <v>4554</v>
      </c>
    </row>
    <row r="118" spans="2:7" hidden="1" outlineLevel="1">
      <c r="B118" s="1251" t="s">
        <v>4603</v>
      </c>
      <c r="C118">
        <v>0.4536</v>
      </c>
      <c r="D118" s="1251" t="s">
        <v>2250</v>
      </c>
    </row>
    <row r="119" spans="2:7" ht="14.5" hidden="1" outlineLevel="1" thickBot="1">
      <c r="B119" t="s">
        <v>4555</v>
      </c>
    </row>
    <row r="120" spans="2:7" ht="14.5" hidden="1" outlineLevel="1">
      <c r="B120" s="4"/>
      <c r="C120" s="5" t="s">
        <v>4604</v>
      </c>
      <c r="D120" s="5" t="s">
        <v>4605</v>
      </c>
      <c r="E120" s="6" t="s">
        <v>4606</v>
      </c>
    </row>
    <row r="121" spans="2:7" ht="29.5" hidden="1" outlineLevel="1" thickBot="1">
      <c r="B121" s="13" t="s">
        <v>4558</v>
      </c>
      <c r="C121" s="99">
        <f>2.1*C117</f>
        <v>1.3568331</v>
      </c>
      <c r="D121" s="92">
        <f>1.4*C117</f>
        <v>0.9045553999999999</v>
      </c>
      <c r="E121" s="230">
        <f>0.22/C118</f>
        <v>0.48500881834215165</v>
      </c>
      <c r="G121" s="104"/>
    </row>
    <row r="122" spans="2:7" hidden="1" outlineLevel="1"/>
    <row r="123" spans="2:7" hidden="1" outlineLevel="1">
      <c r="B123" s="1251" t="s">
        <v>4559</v>
      </c>
    </row>
    <row r="124" spans="2:7" hidden="1" outlineLevel="1">
      <c r="B124" s="1251" t="s">
        <v>4607</v>
      </c>
    </row>
    <row r="125" spans="2:7" ht="14.5" hidden="1" outlineLevel="1" thickBot="1"/>
    <row r="126" spans="2:7" ht="43.5" hidden="1" outlineLevel="1">
      <c r="B126" s="4"/>
      <c r="C126" s="5" t="s">
        <v>4608</v>
      </c>
      <c r="D126" s="5" t="s">
        <v>301</v>
      </c>
      <c r="E126" s="6" t="s">
        <v>70</v>
      </c>
      <c r="G126" s="1251"/>
    </row>
    <row r="127" spans="2:7" ht="29" hidden="1" outlineLevel="1">
      <c r="B127" s="10" t="s">
        <v>4590</v>
      </c>
      <c r="C127" s="11">
        <f>1573.688+2189.811</f>
        <v>3763.4990000000003</v>
      </c>
      <c r="D127" s="1294" t="s">
        <v>2433</v>
      </c>
      <c r="E127" s="1277" t="s">
        <v>4564</v>
      </c>
    </row>
    <row r="128" spans="2:7" ht="29" hidden="1" outlineLevel="1">
      <c r="B128" s="10" t="s">
        <v>4563</v>
      </c>
      <c r="C128" s="11">
        <f>824.822+1135.084</f>
        <v>1959.9059999999999</v>
      </c>
      <c r="D128" s="1294" t="s">
        <v>2433</v>
      </c>
      <c r="E128" s="1277" t="s">
        <v>4564</v>
      </c>
    </row>
    <row r="129" spans="2:8" ht="14.5" hidden="1" outlineLevel="1">
      <c r="B129" s="231" t="s">
        <v>4609</v>
      </c>
      <c r="C129" s="11">
        <f>2574+3705</f>
        <v>6279</v>
      </c>
      <c r="D129" s="1294" t="s">
        <v>1059</v>
      </c>
      <c r="E129" s="12" t="s">
        <v>4610</v>
      </c>
    </row>
    <row r="130" spans="2:8" ht="29" hidden="1" outlineLevel="1">
      <c r="B130" s="231" t="s">
        <v>4611</v>
      </c>
      <c r="C130" s="11">
        <f>16710+10765</f>
        <v>27475</v>
      </c>
      <c r="D130" s="1294"/>
      <c r="E130" s="1277" t="s">
        <v>4564</v>
      </c>
    </row>
    <row r="131" spans="2:8" ht="17.5" hidden="1" outlineLevel="1" thickBot="1">
      <c r="B131" s="13" t="s">
        <v>4612</v>
      </c>
      <c r="C131" s="98">
        <f>(C127+C128)/(C130*C59*C60)</f>
        <v>0.48220646715869647</v>
      </c>
      <c r="D131" s="1296" t="s">
        <v>4576</v>
      </c>
      <c r="E131" s="96"/>
    </row>
    <row r="132" spans="2:8" hidden="1" outlineLevel="1"/>
    <row r="133" spans="2:8" ht="14.5" hidden="1" outlineLevel="1" thickBot="1"/>
    <row r="134" spans="2:8" ht="14.5" hidden="1" outlineLevel="1">
      <c r="B134" s="4"/>
      <c r="C134" s="5" t="s">
        <v>4613</v>
      </c>
      <c r="D134" s="5" t="s">
        <v>301</v>
      </c>
      <c r="E134" s="6" t="s">
        <v>70</v>
      </c>
    </row>
    <row r="135" spans="2:8" ht="29" hidden="1" outlineLevel="1">
      <c r="B135" s="10" t="s">
        <v>4590</v>
      </c>
      <c r="C135" s="11">
        <v>4600</v>
      </c>
      <c r="D135" s="1294" t="s">
        <v>2433</v>
      </c>
      <c r="E135" s="100"/>
    </row>
    <row r="136" spans="2:8" ht="14.5" hidden="1" outlineLevel="1">
      <c r="B136" s="10" t="s">
        <v>4614</v>
      </c>
      <c r="C136" s="11">
        <v>1600</v>
      </c>
      <c r="D136" s="1294" t="s">
        <v>2433</v>
      </c>
      <c r="E136" s="100"/>
    </row>
    <row r="137" spans="2:8" ht="14.5" hidden="1" outlineLevel="1">
      <c r="B137" s="231" t="s">
        <v>4609</v>
      </c>
      <c r="C137" s="11">
        <v>5005</v>
      </c>
      <c r="D137" s="1294" t="s">
        <v>1059</v>
      </c>
      <c r="E137" s="12" t="s">
        <v>4610</v>
      </c>
    </row>
    <row r="138" spans="2:8" ht="14.5" hidden="1" outlineLevel="1">
      <c r="B138" s="10" t="s">
        <v>4615</v>
      </c>
      <c r="C138" s="1307">
        <f>C130*C59*C60*C137/C129</f>
        <v>9460.95652173913</v>
      </c>
      <c r="D138" s="1294" t="s">
        <v>4616</v>
      </c>
      <c r="E138" s="12" t="s">
        <v>4617</v>
      </c>
    </row>
    <row r="139" spans="2:8" ht="17" hidden="1" outlineLevel="1">
      <c r="B139" s="10" t="s">
        <v>4618</v>
      </c>
      <c r="C139" s="227">
        <f>C135/C138</f>
        <v>0.48620876646354355</v>
      </c>
      <c r="D139" s="1294" t="s">
        <v>4576</v>
      </c>
      <c r="E139" s="95"/>
    </row>
    <row r="140" spans="2:8" ht="17.5" hidden="1" outlineLevel="1" thickBot="1">
      <c r="B140" s="13" t="s">
        <v>4619</v>
      </c>
      <c r="C140" s="98">
        <f>C136/C138</f>
        <v>0.16911609268297167</v>
      </c>
      <c r="D140" s="1296" t="s">
        <v>4576</v>
      </c>
      <c r="E140" s="96"/>
      <c r="F140" s="1251"/>
    </row>
    <row r="141" spans="2:8" hidden="1" outlineLevel="1"/>
    <row r="142" spans="2:8" hidden="1" outlineLevel="1">
      <c r="H142" s="24"/>
    </row>
    <row r="143" spans="2:8" hidden="1" outlineLevel="1">
      <c r="B143" s="1251" t="s">
        <v>4620</v>
      </c>
      <c r="H143" s="93"/>
    </row>
    <row r="144" spans="2:8" hidden="1" outlineLevel="1"/>
    <row r="145" spans="1:4" hidden="1" outlineLevel="1">
      <c r="B145" s="1251" t="s">
        <v>4621</v>
      </c>
    </row>
    <row r="146" spans="1:4" hidden="1" outlineLevel="1">
      <c r="B146" s="1251" t="s">
        <v>4578</v>
      </c>
    </row>
    <row r="147" spans="1:4" hidden="1" outlineLevel="1">
      <c r="B147" s="1251"/>
    </row>
    <row r="148" spans="1:4" ht="14.5" hidden="1" outlineLevel="1" thickBot="1">
      <c r="B148" s="1251" t="s">
        <v>4599</v>
      </c>
    </row>
    <row r="149" spans="1:4" ht="14.5" hidden="1" outlineLevel="1">
      <c r="B149" s="4"/>
      <c r="C149" s="5" t="s">
        <v>2328</v>
      </c>
      <c r="D149" s="6" t="s">
        <v>301</v>
      </c>
    </row>
    <row r="150" spans="1:4" ht="15" hidden="1" outlineLevel="1" thickBot="1">
      <c r="B150" s="13" t="s">
        <v>4580</v>
      </c>
      <c r="C150" s="99">
        <v>0.10901159929799048</v>
      </c>
      <c r="D150" s="1297" t="s">
        <v>659</v>
      </c>
    </row>
    <row r="151" spans="1:4" hidden="1" outlineLevel="1">
      <c r="A151" s="1251"/>
      <c r="B151" s="1251"/>
    </row>
    <row r="152" spans="1:4" collapsed="1"/>
    <row r="153" spans="1:4" ht="20">
      <c r="B153" s="216" t="s">
        <v>4622</v>
      </c>
    </row>
    <row r="155" spans="1:4" hidden="1" outlineLevel="1">
      <c r="B155" s="1251" t="s">
        <v>4623</v>
      </c>
      <c r="D155" s="87"/>
    </row>
    <row r="156" spans="1:4" hidden="1" outlineLevel="1">
      <c r="B156" s="1251" t="s">
        <v>4624</v>
      </c>
      <c r="D156" s="87"/>
    </row>
    <row r="157" spans="1:4" hidden="1" outlineLevel="1">
      <c r="B157" s="1251"/>
      <c r="D157" s="87"/>
    </row>
    <row r="158" spans="1:4" hidden="1" outlineLevel="1">
      <c r="B158" s="1251" t="s">
        <v>4625</v>
      </c>
      <c r="D158" s="87"/>
    </row>
    <row r="159" spans="1:4" hidden="1" outlineLevel="1">
      <c r="B159" s="87" t="s">
        <v>4626</v>
      </c>
      <c r="D159" s="87"/>
    </row>
    <row r="160" spans="1:4" hidden="1" outlineLevel="1">
      <c r="D160" s="87"/>
    </row>
    <row r="161" spans="1:4" hidden="1" outlineLevel="1">
      <c r="B161" s="1251" t="s">
        <v>4627</v>
      </c>
      <c r="D161" s="87"/>
    </row>
    <row r="162" spans="1:4" hidden="1" outlineLevel="1">
      <c r="B162" s="1251"/>
      <c r="D162" s="87"/>
    </row>
    <row r="163" spans="1:4" ht="14.5" hidden="1" outlineLevel="1" thickBot="1">
      <c r="B163" s="1251" t="s">
        <v>565</v>
      </c>
      <c r="C163" s="1251"/>
      <c r="D163" s="87"/>
    </row>
    <row r="164" spans="1:4" ht="14.5" hidden="1" outlineLevel="1">
      <c r="B164" s="4"/>
      <c r="C164" s="5" t="s">
        <v>69</v>
      </c>
      <c r="D164" s="5" t="s">
        <v>301</v>
      </c>
    </row>
    <row r="165" spans="1:4" ht="29" hidden="1" outlineLevel="1">
      <c r="B165" s="10" t="s">
        <v>4628</v>
      </c>
      <c r="C165" s="94">
        <f>15*AVERAGE(D88:F88)</f>
        <v>0.76722540239477988</v>
      </c>
      <c r="D165" s="1294" t="s">
        <v>4576</v>
      </c>
    </row>
    <row r="166" spans="1:4" hidden="1" outlineLevel="1">
      <c r="B166" s="1251"/>
      <c r="D166" s="87"/>
    </row>
    <row r="167" spans="1:4" hidden="1" outlineLevel="1">
      <c r="B167" s="1251" t="s">
        <v>4621</v>
      </c>
    </row>
    <row r="168" spans="1:4" hidden="1" outlineLevel="1">
      <c r="B168" s="1251" t="s">
        <v>4578</v>
      </c>
    </row>
    <row r="169" spans="1:4" hidden="1" outlineLevel="1">
      <c r="B169" s="1251"/>
    </row>
    <row r="170" spans="1:4" ht="14.5" hidden="1" outlineLevel="1" thickBot="1">
      <c r="B170" s="1251" t="s">
        <v>4629</v>
      </c>
    </row>
    <row r="171" spans="1:4" ht="14.5" hidden="1" outlineLevel="1">
      <c r="B171" s="4"/>
      <c r="C171" s="5" t="s">
        <v>2328</v>
      </c>
      <c r="D171" s="6" t="s">
        <v>301</v>
      </c>
    </row>
    <row r="172" spans="1:4" ht="15" hidden="1" outlineLevel="1" thickBot="1">
      <c r="B172" s="13" t="s">
        <v>4580</v>
      </c>
      <c r="C172" s="99">
        <v>0.15439359404103126</v>
      </c>
      <c r="D172" s="1297" t="s">
        <v>659</v>
      </c>
    </row>
    <row r="173" spans="1:4" hidden="1" outlineLevel="1">
      <c r="A173" s="1251"/>
      <c r="B173" s="1251"/>
    </row>
    <row r="174" spans="1:4" collapsed="1">
      <c r="B174" s="1251"/>
      <c r="D174" s="87"/>
    </row>
    <row r="175" spans="1:4" ht="23.5">
      <c r="B175" s="2" t="s">
        <v>4630</v>
      </c>
      <c r="D175" s="87"/>
    </row>
    <row r="177" spans="2:10">
      <c r="B177" s="1251" t="s">
        <v>4631</v>
      </c>
    </row>
    <row r="179" spans="2:10" ht="20">
      <c r="B179" s="216" t="s">
        <v>4549</v>
      </c>
    </row>
    <row r="181" spans="2:10" hidden="1" outlineLevel="1">
      <c r="B181" s="1251" t="s">
        <v>4632</v>
      </c>
    </row>
    <row r="182" spans="2:10" hidden="1" outlineLevel="1"/>
    <row r="183" spans="2:10" hidden="1" outlineLevel="1">
      <c r="B183" t="s">
        <v>4633</v>
      </c>
    </row>
    <row r="184" spans="2:10" hidden="1" outlineLevel="1">
      <c r="B184" t="s">
        <v>4634</v>
      </c>
    </row>
    <row r="185" spans="2:10" hidden="1" outlineLevel="1"/>
    <row r="186" spans="2:10" ht="14.5" hidden="1" outlineLevel="1" thickBot="1">
      <c r="B186" t="s">
        <v>2093</v>
      </c>
    </row>
    <row r="187" spans="2:10" ht="29" hidden="1" outlineLevel="1">
      <c r="B187" s="4"/>
      <c r="C187" s="5" t="s">
        <v>4635</v>
      </c>
      <c r="D187" s="5" t="s">
        <v>4636</v>
      </c>
      <c r="E187" s="5" t="s">
        <v>301</v>
      </c>
      <c r="F187" s="6" t="s">
        <v>70</v>
      </c>
    </row>
    <row r="188" spans="2:10" ht="29" hidden="1" outlineLevel="1">
      <c r="B188" s="10" t="s">
        <v>4637</v>
      </c>
      <c r="C188" s="1666">
        <v>1950500</v>
      </c>
      <c r="D188" s="1666"/>
      <c r="E188" s="21" t="s">
        <v>2902</v>
      </c>
      <c r="F188" s="100" t="s">
        <v>4638</v>
      </c>
      <c r="H188" s="1470"/>
      <c r="I188" s="1251"/>
      <c r="J188" s="1251"/>
    </row>
    <row r="189" spans="2:10" ht="14.5" hidden="1" outlineLevel="1">
      <c r="B189" s="10" t="s">
        <v>4639</v>
      </c>
      <c r="C189" s="136">
        <f>C57</f>
        <v>1512</v>
      </c>
      <c r="D189" s="136">
        <f>H57</f>
        <v>9700</v>
      </c>
      <c r="E189" s="1266" t="s">
        <v>1059</v>
      </c>
      <c r="F189" s="17" t="s">
        <v>4640</v>
      </c>
    </row>
    <row r="190" spans="2:10" ht="29" hidden="1" outlineLevel="1">
      <c r="B190" s="10" t="s">
        <v>4641</v>
      </c>
      <c r="C190" s="136">
        <f>C56</f>
        <v>2484.6689999999999</v>
      </c>
      <c r="D190" s="136">
        <f>H56</f>
        <v>4000</v>
      </c>
      <c r="E190" s="1266" t="s">
        <v>1023</v>
      </c>
      <c r="F190" s="1283" t="s">
        <v>4642</v>
      </c>
    </row>
    <row r="191" spans="2:10" ht="15" hidden="1" outlineLevel="1" thickBot="1">
      <c r="B191" s="13" t="s">
        <v>4568</v>
      </c>
      <c r="C191" s="14">
        <f>C61</f>
        <v>17473.968000000001</v>
      </c>
      <c r="D191" s="22"/>
      <c r="E191" s="22" t="s">
        <v>4643</v>
      </c>
      <c r="F191" s="1285" t="s">
        <v>4642</v>
      </c>
    </row>
    <row r="192" spans="2:10" hidden="1" outlineLevel="1"/>
    <row r="193" spans="2:5" hidden="1" outlineLevel="1">
      <c r="B193" s="1251" t="s">
        <v>4644</v>
      </c>
    </row>
    <row r="194" spans="2:5" ht="14.5" hidden="1" outlineLevel="1" thickBot="1">
      <c r="B194" s="1251" t="s">
        <v>927</v>
      </c>
    </row>
    <row r="195" spans="2:5" ht="15" hidden="1" outlineLevel="1" thickBot="1">
      <c r="B195" s="20" t="s">
        <v>3951</v>
      </c>
      <c r="C195" s="242">
        <f>C188*(C190/SUM(C190:D190))/(C191*1000)</f>
        <v>4.2769595911173339E-2</v>
      </c>
      <c r="D195" s="243" t="s">
        <v>659</v>
      </c>
    </row>
    <row r="196" spans="2:5" hidden="1" outlineLevel="1">
      <c r="D196" s="166"/>
    </row>
    <row r="197" spans="2:5" collapsed="1"/>
    <row r="198" spans="2:5" ht="20">
      <c r="B198" s="216" t="s">
        <v>4645</v>
      </c>
    </row>
    <row r="200" spans="2:5" hidden="1" outlineLevel="1">
      <c r="B200" s="1251" t="s">
        <v>4646</v>
      </c>
    </row>
    <row r="201" spans="2:5" hidden="1" outlineLevel="1"/>
    <row r="202" spans="2:5" ht="14.5" hidden="1" outlineLevel="1" thickBot="1">
      <c r="B202" s="1251" t="s">
        <v>927</v>
      </c>
    </row>
    <row r="203" spans="2:5" ht="29" hidden="1" outlineLevel="1">
      <c r="B203" s="4"/>
      <c r="C203" s="5" t="s">
        <v>4635</v>
      </c>
      <c r="D203" s="5" t="s">
        <v>301</v>
      </c>
      <c r="E203" s="6" t="s">
        <v>70</v>
      </c>
    </row>
    <row r="204" spans="2:5" ht="29" hidden="1" outlineLevel="1">
      <c r="B204" s="10" t="s">
        <v>4647</v>
      </c>
      <c r="C204" s="244">
        <v>141828</v>
      </c>
      <c r="D204" s="21" t="s">
        <v>2902</v>
      </c>
      <c r="E204" s="100" t="s">
        <v>4638</v>
      </c>
    </row>
    <row r="205" spans="2:5" ht="44" hidden="1" outlineLevel="1" thickBot="1">
      <c r="B205" s="13" t="s">
        <v>4648</v>
      </c>
      <c r="C205" s="245">
        <v>959482</v>
      </c>
      <c r="D205" s="22" t="s">
        <v>2902</v>
      </c>
      <c r="E205" s="114" t="s">
        <v>4638</v>
      </c>
    </row>
    <row r="206" spans="2:5" hidden="1" outlineLevel="1"/>
    <row r="207" spans="2:5" hidden="1" outlineLevel="1">
      <c r="B207" s="1251" t="s">
        <v>4649</v>
      </c>
    </row>
    <row r="208" spans="2:5" ht="14.5" hidden="1" outlineLevel="1" thickBot="1"/>
    <row r="209" spans="2:5" ht="14.5" hidden="1" outlineLevel="1">
      <c r="B209" s="4"/>
      <c r="C209" s="5" t="s">
        <v>2328</v>
      </c>
      <c r="D209" s="6" t="s">
        <v>301</v>
      </c>
    </row>
    <row r="210" spans="2:5" ht="29" hidden="1" outlineLevel="1">
      <c r="B210" s="10" t="s">
        <v>4650</v>
      </c>
      <c r="C210" s="1471">
        <f>(C127)/(C130*C59*C60)*0.239</f>
        <v>7.5782383058672867E-2</v>
      </c>
      <c r="D210" s="1295" t="s">
        <v>659</v>
      </c>
    </row>
    <row r="211" spans="2:5" ht="15" hidden="1" outlineLevel="1" thickBot="1">
      <c r="B211" s="13" t="s">
        <v>4651</v>
      </c>
      <c r="C211" s="99">
        <f>C210*C204/C205</f>
        <v>1.1201944199521674E-2</v>
      </c>
      <c r="D211" s="1297" t="s">
        <v>659</v>
      </c>
    </row>
    <row r="212" spans="2:5" hidden="1" outlineLevel="1"/>
    <row r="213" spans="2:5" collapsed="1"/>
    <row r="214" spans="2:5" ht="23.5">
      <c r="B214" s="2" t="s">
        <v>4652</v>
      </c>
    </row>
    <row r="216" spans="2:5" hidden="1" outlineLevel="1">
      <c r="B216" s="1251" t="s">
        <v>4653</v>
      </c>
    </row>
    <row r="217" spans="2:5" ht="14.5" hidden="1" outlineLevel="1" thickBot="1"/>
    <row r="218" spans="2:5" ht="29" hidden="1" outlineLevel="1">
      <c r="B218" s="4" t="s">
        <v>4654</v>
      </c>
      <c r="C218" s="5" t="s">
        <v>4655</v>
      </c>
      <c r="D218" s="5" t="s">
        <v>2484</v>
      </c>
      <c r="E218" s="6" t="s">
        <v>70</v>
      </c>
    </row>
    <row r="219" spans="2:5" ht="14.5" hidden="1" outlineLevel="1">
      <c r="B219" s="10" t="s">
        <v>4656</v>
      </c>
      <c r="C219" s="94" t="s">
        <v>4539</v>
      </c>
      <c r="D219" s="1307">
        <v>30</v>
      </c>
      <c r="E219" s="1295"/>
    </row>
    <row r="220" spans="2:5" ht="14.5" hidden="1" outlineLevel="1">
      <c r="B220" s="10" t="s">
        <v>4657</v>
      </c>
      <c r="C220" s="94" t="s">
        <v>4539</v>
      </c>
      <c r="D220" s="1307">
        <v>20</v>
      </c>
      <c r="E220" s="1295"/>
    </row>
    <row r="221" spans="2:5" ht="14.5" hidden="1" outlineLevel="1">
      <c r="B221" s="10" t="s">
        <v>4658</v>
      </c>
      <c r="C221" s="1294" t="s">
        <v>4539</v>
      </c>
      <c r="D221" s="1307">
        <v>16</v>
      </c>
      <c r="E221" s="1283" t="s">
        <v>4659</v>
      </c>
    </row>
    <row r="222" spans="2:5" ht="14.5" hidden="1" outlineLevel="1">
      <c r="B222" s="10" t="s">
        <v>4660</v>
      </c>
      <c r="C222" s="1266" t="s">
        <v>4538</v>
      </c>
      <c r="D222" s="21">
        <v>32</v>
      </c>
      <c r="E222" s="100" t="s">
        <v>4661</v>
      </c>
    </row>
    <row r="223" spans="2:5" ht="14.5" hidden="1" outlineLevel="1">
      <c r="B223" s="10" t="s">
        <v>4662</v>
      </c>
      <c r="C223" s="1266" t="s">
        <v>4538</v>
      </c>
      <c r="D223" s="21">
        <v>15</v>
      </c>
      <c r="E223" s="100" t="s">
        <v>4663</v>
      </c>
    </row>
    <row r="224" spans="2:5" ht="14.5" hidden="1" outlineLevel="1">
      <c r="B224" s="10" t="s">
        <v>4664</v>
      </c>
      <c r="C224" s="1266" t="s">
        <v>4538</v>
      </c>
      <c r="D224" s="21">
        <v>35</v>
      </c>
      <c r="E224" s="17"/>
    </row>
    <row r="225" spans="2:5" ht="14.5" hidden="1" outlineLevel="1">
      <c r="B225" s="10" t="s">
        <v>4665</v>
      </c>
      <c r="C225" s="1266" t="s">
        <v>4538</v>
      </c>
      <c r="D225" s="21">
        <v>12</v>
      </c>
      <c r="E225" s="17"/>
    </row>
    <row r="226" spans="2:5" ht="14.5" hidden="1" outlineLevel="1">
      <c r="B226" s="10" t="s">
        <v>4666</v>
      </c>
      <c r="C226" s="1266" t="s">
        <v>4556</v>
      </c>
      <c r="D226" s="21">
        <v>25</v>
      </c>
      <c r="E226" s="1283" t="s">
        <v>4659</v>
      </c>
    </row>
    <row r="227" spans="2:5" ht="15" hidden="1" outlineLevel="1" thickBot="1">
      <c r="B227" s="13" t="s">
        <v>4667</v>
      </c>
      <c r="C227" s="1267" t="s">
        <v>4556</v>
      </c>
      <c r="D227" s="22">
        <v>25</v>
      </c>
      <c r="E227" s="1285" t="s">
        <v>4659</v>
      </c>
    </row>
    <row r="228" spans="2:5" hidden="1" outlineLevel="1"/>
    <row r="229" spans="2:5" ht="14.5" hidden="1" outlineLevel="1" thickBot="1">
      <c r="B229" s="1251" t="s">
        <v>2111</v>
      </c>
    </row>
    <row r="230" spans="2:5" ht="14.5" hidden="1" outlineLevel="1">
      <c r="B230" s="4"/>
      <c r="C230" s="5"/>
      <c r="D230" s="5" t="s">
        <v>301</v>
      </c>
      <c r="E230" s="6" t="s">
        <v>70</v>
      </c>
    </row>
    <row r="231" spans="2:5" ht="43.5" hidden="1" outlineLevel="1">
      <c r="B231" s="10" t="s">
        <v>2112</v>
      </c>
      <c r="C231" s="180">
        <v>21.2</v>
      </c>
      <c r="D231" s="1307" t="s">
        <v>2113</v>
      </c>
      <c r="E231" s="1295" t="s">
        <v>2114</v>
      </c>
    </row>
    <row r="232" spans="2:5" ht="29" hidden="1" outlineLevel="1">
      <c r="B232" s="10" t="s">
        <v>2115</v>
      </c>
      <c r="C232" s="94">
        <v>0.75413181011075003</v>
      </c>
      <c r="D232" s="1307"/>
      <c r="E232" s="1295"/>
    </row>
    <row r="233" spans="2:5" ht="15" hidden="1" outlineLevel="1" thickBot="1">
      <c r="B233" s="13" t="s">
        <v>1063</v>
      </c>
      <c r="C233" s="203">
        <v>0.17048685674338887</v>
      </c>
      <c r="D233" s="22" t="s">
        <v>2116</v>
      </c>
      <c r="E233" s="38"/>
    </row>
    <row r="234" spans="2:5" hidden="1" outlineLevel="1"/>
    <row r="235" spans="2:5" ht="14.5" hidden="1" outlineLevel="1" thickBot="1">
      <c r="B235" s="1251" t="s">
        <v>2117</v>
      </c>
    </row>
    <row r="236" spans="2:5" ht="43.5" hidden="1" outlineLevel="1">
      <c r="B236" s="4"/>
      <c r="C236" s="5" t="s">
        <v>4668</v>
      </c>
      <c r="D236" s="6" t="s">
        <v>4669</v>
      </c>
    </row>
    <row r="237" spans="2:5" ht="14.5" hidden="1" outlineLevel="1">
      <c r="B237" s="10" t="s">
        <v>4635</v>
      </c>
      <c r="C237" s="11">
        <f>2*225*D221*C231*C233</f>
        <v>26023.113813310876</v>
      </c>
      <c r="D237" s="1295">
        <f>C237/C$61/1000</f>
        <v>1.4892503988396268E-3</v>
      </c>
    </row>
    <row r="238" spans="2:5" ht="29" hidden="1" outlineLevel="1">
      <c r="B238" s="10" t="s">
        <v>4670</v>
      </c>
      <c r="C238" s="11">
        <f>2*225*SUM(D222:D224)*C231*C233</f>
        <v>133368.45829321825</v>
      </c>
      <c r="D238" s="1295">
        <f>C238/SUM(D$87+E$87+F$87)/1000</f>
        <v>3.1435975346579504E-3</v>
      </c>
    </row>
    <row r="239" spans="2:5" ht="15" hidden="1" outlineLevel="1" thickBot="1">
      <c r="B239" s="13" t="s">
        <v>4671</v>
      </c>
      <c r="C239" s="14">
        <f>2*225*SUM(D226:D227)*C231*C233</f>
        <v>81322.230666596486</v>
      </c>
      <c r="D239" s="248">
        <f>C239/(C$130*C$59*C$60)/1000</f>
        <v>6.8515342791929095E-3</v>
      </c>
    </row>
    <row r="240" spans="2:5" hidden="1" outlineLevel="1"/>
    <row r="241" spans="2:5" ht="14.5" hidden="1" outlineLevel="1" thickBot="1">
      <c r="B241" s="1251" t="s">
        <v>2734</v>
      </c>
    </row>
    <row r="242" spans="2:5" ht="43.5" hidden="1" outlineLevel="1">
      <c r="B242" s="4" t="s">
        <v>4655</v>
      </c>
      <c r="C242" s="5" t="s">
        <v>4672</v>
      </c>
      <c r="D242" s="6" t="s">
        <v>301</v>
      </c>
    </row>
    <row r="243" spans="2:5" ht="14.5" hidden="1" outlineLevel="1">
      <c r="B243" s="10" t="s">
        <v>4539</v>
      </c>
      <c r="C243" s="94">
        <f>D237</f>
        <v>1.4892503988396268E-3</v>
      </c>
      <c r="D243" s="17" t="s">
        <v>659</v>
      </c>
    </row>
    <row r="244" spans="2:5" ht="14.5" hidden="1" outlineLevel="1">
      <c r="B244" s="10" t="s">
        <v>4538</v>
      </c>
      <c r="C244" s="94">
        <f>D238</f>
        <v>3.1435975346579504E-3</v>
      </c>
      <c r="D244" s="17" t="s">
        <v>659</v>
      </c>
    </row>
    <row r="245" spans="2:5" ht="14.5" hidden="1" outlineLevel="1">
      <c r="B245" s="10" t="s">
        <v>4556</v>
      </c>
      <c r="C245" s="94">
        <f>D239</f>
        <v>6.8515342791929095E-3</v>
      </c>
      <c r="D245" s="17" t="s">
        <v>659</v>
      </c>
    </row>
    <row r="246" spans="2:5" ht="15" hidden="1" outlineLevel="1" thickBot="1">
      <c r="B246" s="13" t="s">
        <v>4540</v>
      </c>
      <c r="C246" s="246">
        <f>D238</f>
        <v>3.1435975346579504E-3</v>
      </c>
      <c r="D246" s="38" t="s">
        <v>659</v>
      </c>
      <c r="E246" s="1251" t="s">
        <v>4673</v>
      </c>
    </row>
    <row r="247" spans="2:5" hidden="1" outlineLevel="1"/>
    <row r="248" spans="2:5" collapsed="1"/>
    <row r="249" spans="2:5" ht="23.5">
      <c r="B249" s="2" t="s">
        <v>4674</v>
      </c>
    </row>
    <row r="251" spans="2:5" hidden="1" outlineLevel="1">
      <c r="B251" s="1251" t="s">
        <v>4675</v>
      </c>
    </row>
    <row r="252" spans="2:5" ht="14.5" hidden="1" outlineLevel="1" thickBot="1"/>
    <row r="253" spans="2:5" ht="29" hidden="1" outlineLevel="1">
      <c r="B253" s="4" t="s">
        <v>4654</v>
      </c>
      <c r="C253" s="5" t="s">
        <v>4655</v>
      </c>
      <c r="D253" s="5" t="s">
        <v>2472</v>
      </c>
      <c r="E253" s="6" t="s">
        <v>70</v>
      </c>
    </row>
    <row r="254" spans="2:5" ht="14.5" hidden="1" outlineLevel="1">
      <c r="B254" s="10" t="s">
        <v>4656</v>
      </c>
      <c r="C254" s="94" t="s">
        <v>4539</v>
      </c>
      <c r="D254" s="1307">
        <v>9700</v>
      </c>
      <c r="E254" s="1663" t="s">
        <v>4676</v>
      </c>
    </row>
    <row r="255" spans="2:5" ht="14.5" hidden="1" outlineLevel="1">
      <c r="B255" s="10" t="s">
        <v>4657</v>
      </c>
      <c r="C255" s="94" t="s">
        <v>4539</v>
      </c>
      <c r="D255" s="1307">
        <v>3478</v>
      </c>
      <c r="E255" s="1664"/>
    </row>
    <row r="256" spans="2:5" ht="14.5" hidden="1" outlineLevel="1">
      <c r="B256" s="10" t="s">
        <v>4658</v>
      </c>
      <c r="C256" s="1294" t="s">
        <v>4539</v>
      </c>
      <c r="D256" s="1307">
        <v>1512</v>
      </c>
      <c r="E256" s="1664"/>
    </row>
    <row r="257" spans="2:5" ht="14.5" hidden="1" outlineLevel="1">
      <c r="B257" s="10" t="s">
        <v>4660</v>
      </c>
      <c r="C257" s="1266" t="s">
        <v>4538</v>
      </c>
      <c r="D257" s="21">
        <v>3500</v>
      </c>
      <c r="E257" s="1664"/>
    </row>
    <row r="258" spans="2:5" ht="14.5" hidden="1" outlineLevel="1">
      <c r="B258" s="10" t="s">
        <v>4662</v>
      </c>
      <c r="C258" s="1266" t="s">
        <v>4538</v>
      </c>
      <c r="D258" s="21">
        <v>2600</v>
      </c>
      <c r="E258" s="1664"/>
    </row>
    <row r="259" spans="2:5" ht="14.5" hidden="1" outlineLevel="1">
      <c r="B259" s="10" t="s">
        <v>4664</v>
      </c>
      <c r="C259" s="1266" t="s">
        <v>4538</v>
      </c>
      <c r="D259" s="21">
        <v>4684</v>
      </c>
      <c r="E259" s="1664"/>
    </row>
    <row r="260" spans="2:5" ht="14.5" hidden="1" outlineLevel="1">
      <c r="B260" s="10" t="s">
        <v>4665</v>
      </c>
      <c r="C260" s="1266" t="s">
        <v>4538</v>
      </c>
      <c r="D260" s="21">
        <v>1680</v>
      </c>
      <c r="E260" s="1664"/>
    </row>
    <row r="261" spans="2:5" ht="14.5" hidden="1" outlineLevel="1">
      <c r="B261" s="10" t="s">
        <v>4666</v>
      </c>
      <c r="C261" s="1266" t="s">
        <v>4556</v>
      </c>
      <c r="D261" s="21">
        <v>2574</v>
      </c>
      <c r="E261" s="1664"/>
    </row>
    <row r="262" spans="2:5" ht="15" hidden="1" outlineLevel="1" thickBot="1">
      <c r="B262" s="13" t="s">
        <v>4667</v>
      </c>
      <c r="C262" s="1267" t="s">
        <v>4556</v>
      </c>
      <c r="D262" s="22">
        <v>3705</v>
      </c>
      <c r="E262" s="1665"/>
    </row>
    <row r="263" spans="2:5" hidden="1" outlineLevel="1"/>
    <row r="264" spans="2:5" ht="14.5" hidden="1" outlineLevel="1" thickBot="1">
      <c r="B264" s="1251" t="s">
        <v>2109</v>
      </c>
    </row>
    <row r="265" spans="2:5" ht="14.5" hidden="1" outlineLevel="1">
      <c r="B265" s="4"/>
      <c r="C265" s="5"/>
      <c r="D265" s="5" t="s">
        <v>301</v>
      </c>
      <c r="E265" s="6" t="s">
        <v>70</v>
      </c>
    </row>
    <row r="266" spans="2:5" ht="15" hidden="1" outlineLevel="1" thickBot="1">
      <c r="B266" s="13" t="s">
        <v>1063</v>
      </c>
      <c r="C266" s="249">
        <v>825</v>
      </c>
      <c r="D266" s="1267" t="s">
        <v>1064</v>
      </c>
      <c r="E266" s="1285" t="s">
        <v>1065</v>
      </c>
    </row>
    <row r="267" spans="2:5" hidden="1" outlineLevel="1"/>
    <row r="268" spans="2:5" hidden="1" outlineLevel="1">
      <c r="B268" s="1251" t="s">
        <v>1066</v>
      </c>
    </row>
    <row r="269" spans="2:5" hidden="1" outlineLevel="1">
      <c r="B269" s="1251"/>
    </row>
    <row r="270" spans="2:5" ht="14.5" hidden="1" outlineLevel="1" thickBot="1">
      <c r="B270" s="1251" t="s">
        <v>1067</v>
      </c>
    </row>
    <row r="271" spans="2:5" ht="43.5" hidden="1" outlineLevel="1">
      <c r="B271" s="4"/>
      <c r="C271" s="5" t="s">
        <v>4677</v>
      </c>
      <c r="D271" s="6" t="s">
        <v>4678</v>
      </c>
    </row>
    <row r="272" spans="2:5" ht="14.5" hidden="1" outlineLevel="1">
      <c r="B272" s="10" t="s">
        <v>4635</v>
      </c>
      <c r="C272" s="11">
        <f>D256*C266/20</f>
        <v>62370</v>
      </c>
      <c r="D272" s="1295">
        <f>C272/C$61/1000</f>
        <v>3.5693095008529256E-3</v>
      </c>
    </row>
    <row r="273" spans="2:7" ht="29" hidden="1" outlineLevel="1">
      <c r="B273" s="10" t="s">
        <v>4670</v>
      </c>
      <c r="C273" s="11">
        <f>SUM(D257:D259)*C266/20</f>
        <v>444840</v>
      </c>
      <c r="D273" s="1295">
        <f>C273/SUM(D$87+E$87+F$87)/1000</f>
        <v>1.0485222257295531E-2</v>
      </c>
    </row>
    <row r="274" spans="2:7" ht="15" hidden="1" outlineLevel="1" thickBot="1">
      <c r="B274" s="13" t="s">
        <v>4671</v>
      </c>
      <c r="C274" s="14">
        <f>(D261+D262)*C266/20</f>
        <v>259008.75</v>
      </c>
      <c r="D274" s="248">
        <f>C274/(C$130*C$59*C$60)/1000</f>
        <v>2.1821921443736729E-2</v>
      </c>
    </row>
    <row r="275" spans="2:7" hidden="1" outlineLevel="1"/>
    <row r="276" spans="2:7" ht="14.5" hidden="1" outlineLevel="1" thickBot="1">
      <c r="B276" s="1251" t="s">
        <v>2734</v>
      </c>
    </row>
    <row r="277" spans="2:7" ht="29" hidden="1" outlineLevel="1">
      <c r="B277" s="4" t="s">
        <v>4655</v>
      </c>
      <c r="C277" s="5" t="s">
        <v>4679</v>
      </c>
      <c r="D277" s="6" t="s">
        <v>301</v>
      </c>
    </row>
    <row r="278" spans="2:7" ht="14.5" hidden="1" outlineLevel="1">
      <c r="B278" s="10" t="s">
        <v>4539</v>
      </c>
      <c r="C278" s="305">
        <f>D272</f>
        <v>3.5693095008529256E-3</v>
      </c>
      <c r="D278" s="17" t="s">
        <v>659</v>
      </c>
      <c r="G278" s="420"/>
    </row>
    <row r="279" spans="2:7" ht="14.5" hidden="1" outlineLevel="1">
      <c r="B279" s="10" t="s">
        <v>4538</v>
      </c>
      <c r="C279" s="305">
        <f>D273</f>
        <v>1.0485222257295531E-2</v>
      </c>
      <c r="D279" s="17" t="s">
        <v>659</v>
      </c>
      <c r="G279" s="420"/>
    </row>
    <row r="280" spans="2:7" ht="14.5" hidden="1" outlineLevel="1">
      <c r="B280" s="10" t="s">
        <v>4556</v>
      </c>
      <c r="C280" s="305">
        <f>D274</f>
        <v>2.1821921443736729E-2</v>
      </c>
      <c r="D280" s="17" t="s">
        <v>659</v>
      </c>
      <c r="G280" s="420"/>
    </row>
    <row r="281" spans="2:7" ht="15" hidden="1" outlineLevel="1" thickBot="1">
      <c r="B281" s="13" t="s">
        <v>4540</v>
      </c>
      <c r="C281" s="421">
        <f>D273</f>
        <v>1.0485222257295531E-2</v>
      </c>
      <c r="D281" s="38" t="s">
        <v>659</v>
      </c>
      <c r="E281" s="1251" t="s">
        <v>4680</v>
      </c>
      <c r="G281" s="420"/>
    </row>
    <row r="282" spans="2:7" hidden="1" outlineLevel="1"/>
    <row r="283" spans="2:7" collapsed="1"/>
    <row r="284" spans="2:7" ht="23.5">
      <c r="B284" s="2" t="s">
        <v>4681</v>
      </c>
    </row>
    <row r="286" spans="2:7" hidden="1" outlineLevel="1">
      <c r="B286" s="1251" t="s">
        <v>4682</v>
      </c>
    </row>
    <row r="287" spans="2:7" hidden="1" outlineLevel="1">
      <c r="B287" s="1251" t="s">
        <v>4683</v>
      </c>
    </row>
    <row r="288" spans="2:7" hidden="1" outlineLevel="1">
      <c r="B288" s="1251" t="s">
        <v>4684</v>
      </c>
      <c r="C288" s="1251"/>
    </row>
    <row r="289" spans="2:7" ht="14.5" hidden="1" outlineLevel="1" thickBot="1">
      <c r="B289" s="1251"/>
      <c r="C289" s="1251"/>
      <c r="G289" s="1251"/>
    </row>
    <row r="290" spans="2:7" ht="43.5" hidden="1" outlineLevel="1">
      <c r="B290" s="4" t="s">
        <v>4685</v>
      </c>
      <c r="C290" s="5" t="s">
        <v>4686</v>
      </c>
      <c r="D290" s="5" t="s">
        <v>301</v>
      </c>
      <c r="E290" s="6" t="s">
        <v>70</v>
      </c>
      <c r="G290" s="1251"/>
    </row>
    <row r="291" spans="2:7" ht="29" hidden="1" outlineLevel="1">
      <c r="B291" s="10" t="s">
        <v>4687</v>
      </c>
      <c r="C291" s="255">
        <v>0.35299999999999998</v>
      </c>
      <c r="D291" s="21" t="s">
        <v>4508</v>
      </c>
      <c r="E291" s="1283" t="s">
        <v>449</v>
      </c>
      <c r="G291" s="1251"/>
    </row>
    <row r="292" spans="2:7" ht="29" hidden="1" outlineLevel="1">
      <c r="B292" s="10" t="s">
        <v>4688</v>
      </c>
      <c r="C292" s="1266">
        <f>'Annexe - Logistique'!D30</f>
        <v>0.155</v>
      </c>
      <c r="D292" s="21" t="s">
        <v>4508</v>
      </c>
      <c r="E292" s="1283" t="s">
        <v>449</v>
      </c>
      <c r="G292" s="1251"/>
    </row>
    <row r="293" spans="2:7" ht="29" hidden="1" outlineLevel="1">
      <c r="B293" s="10" t="s">
        <v>4689</v>
      </c>
      <c r="C293" s="1266">
        <v>8.8599999999999998E-2</v>
      </c>
      <c r="D293" s="21" t="s">
        <v>4508</v>
      </c>
      <c r="E293" s="1283" t="s">
        <v>449</v>
      </c>
      <c r="G293" s="1251"/>
    </row>
    <row r="294" spans="2:7" ht="29.5" hidden="1" outlineLevel="1" thickBot="1">
      <c r="B294" s="13" t="s">
        <v>4690</v>
      </c>
      <c r="C294" s="1296">
        <v>0.117024285714286</v>
      </c>
      <c r="D294" s="22" t="s">
        <v>4508</v>
      </c>
      <c r="E294" s="1285" t="s">
        <v>4691</v>
      </c>
      <c r="G294" s="1251"/>
    </row>
    <row r="295" spans="2:7" hidden="1" outlineLevel="1">
      <c r="B295" s="1251"/>
      <c r="C295" s="1251"/>
      <c r="G295" s="1251"/>
    </row>
    <row r="296" spans="2:7" ht="14.5" hidden="1" outlineLevel="1" thickBot="1">
      <c r="B296" s="1251" t="s">
        <v>1093</v>
      </c>
      <c r="C296" s="24"/>
      <c r="D296" s="1251"/>
      <c r="G296" s="1251"/>
    </row>
    <row r="297" spans="2:7" ht="15" hidden="1" outlineLevel="1" thickBot="1">
      <c r="B297" s="20" t="s">
        <v>2328</v>
      </c>
      <c r="C297" s="256">
        <f>C292</f>
        <v>0.155</v>
      </c>
      <c r="D297" s="1320" t="s">
        <v>424</v>
      </c>
      <c r="G297" s="1251"/>
    </row>
    <row r="298" spans="2:7" hidden="1" outlineLevel="1">
      <c r="B298" s="1251"/>
      <c r="C298" s="1251"/>
      <c r="G298" s="1251"/>
    </row>
    <row r="299" spans="2:7" ht="14.5" hidden="1" outlineLevel="1" thickBot="1">
      <c r="B299" s="1251" t="s">
        <v>4692</v>
      </c>
      <c r="C299" s="1251"/>
      <c r="G299" s="1251"/>
    </row>
    <row r="300" spans="2:7" ht="15" hidden="1" outlineLevel="1" thickBot="1">
      <c r="B300" s="20" t="s">
        <v>2328</v>
      </c>
      <c r="C300" s="256">
        <v>8.5067926911841396E-2</v>
      </c>
      <c r="D300" s="1320" t="s">
        <v>424</v>
      </c>
      <c r="G300" s="1251"/>
    </row>
    <row r="301" spans="2:7" hidden="1" outlineLevel="1">
      <c r="B301" s="1251"/>
      <c r="C301" s="1251"/>
      <c r="G301" s="1251"/>
    </row>
    <row r="302" spans="2:7" hidden="1" outlineLevel="1">
      <c r="B302" s="1251" t="s">
        <v>4693</v>
      </c>
      <c r="C302" s="1251"/>
      <c r="G302" s="1251"/>
    </row>
    <row r="303" spans="2:7" hidden="1" outlineLevel="1">
      <c r="B303" s="1251" t="s">
        <v>4694</v>
      </c>
      <c r="C303" s="1251"/>
      <c r="G303" s="1251"/>
    </row>
    <row r="304" spans="2:7" collapsed="1"/>
    <row r="305" spans="2:3" ht="23.5">
      <c r="B305" s="2" t="s">
        <v>4695</v>
      </c>
    </row>
    <row r="307" spans="2:3" hidden="1" outlineLevel="1">
      <c r="B307" s="1251" t="s">
        <v>4696</v>
      </c>
    </row>
    <row r="308" spans="2:3" hidden="1" outlineLevel="1">
      <c r="B308" s="1251" t="s">
        <v>4697</v>
      </c>
    </row>
    <row r="309" spans="2:3" hidden="1" outlineLevel="1"/>
    <row r="310" spans="2:3" hidden="1" outlineLevel="1">
      <c r="B310" t="s">
        <v>4698</v>
      </c>
    </row>
    <row r="311" spans="2:3" collapsed="1"/>
    <row r="312" spans="2:3">
      <c r="B312" s="1251"/>
    </row>
    <row r="314" spans="2:3">
      <c r="C314" s="1251"/>
    </row>
    <row r="341" spans="3:3">
      <c r="C341" s="1251"/>
    </row>
  </sheetData>
  <mergeCells count="3">
    <mergeCell ref="E254:E262"/>
    <mergeCell ref="A1:XFD2"/>
    <mergeCell ref="C188:D188"/>
  </mergeCells>
  <phoneticPr fontId="33" type="noConversion"/>
  <conditionalFormatting sqref="A1:XFD2">
    <cfRule type="containsBlanks" dxfId="2" priority="1">
      <formula>LEN(TRIM(A1))=0</formula>
    </cfRule>
  </conditionalFormatting>
  <hyperlinks>
    <hyperlink ref="E223" r:id="rId1" display="https://www.sevremont.fr/wp-content/uploads/2020/06/Irradiateur-de-Pouzauges-Rapport-annuel-2019.pdf" xr:uid="{B944EDC2-57BD-4ED4-822A-ECCE42841584}"/>
    <hyperlink ref="J56" r:id="rId2" xr:uid="{C2E901ED-143A-422C-8065-9CFAE3520EDC}"/>
    <hyperlink ref="J58" r:id="rId3" location="1496737147549-e8bf514f-c58d" display="https://www.ionisos.com/es/internacional/ - 1496737147549-e8bf514f-c58d" xr:uid="{FD1F26F9-4C71-4A4C-9D85-091338E98BDD}"/>
    <hyperlink ref="C81" r:id="rId4" display="https://opendata.agenceore.fr/explore/dataset/conso-elec-gaz-annuelle-par-naf-agregee-commune/table/?sort=conso&amp;dataChart=eyJxdWVyaWVzIjpbeyJjaGFydHMiOlt7InR5cGUiOiJjb2x1bW4iLCJmdW5jIjoiU1VNIiwieUF4aXMiOiJjb25zbyIsInNjaWVudGlmaWNEaXNwbGF5Ijp0cnVlLCJjb2xvciI6InJhbmdlLWN1c3RvbSJ9XSwieEF4aXMiOiJhbm5lZSIsIm1heHBvaW50cyI6IiIsInRpbWVzY2FsZSI6InllYXIiLCJzb3J0IjoiIiwic2VyaWVzQnJlYWtkb3duIjoiZmlsaWVyZSIsImNvbmZpZyI6eyJkYXRhc2V0IjoiY29uc28tZWxlYy1nYXotYW5udWVsbGUtcGFyLW5hZi1hZ3JlZ2VlLWNvbW11bmUiLCJvcHRpb25zIjp7InJlZmluZS5hbm5lZSI6IjIwMjEiLCJyZWZpbmUubGliZWxsZV9jYXRlZ29yaWVfY29uc29tbWF0aW9uIjoiRW50cmVwcmlzZXMiLCJyZWZpbmUubGliZWxsZV9ncmFuZF9zZWN0ZXVyIjoiSW5kdXN0cmllIiwicmVmaW5lLmxpYmVsbGVfc2VjdGV1cl9uYWYyIjoiQXV0cmVzIGluZHVzdHJpZXMgbWFudWZhY3R1cmlcdTAwRThyZXMifX19XSwiZGlzcGxheUxlZ2VuZCI6dHJ1ZSwiYWxpZ25Nb250aCI6dHJ1ZX0%3D&amp;refine.code_departement=10&amp;refine.libelle_commune=Chaumesnil&amp;refine.libelle_grand_secteur=Industrie&amp;refine.libelle_secteur_naf2=Industrie+pharmaceutique" xr:uid="{8CA8C958-8664-4E5D-ADDE-46D874D311B8}"/>
    <hyperlink ref="E222" r:id="rId5" display="https://www.ouest-france.fr/environnement/nucleaire/le-seul-site-nucleaire-de-la-sarthe-appele-a-se-montrer-plus-vigilant-sur-ses-procedures-de-surete-10415408-7032-11ef-9636-7dbb9f35abc5" xr:uid="{4AFBB3C2-495E-4690-960E-8ABF80F6187E}"/>
    <hyperlink ref="C84" r:id="rId6" xr:uid="{BC6A303A-6986-4F2B-80D1-34A8FED9BEF2}"/>
    <hyperlink ref="B159" r:id="rId7" display="https://www.nordion.com/cobalt-60/a-sustainable-sterilization-method/" xr:uid="{DA0CAE14-172B-4D60-9C76-F3C0C5AB46A2}"/>
    <hyperlink ref="F188" r:id="rId8" display="https://www.ionisos.com/wp-content/uploads/2023/11/Sustainability-report-2022-1.pdf" xr:uid="{9BD0379E-1B82-4985-A39E-DCA651667511}"/>
    <hyperlink ref="E204" r:id="rId9" display="https://www.ionisos.com/wp-content/uploads/2023/11/Sustainability-report-2022-1.pdf" xr:uid="{F8DC0FEE-3DF6-4BB1-B9E2-B2C382F12641}"/>
    <hyperlink ref="E205" r:id="rId10" display="https://www.ionisos.com/wp-content/uploads/2023/11/Sustainability-report-2022-1.pdf" xr:uid="{599DAC59-C8B7-44B8-862B-F85480AB7887}"/>
    <hyperlink ref="B18" r:id="rId11" display="https://www.iba-worldwide.com/sites/default/files/2023-03/iba-brochure-corporate-2021-fr.pdf" xr:uid="{1932C672-F449-4AAA-9164-61BAF0B668CB}"/>
  </hyperlinks>
  <pageMargins left="0.7" right="0.7" top="0.75" bottom="0.75" header="0.3" footer="0.3"/>
  <pageSetup paperSize="9" orientation="portrait" r:id="rId12"/>
  <drawing r:id="rId1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C2B1E2-3EA6-45C3-BBB9-AD8D931D7F21}">
  <sheetPr>
    <tabColor theme="3"/>
  </sheetPr>
  <dimension ref="A1:O197"/>
  <sheetViews>
    <sheetView zoomScale="60" zoomScaleNormal="60" workbookViewId="0">
      <selection sqref="A1:XFD2"/>
    </sheetView>
  </sheetViews>
  <sheetFormatPr baseColWidth="10" defaultColWidth="11" defaultRowHeight="14" outlineLevelRow="1"/>
  <cols>
    <col min="2" max="2" width="28.83203125" customWidth="1"/>
    <col min="3" max="3" width="18.6640625" customWidth="1"/>
    <col min="4" max="4" width="16.6640625" customWidth="1"/>
    <col min="5" max="5" width="13.1640625" customWidth="1"/>
    <col min="6" max="8" width="13" bestFit="1" customWidth="1"/>
    <col min="10" max="13" width="20" style="1" customWidth="1"/>
    <col min="14" max="14" width="12.83203125" bestFit="1" customWidth="1"/>
  </cols>
  <sheetData>
    <row r="1" spans="1:13" s="1505" customFormat="1">
      <c r="A1" s="1505" t="s">
        <v>63</v>
      </c>
    </row>
    <row r="2" spans="1:13" s="1505" customFormat="1"/>
    <row r="3" spans="1:13">
      <c r="J3"/>
      <c r="K3"/>
      <c r="L3"/>
      <c r="M3"/>
    </row>
    <row r="4" spans="1:13">
      <c r="B4" s="1251" t="s">
        <v>4699</v>
      </c>
      <c r="C4" s="89"/>
      <c r="J4"/>
      <c r="K4"/>
      <c r="L4"/>
      <c r="M4"/>
    </row>
    <row r="5" spans="1:13">
      <c r="B5" s="1251" t="s">
        <v>4700</v>
      </c>
      <c r="C5" s="89"/>
      <c r="J5"/>
      <c r="K5"/>
      <c r="L5"/>
      <c r="M5"/>
    </row>
    <row r="8" spans="1:13" s="425" customFormat="1" ht="30">
      <c r="A8" s="424" t="s">
        <v>4701</v>
      </c>
      <c r="J8" s="668"/>
      <c r="K8" s="668"/>
      <c r="L8" s="668"/>
      <c r="M8" s="668"/>
    </row>
    <row r="10" spans="1:13" hidden="1" outlineLevel="1">
      <c r="B10" s="1251" t="s">
        <v>4702</v>
      </c>
      <c r="C10" s="1251"/>
      <c r="D10" s="1251"/>
      <c r="E10" s="1251"/>
    </row>
    <row r="11" spans="1:13" hidden="1" outlineLevel="1">
      <c r="B11" s="1251" t="s">
        <v>4703</v>
      </c>
      <c r="C11" s="1251"/>
      <c r="D11" s="1251"/>
      <c r="E11" s="1251"/>
    </row>
    <row r="12" spans="1:13" hidden="1" outlineLevel="1">
      <c r="C12" s="1251"/>
      <c r="D12" s="1251"/>
      <c r="E12" s="1251"/>
    </row>
    <row r="13" spans="1:13" hidden="1" outlineLevel="1">
      <c r="B13" s="1251" t="s">
        <v>4704</v>
      </c>
      <c r="C13" s="1251"/>
      <c r="D13" s="1251"/>
      <c r="E13" s="1251"/>
    </row>
    <row r="14" spans="1:13" ht="14.5" hidden="1" outlineLevel="1" thickBot="1">
      <c r="K14" s="1335" t="s">
        <v>4705</v>
      </c>
      <c r="L14" s="47" t="s">
        <v>4706</v>
      </c>
    </row>
    <row r="15" spans="1:13" ht="29" hidden="1" outlineLevel="1">
      <c r="B15" s="4" t="s">
        <v>4707</v>
      </c>
      <c r="C15" s="5" t="s">
        <v>4708</v>
      </c>
      <c r="D15" s="5" t="s">
        <v>70</v>
      </c>
      <c r="E15" s="6" t="s">
        <v>4709</v>
      </c>
    </row>
    <row r="16" spans="1:13" ht="14.5" hidden="1" outlineLevel="1">
      <c r="B16" s="10" t="s">
        <v>4710</v>
      </c>
      <c r="C16" s="1298">
        <v>0.6</v>
      </c>
      <c r="D16" s="113" t="s">
        <v>4711</v>
      </c>
      <c r="E16" s="1301" t="s">
        <v>2635</v>
      </c>
    </row>
    <row r="17" spans="2:6" ht="14.5" hidden="1" outlineLevel="1">
      <c r="B17" s="10" t="s">
        <v>3017</v>
      </c>
      <c r="C17" s="1298">
        <v>1.0649999999999999</v>
      </c>
      <c r="D17" s="113" t="s">
        <v>4712</v>
      </c>
      <c r="E17" s="1301" t="s">
        <v>2635</v>
      </c>
    </row>
    <row r="18" spans="2:6" ht="14.5" hidden="1" outlineLevel="1">
      <c r="B18" s="10" t="s">
        <v>4713</v>
      </c>
      <c r="C18" s="1298">
        <v>1.2</v>
      </c>
      <c r="D18" s="113" t="s">
        <v>4714</v>
      </c>
      <c r="E18" s="1301" t="s">
        <v>2635</v>
      </c>
    </row>
    <row r="19" spans="2:6" ht="14.5" hidden="1" outlineLevel="1">
      <c r="B19" s="10" t="s">
        <v>4715</v>
      </c>
      <c r="C19" s="1298">
        <v>0.63</v>
      </c>
      <c r="D19" s="113" t="s">
        <v>4716</v>
      </c>
      <c r="E19" s="1301" t="s">
        <v>2635</v>
      </c>
    </row>
    <row r="20" spans="2:6" ht="14.5" hidden="1" outlineLevel="1">
      <c r="B20" s="25" t="s">
        <v>4717</v>
      </c>
      <c r="C20" s="1413">
        <v>1.55</v>
      </c>
      <c r="D20" s="101" t="s">
        <v>4718</v>
      </c>
      <c r="E20" s="1301" t="s">
        <v>2635</v>
      </c>
    </row>
    <row r="21" spans="2:6" ht="15" hidden="1" outlineLevel="1" thickBot="1">
      <c r="B21" s="13" t="s">
        <v>4719</v>
      </c>
      <c r="C21" s="170">
        <v>1.8</v>
      </c>
      <c r="D21" s="144" t="s">
        <v>4720</v>
      </c>
      <c r="E21" s="209" t="s">
        <v>2635</v>
      </c>
    </row>
    <row r="22" spans="2:6" hidden="1" outlineLevel="1"/>
    <row r="23" spans="2:6" ht="14.5" hidden="1" outlineLevel="1" thickBot="1">
      <c r="B23" s="1251" t="s">
        <v>4721</v>
      </c>
    </row>
    <row r="24" spans="2:6" ht="15" hidden="1" outlineLevel="1" thickBot="1">
      <c r="B24" s="20" t="s">
        <v>4722</v>
      </c>
      <c r="C24" s="1338">
        <v>3.8822999999999999</v>
      </c>
      <c r="D24" s="1305" t="s">
        <v>4723</v>
      </c>
      <c r="E24" s="1251"/>
    </row>
    <row r="25" spans="2:6" hidden="1" outlineLevel="1">
      <c r="B25" s="1251"/>
      <c r="C25" s="1251"/>
      <c r="D25" s="1251"/>
      <c r="E25" s="1251"/>
    </row>
    <row r="26" spans="2:6" hidden="1" outlineLevel="1">
      <c r="B26" s="1251" t="s">
        <v>4724</v>
      </c>
      <c r="C26" s="1251"/>
      <c r="D26" s="1251"/>
      <c r="E26" s="1251"/>
    </row>
    <row r="27" spans="2:6" ht="14.5" hidden="1" outlineLevel="1" thickBot="1">
      <c r="B27" s="1251"/>
      <c r="C27" s="1251"/>
      <c r="D27" s="1251"/>
      <c r="E27" s="1251"/>
    </row>
    <row r="28" spans="2:6" ht="29" hidden="1" outlineLevel="1">
      <c r="B28" s="4" t="s">
        <v>4725</v>
      </c>
      <c r="C28" s="5" t="s">
        <v>3079</v>
      </c>
      <c r="D28" s="5" t="s">
        <v>4726</v>
      </c>
      <c r="E28" s="5" t="s">
        <v>3679</v>
      </c>
      <c r="F28" s="6"/>
    </row>
    <row r="29" spans="2:6" ht="43.5" hidden="1" outlineLevel="1">
      <c r="B29" s="10" t="s">
        <v>4727</v>
      </c>
      <c r="C29" s="113" t="s">
        <v>4728</v>
      </c>
      <c r="D29" s="1266" t="s">
        <v>4729</v>
      </c>
      <c r="E29" s="168"/>
      <c r="F29" s="1283"/>
    </row>
    <row r="30" spans="2:6" ht="15" hidden="1" outlineLevel="1" thickBot="1">
      <c r="B30" s="13" t="s">
        <v>4730</v>
      </c>
      <c r="C30" s="144" t="s">
        <v>4731</v>
      </c>
      <c r="D30" s="1267" t="s">
        <v>4732</v>
      </c>
      <c r="E30" s="170" t="s">
        <v>4733</v>
      </c>
      <c r="F30" s="1285"/>
    </row>
    <row r="31" spans="2:6" hidden="1" outlineLevel="1"/>
    <row r="32" spans="2:6" ht="14.5" hidden="1" outlineLevel="1" thickBot="1">
      <c r="B32" s="1251" t="s">
        <v>4734</v>
      </c>
    </row>
    <row r="33" spans="1:13" ht="15" hidden="1" outlineLevel="1" thickBot="1">
      <c r="B33" s="20" t="s">
        <v>4735</v>
      </c>
      <c r="C33" s="371">
        <f>5*C24</f>
        <v>19.4115</v>
      </c>
      <c r="D33" s="35" t="s">
        <v>659</v>
      </c>
    </row>
    <row r="34" spans="1:13" hidden="1" outlineLevel="1"/>
    <row r="35" spans="1:13" collapsed="1"/>
    <row r="36" spans="1:13" s="425" customFormat="1" ht="30">
      <c r="A36" s="424" t="s">
        <v>4736</v>
      </c>
      <c r="J36" s="668"/>
      <c r="K36" s="668"/>
      <c r="L36" s="668"/>
      <c r="M36" s="668"/>
    </row>
    <row r="39" spans="1:13" ht="15.5">
      <c r="B39" s="45" t="s">
        <v>975</v>
      </c>
    </row>
    <row r="41" spans="1:13" hidden="1" outlineLevel="1">
      <c r="B41" t="s">
        <v>4737</v>
      </c>
      <c r="F41" s="1210"/>
      <c r="G41" s="1210"/>
    </row>
    <row r="42" spans="1:13" hidden="1" outlineLevel="1">
      <c r="F42" s="1210"/>
      <c r="G42" s="1210"/>
    </row>
    <row r="43" spans="1:13" hidden="1" outlineLevel="1">
      <c r="B43" t="s">
        <v>4738</v>
      </c>
      <c r="F43" s="1210"/>
      <c r="G43" s="1210"/>
      <c r="J43"/>
      <c r="K43"/>
      <c r="L43"/>
      <c r="M43"/>
    </row>
    <row r="44" spans="1:13" hidden="1" outlineLevel="1">
      <c r="B44" t="s">
        <v>4739</v>
      </c>
      <c r="F44" s="1210"/>
      <c r="G44" s="1210"/>
      <c r="J44"/>
      <c r="K44"/>
      <c r="L44"/>
      <c r="M44"/>
    </row>
    <row r="45" spans="1:13" hidden="1" outlineLevel="1">
      <c r="F45" s="1210"/>
      <c r="G45" s="1210"/>
      <c r="J45"/>
      <c r="K45"/>
      <c r="L45"/>
      <c r="M45"/>
    </row>
    <row r="46" spans="1:13" hidden="1" outlineLevel="1">
      <c r="F46" s="1210"/>
      <c r="G46" s="1210"/>
      <c r="J46"/>
      <c r="K46"/>
      <c r="L46"/>
      <c r="M46"/>
    </row>
    <row r="47" spans="1:13" ht="14.5" hidden="1" outlineLevel="1" thickBot="1">
      <c r="B47" s="1"/>
      <c r="C47" s="1"/>
      <c r="D47" s="1"/>
      <c r="E47" s="1"/>
      <c r="F47" s="1"/>
      <c r="G47" s="1"/>
      <c r="J47"/>
      <c r="K47"/>
      <c r="L47"/>
      <c r="M47"/>
    </row>
    <row r="48" spans="1:13" ht="14.5" hidden="1" outlineLevel="1">
      <c r="B48" s="169"/>
      <c r="C48" s="158" t="s">
        <v>4740</v>
      </c>
      <c r="D48" s="159" t="s">
        <v>4741</v>
      </c>
      <c r="F48" s="1210"/>
      <c r="G48" s="1210"/>
      <c r="J48"/>
      <c r="K48"/>
      <c r="L48"/>
      <c r="M48"/>
    </row>
    <row r="49" spans="1:13" ht="14.5" hidden="1" outlineLevel="1">
      <c r="B49" s="10" t="s">
        <v>2589</v>
      </c>
      <c r="C49" s="11">
        <v>717</v>
      </c>
      <c r="D49" s="12">
        <v>800</v>
      </c>
      <c r="F49" s="1210"/>
      <c r="G49" s="1210"/>
      <c r="J49"/>
      <c r="K49"/>
      <c r="L49"/>
      <c r="M49"/>
    </row>
    <row r="50" spans="1:13" ht="14.5" hidden="1" outlineLevel="1">
      <c r="B50" s="10" t="s">
        <v>341</v>
      </c>
      <c r="C50" s="11">
        <v>900</v>
      </c>
      <c r="D50" s="12">
        <v>1040</v>
      </c>
      <c r="F50" s="1210"/>
      <c r="G50" s="1210"/>
      <c r="J50"/>
      <c r="K50"/>
      <c r="L50"/>
      <c r="M50"/>
    </row>
    <row r="51" spans="1:13" ht="14.5" hidden="1" outlineLevel="1">
      <c r="B51" s="10" t="s">
        <v>3088</v>
      </c>
      <c r="C51" s="11">
        <v>600</v>
      </c>
      <c r="D51" s="12">
        <v>800</v>
      </c>
    </row>
    <row r="52" spans="1:13" ht="14.5" hidden="1" outlineLevel="1">
      <c r="B52" s="10" t="s">
        <v>3092</v>
      </c>
      <c r="C52" s="11">
        <v>800</v>
      </c>
      <c r="D52" s="12">
        <v>1200</v>
      </c>
    </row>
    <row r="53" spans="1:13" ht="14.5" hidden="1" outlineLevel="1">
      <c r="B53" s="10" t="s">
        <v>3096</v>
      </c>
      <c r="C53" s="11">
        <v>700</v>
      </c>
      <c r="D53" s="12">
        <v>900</v>
      </c>
    </row>
    <row r="54" spans="1:13" ht="14.5" hidden="1" outlineLevel="1">
      <c r="B54" s="10" t="s">
        <v>3099</v>
      </c>
      <c r="C54" s="11">
        <v>650</v>
      </c>
      <c r="D54" s="12">
        <v>1120</v>
      </c>
      <c r="E54" s="1251"/>
    </row>
    <row r="55" spans="1:13" ht="14.5" hidden="1" outlineLevel="1">
      <c r="B55" s="10" t="s">
        <v>4742</v>
      </c>
      <c r="C55" s="11">
        <v>750</v>
      </c>
      <c r="D55" s="12">
        <v>500</v>
      </c>
      <c r="E55" s="1251"/>
    </row>
    <row r="56" spans="1:13" ht="14.5" hidden="1" outlineLevel="1">
      <c r="B56" s="10" t="s">
        <v>4743</v>
      </c>
      <c r="C56" s="11">
        <v>850</v>
      </c>
      <c r="D56" s="12">
        <v>833</v>
      </c>
    </row>
    <row r="57" spans="1:13" ht="14.5" hidden="1" outlineLevel="1">
      <c r="B57" s="10" t="s">
        <v>4744</v>
      </c>
      <c r="C57" s="11">
        <v>900</v>
      </c>
      <c r="D57" s="12">
        <v>1060</v>
      </c>
    </row>
    <row r="58" spans="1:13" ht="14.5" hidden="1" outlineLevel="1">
      <c r="B58" s="10" t="s">
        <v>4745</v>
      </c>
      <c r="C58" s="11">
        <v>1050</v>
      </c>
      <c r="D58" s="12">
        <v>1320</v>
      </c>
    </row>
    <row r="59" spans="1:13" ht="15" hidden="1" outlineLevel="1" thickBot="1">
      <c r="B59" s="25" t="s">
        <v>4746</v>
      </c>
      <c r="C59" s="355">
        <v>700</v>
      </c>
      <c r="D59" s="1052">
        <v>1200</v>
      </c>
    </row>
    <row r="60" spans="1:13" ht="15" hidden="1" outlineLevel="1" thickBot="1">
      <c r="A60" s="87"/>
      <c r="B60" s="20" t="s">
        <v>144</v>
      </c>
      <c r="C60" s="1211">
        <f>AVERAGE(C49:C59)</f>
        <v>783.36363636363637</v>
      </c>
      <c r="D60" s="142">
        <f>AVERAGE(D49:D59)</f>
        <v>979.36363636363637</v>
      </c>
    </row>
    <row r="61" spans="1:13" hidden="1" outlineLevel="1">
      <c r="A61" s="87"/>
      <c r="B61" s="1"/>
      <c r="C61" s="1"/>
      <c r="D61" s="1"/>
    </row>
    <row r="62" spans="1:13" hidden="1" outlineLevel="1">
      <c r="A62" s="87"/>
      <c r="B62" t="s">
        <v>4747</v>
      </c>
      <c r="C62" s="48"/>
      <c r="D62" s="1335"/>
    </row>
    <row r="63" spans="1:13" hidden="1" outlineLevel="1">
      <c r="A63" s="87"/>
    </row>
    <row r="64" spans="1:13" hidden="1" outlineLevel="1">
      <c r="A64" s="87"/>
      <c r="B64" t="s">
        <v>4748</v>
      </c>
    </row>
    <row r="65" spans="1:12" hidden="1" outlineLevel="1">
      <c r="A65" s="87"/>
    </row>
    <row r="66" spans="1:12" ht="14.5" hidden="1" outlineLevel="1" thickBot="1">
      <c r="A66" s="87"/>
      <c r="B66" t="s">
        <v>4749</v>
      </c>
    </row>
    <row r="67" spans="1:12" ht="44" hidden="1" outlineLevel="1" thickBot="1">
      <c r="A67" s="87"/>
      <c r="B67" s="20" t="s">
        <v>4750</v>
      </c>
      <c r="C67" s="1028">
        <f>1.05</f>
        <v>1.05</v>
      </c>
    </row>
    <row r="68" spans="1:12" hidden="1" outlineLevel="1">
      <c r="A68" s="87"/>
      <c r="J68"/>
      <c r="K68"/>
      <c r="L68"/>
    </row>
    <row r="69" spans="1:12" collapsed="1">
      <c r="A69" s="87"/>
      <c r="B69" s="1251"/>
    </row>
    <row r="70" spans="1:12" ht="15.5">
      <c r="A70" s="87"/>
      <c r="B70" s="45" t="s">
        <v>4751</v>
      </c>
    </row>
    <row r="71" spans="1:12">
      <c r="A71" s="87"/>
    </row>
    <row r="72" spans="1:12" hidden="1" outlineLevel="1">
      <c r="A72" s="87"/>
      <c r="B72" t="s">
        <v>4752</v>
      </c>
    </row>
    <row r="73" spans="1:12" ht="14.5" hidden="1" outlineLevel="1" thickBot="1">
      <c r="A73" s="87"/>
      <c r="B73" t="s">
        <v>4753</v>
      </c>
    </row>
    <row r="74" spans="1:12" ht="29" hidden="1" outlineLevel="1">
      <c r="A74" s="87"/>
      <c r="B74" s="169"/>
      <c r="C74" s="158" t="s">
        <v>4754</v>
      </c>
      <c r="D74" s="158" t="s">
        <v>70</v>
      </c>
      <c r="E74" s="158" t="s">
        <v>4755</v>
      </c>
      <c r="F74" s="159" t="s">
        <v>70</v>
      </c>
    </row>
    <row r="75" spans="1:12" ht="29.5" hidden="1" outlineLevel="1" thickBot="1">
      <c r="A75" s="87"/>
      <c r="B75" s="13" t="s">
        <v>4756</v>
      </c>
      <c r="C75" s="170">
        <v>3.03</v>
      </c>
      <c r="D75" s="144" t="s">
        <v>4757</v>
      </c>
      <c r="E75" s="1472">
        <v>0.97</v>
      </c>
      <c r="F75" s="1285" t="s">
        <v>4758</v>
      </c>
    </row>
    <row r="76" spans="1:12" hidden="1" outlineLevel="1">
      <c r="A76" s="87"/>
    </row>
    <row r="77" spans="1:12" ht="14.5" hidden="1" outlineLevel="1" thickBot="1">
      <c r="A77" s="87"/>
      <c r="B77" s="1251" t="s">
        <v>4759</v>
      </c>
      <c r="J77"/>
      <c r="K77"/>
      <c r="L77"/>
    </row>
    <row r="78" spans="1:12" ht="29" hidden="1" outlineLevel="1">
      <c r="A78" s="87"/>
      <c r="B78" s="169" t="s">
        <v>4760</v>
      </c>
      <c r="C78" s="158" t="s">
        <v>186</v>
      </c>
      <c r="D78" s="158" t="s">
        <v>426</v>
      </c>
      <c r="E78" s="159" t="s">
        <v>4761</v>
      </c>
      <c r="J78"/>
      <c r="K78"/>
      <c r="L78"/>
    </row>
    <row r="79" spans="1:12" ht="14.5" hidden="1" outlineLevel="1">
      <c r="A79" s="87"/>
      <c r="B79" s="10" t="s">
        <v>597</v>
      </c>
      <c r="C79" s="168">
        <v>0.1195271558419507</v>
      </c>
      <c r="D79" s="168">
        <v>0.50430534505446822</v>
      </c>
      <c r="E79" s="132">
        <v>1.47313051647432</v>
      </c>
      <c r="J79"/>
      <c r="K79"/>
      <c r="L79"/>
    </row>
    <row r="80" spans="1:12" ht="15" hidden="1" outlineLevel="1" thickBot="1">
      <c r="A80" s="87"/>
      <c r="B80" s="13" t="s">
        <v>4762</v>
      </c>
      <c r="C80" s="1674">
        <v>0.1617669538909087</v>
      </c>
      <c r="D80" s="1675"/>
      <c r="E80" s="1676"/>
      <c r="J80"/>
      <c r="K80"/>
      <c r="L80"/>
    </row>
    <row r="81" spans="1:15" hidden="1" outlineLevel="1">
      <c r="A81" s="87"/>
      <c r="J81"/>
      <c r="K81"/>
      <c r="L81"/>
    </row>
    <row r="82" spans="1:15" ht="14.5" hidden="1" outlineLevel="1" thickBot="1">
      <c r="A82" s="87"/>
      <c r="B82" s="1251" t="s">
        <v>4763</v>
      </c>
    </row>
    <row r="83" spans="1:15" ht="58" hidden="1" outlineLevel="1">
      <c r="A83" s="87"/>
      <c r="B83" s="1553" t="s">
        <v>4764</v>
      </c>
      <c r="C83" s="1554"/>
      <c r="D83" s="158" t="s">
        <v>4765</v>
      </c>
      <c r="E83" s="158" t="s">
        <v>4766</v>
      </c>
      <c r="F83" s="158" t="s">
        <v>4767</v>
      </c>
      <c r="G83" s="169" t="s">
        <v>4768</v>
      </c>
      <c r="H83" s="159" t="s">
        <v>4769</v>
      </c>
    </row>
    <row r="84" spans="1:15" ht="14.5" hidden="1" outlineLevel="1">
      <c r="A84" s="87"/>
      <c r="B84" s="1661" t="s">
        <v>4770</v>
      </c>
      <c r="C84" s="149" t="s">
        <v>596</v>
      </c>
      <c r="D84" s="247">
        <v>0.51564333001309604</v>
      </c>
      <c r="E84" s="247">
        <v>0.88</v>
      </c>
      <c r="F84" s="1208">
        <v>1.8081162162943261</v>
      </c>
      <c r="G84" s="702">
        <v>0.88074417475755595</v>
      </c>
      <c r="H84" s="1473">
        <v>1.50676408733897</v>
      </c>
    </row>
    <row r="85" spans="1:15" ht="29" hidden="1" outlineLevel="1">
      <c r="A85" s="87"/>
      <c r="B85" s="1661"/>
      <c r="C85" s="149" t="s">
        <v>597</v>
      </c>
      <c r="D85" s="247">
        <v>0.1195271558419507</v>
      </c>
      <c r="E85" s="247">
        <v>0.50430534505446822</v>
      </c>
      <c r="F85" s="1208">
        <v>1.47313051647432</v>
      </c>
      <c r="G85" s="702"/>
      <c r="H85" s="703"/>
    </row>
    <row r="86" spans="1:15" ht="29.5" hidden="1" outlineLevel="1" thickBot="1">
      <c r="A86" s="87"/>
      <c r="B86" s="1662"/>
      <c r="C86" s="160" t="s">
        <v>598</v>
      </c>
      <c r="D86" s="127">
        <v>0.1617669538909087</v>
      </c>
      <c r="E86" s="127">
        <v>0.1617669538909087</v>
      </c>
      <c r="F86" s="1209">
        <v>0.1617669538909087</v>
      </c>
      <c r="G86" s="704">
        <v>3.1572222389170825E-2</v>
      </c>
      <c r="H86" s="705">
        <v>3.1572222389170825E-2</v>
      </c>
    </row>
    <row r="87" spans="1:15" hidden="1" outlineLevel="1">
      <c r="A87" s="87"/>
      <c r="D87" s="706"/>
      <c r="E87" s="706"/>
      <c r="F87" s="706"/>
      <c r="G87" s="706"/>
      <c r="H87" s="706"/>
    </row>
    <row r="88" spans="1:15" hidden="1" outlineLevel="1">
      <c r="A88" s="87"/>
    </row>
    <row r="89" spans="1:15" hidden="1" outlineLevel="1">
      <c r="A89" s="87"/>
      <c r="N89" s="1251"/>
      <c r="O89" s="1251"/>
    </row>
    <row r="90" spans="1:15" hidden="1" outlineLevel="1">
      <c r="A90" s="87"/>
    </row>
    <row r="91" spans="1:15" hidden="1" outlineLevel="1">
      <c r="A91" s="87"/>
    </row>
    <row r="92" spans="1:15" hidden="1" outlineLevel="1">
      <c r="A92" s="87"/>
    </row>
    <row r="93" spans="1:15" hidden="1" outlineLevel="1">
      <c r="A93" s="87"/>
    </row>
    <row r="94" spans="1:15" hidden="1" outlineLevel="1">
      <c r="A94" s="87"/>
    </row>
    <row r="95" spans="1:15" hidden="1" outlineLevel="1">
      <c r="A95" s="87"/>
    </row>
    <row r="96" spans="1:15" hidden="1" outlineLevel="1">
      <c r="A96" s="87"/>
    </row>
    <row r="97" spans="1:13" hidden="1" outlineLevel="1">
      <c r="A97" s="87"/>
    </row>
    <row r="98" spans="1:13" hidden="1" outlineLevel="1">
      <c r="A98" s="87"/>
    </row>
    <row r="99" spans="1:13" hidden="1" outlineLevel="1">
      <c r="A99" s="87"/>
    </row>
    <row r="100" spans="1:13" hidden="1" outlineLevel="1">
      <c r="A100" s="87"/>
    </row>
    <row r="101" spans="1:13" hidden="1" outlineLevel="1">
      <c r="A101" s="87"/>
    </row>
    <row r="102" spans="1:13" hidden="1" outlineLevel="1">
      <c r="A102" s="87"/>
    </row>
    <row r="103" spans="1:13" hidden="1" outlineLevel="1">
      <c r="A103" s="87"/>
    </row>
    <row r="104" spans="1:13" hidden="1" outlineLevel="1">
      <c r="A104" s="87"/>
    </row>
    <row r="105" spans="1:13" hidden="1" outlineLevel="1">
      <c r="A105" s="87"/>
    </row>
    <row r="106" spans="1:13" hidden="1" outlineLevel="1">
      <c r="A106" s="87"/>
    </row>
    <row r="107" spans="1:13" hidden="1" outlineLevel="1">
      <c r="A107" s="87"/>
    </row>
    <row r="108" spans="1:13" hidden="1" outlineLevel="1">
      <c r="A108" s="87"/>
    </row>
    <row r="109" spans="1:13" collapsed="1">
      <c r="A109" s="87"/>
    </row>
    <row r="111" spans="1:13" s="425" customFormat="1" ht="30">
      <c r="A111" s="424" t="s">
        <v>4771</v>
      </c>
      <c r="J111" s="668"/>
      <c r="K111" s="668"/>
      <c r="L111" s="668"/>
      <c r="M111" s="668"/>
    </row>
    <row r="113" spans="2:15" ht="15.5">
      <c r="B113" s="45" t="s">
        <v>4772</v>
      </c>
      <c r="D113" s="1"/>
    </row>
    <row r="114" spans="2:15">
      <c r="D114" s="1"/>
      <c r="F114" s="1"/>
      <c r="G114" s="1"/>
      <c r="H114" s="1"/>
    </row>
    <row r="115" spans="2:15" hidden="1" outlineLevel="1">
      <c r="B115" s="1251" t="s">
        <v>4773</v>
      </c>
      <c r="D115" s="1"/>
      <c r="E115" s="3"/>
      <c r="F115" s="1"/>
      <c r="G115" s="1"/>
      <c r="H115" s="1"/>
    </row>
    <row r="116" spans="2:15" hidden="1" outlineLevel="1">
      <c r="B116" s="1251" t="s">
        <v>4774</v>
      </c>
      <c r="D116" s="1"/>
      <c r="E116" s="3"/>
      <c r="F116" s="1"/>
      <c r="G116" s="1"/>
      <c r="H116" s="1"/>
    </row>
    <row r="117" spans="2:15" hidden="1" outlineLevel="1">
      <c r="B117" s="1251" t="s">
        <v>4775</v>
      </c>
      <c r="D117" s="1"/>
      <c r="E117" s="3"/>
      <c r="F117" s="1"/>
      <c r="G117" s="1"/>
      <c r="H117" s="1"/>
    </row>
    <row r="118" spans="2:15" hidden="1" outlineLevel="1">
      <c r="B118" s="1251" t="s">
        <v>4776</v>
      </c>
      <c r="D118" s="1"/>
      <c r="E118" s="3"/>
      <c r="F118" s="1"/>
      <c r="G118" s="1"/>
      <c r="H118" s="1"/>
    </row>
    <row r="119" spans="2:15" hidden="1" outlineLevel="1">
      <c r="B119" s="1251" t="s">
        <v>4777</v>
      </c>
      <c r="D119" s="1"/>
      <c r="E119" s="3"/>
      <c r="F119" s="1"/>
      <c r="G119" s="1"/>
      <c r="H119" s="1"/>
    </row>
    <row r="120" spans="2:15" hidden="1" outlineLevel="1">
      <c r="B120" s="1251"/>
      <c r="D120" s="1"/>
      <c r="E120" s="3"/>
      <c r="F120" s="1"/>
      <c r="G120" s="1"/>
      <c r="H120" s="1"/>
    </row>
    <row r="121" spans="2:15" hidden="1" outlineLevel="1">
      <c r="B121" s="1251" t="s">
        <v>4778</v>
      </c>
      <c r="D121" s="1"/>
      <c r="E121" s="3"/>
      <c r="F121" s="1"/>
      <c r="G121" s="1"/>
      <c r="H121" s="1"/>
    </row>
    <row r="122" spans="2:15" hidden="1" outlineLevel="1">
      <c r="B122" s="1251"/>
      <c r="D122" s="1"/>
      <c r="E122" s="3"/>
      <c r="F122" s="1"/>
      <c r="G122" s="1"/>
      <c r="H122" s="1"/>
    </row>
    <row r="123" spans="2:15" ht="14.5" hidden="1" outlineLevel="1" thickBot="1">
      <c r="B123" s="1251" t="s">
        <v>4779</v>
      </c>
      <c r="E123" s="3"/>
      <c r="F123" s="1"/>
      <c r="G123" s="1"/>
      <c r="H123" s="1"/>
    </row>
    <row r="124" spans="2:15" ht="50.5" hidden="1" customHeight="1" outlineLevel="1">
      <c r="B124" s="4"/>
      <c r="C124" s="6" t="s">
        <v>4780</v>
      </c>
      <c r="D124" s="1"/>
    </row>
    <row r="125" spans="2:15" ht="14.5" hidden="1" outlineLevel="1">
      <c r="B125" s="10" t="s">
        <v>4781</v>
      </c>
      <c r="C125" s="1457">
        <v>0.2</v>
      </c>
      <c r="D125" s="1"/>
      <c r="O125" s="1251"/>
    </row>
    <row r="126" spans="2:15" ht="29.5" hidden="1" outlineLevel="1" thickBot="1">
      <c r="B126" s="13" t="s">
        <v>4782</v>
      </c>
      <c r="C126" s="1474">
        <v>1.37</v>
      </c>
      <c r="D126" s="1335"/>
      <c r="O126" s="1251"/>
    </row>
    <row r="127" spans="2:15" hidden="1" outlineLevel="1">
      <c r="B127" s="1251"/>
      <c r="D127" s="1"/>
    </row>
    <row r="128" spans="2:15" ht="14.5" hidden="1" outlineLevel="1" thickBot="1">
      <c r="B128" s="1251" t="s">
        <v>361</v>
      </c>
      <c r="D128" s="1"/>
    </row>
    <row r="129" spans="2:15" ht="44" hidden="1" outlineLevel="1" thickBot="1">
      <c r="B129" s="20" t="s">
        <v>4783</v>
      </c>
      <c r="C129" s="51">
        <f>1-C125/C126</f>
        <v>0.85401459854014594</v>
      </c>
      <c r="D129" s="1335"/>
      <c r="O129" s="1251"/>
    </row>
    <row r="130" spans="2:15" ht="14.5" hidden="1" outlineLevel="1" thickBot="1">
      <c r="B130" s="1251" t="s">
        <v>4784</v>
      </c>
      <c r="D130" s="1335"/>
      <c r="O130" s="1251"/>
    </row>
    <row r="131" spans="2:15" ht="44" hidden="1" outlineLevel="1" thickBot="1">
      <c r="B131" s="20" t="s">
        <v>4783</v>
      </c>
      <c r="C131" s="51">
        <v>0.25</v>
      </c>
      <c r="D131" s="1335"/>
      <c r="O131" s="1251"/>
    </row>
    <row r="132" spans="2:15" ht="14.5" hidden="1" outlineLevel="1" thickBot="1">
      <c r="D132" s="1335"/>
      <c r="O132" s="1251"/>
    </row>
    <row r="133" spans="2:15" ht="42" hidden="1" customHeight="1" outlineLevel="1" thickBot="1">
      <c r="B133" s="1667" t="s">
        <v>4764</v>
      </c>
      <c r="C133" s="1668"/>
      <c r="D133" s="59" t="s">
        <v>4785</v>
      </c>
      <c r="E133" s="60" t="s">
        <v>4786</v>
      </c>
    </row>
    <row r="134" spans="2:15" ht="15" hidden="1" outlineLevel="1" thickBot="1">
      <c r="B134" s="56" t="s">
        <v>4787</v>
      </c>
      <c r="C134" s="57" t="s">
        <v>4787</v>
      </c>
      <c r="D134" s="68">
        <v>42.64</v>
      </c>
      <c r="E134" s="69">
        <v>1.1499999999999999</v>
      </c>
      <c r="G134" s="1251"/>
    </row>
    <row r="135" spans="2:15" ht="44" hidden="1" outlineLevel="1" thickTop="1">
      <c r="B135" s="1669" t="s">
        <v>4764</v>
      </c>
      <c r="C135" s="1670"/>
      <c r="D135" s="61" t="s">
        <v>4788</v>
      </c>
      <c r="E135" s="62" t="s">
        <v>4789</v>
      </c>
    </row>
    <row r="136" spans="2:15" ht="15" hidden="1" outlineLevel="1" thickBot="1">
      <c r="B136" s="55" t="s">
        <v>4787</v>
      </c>
      <c r="C136" s="58" t="s">
        <v>4787</v>
      </c>
      <c r="D136" s="72">
        <f>D134*$C$126</f>
        <v>58.416800000000002</v>
      </c>
      <c r="E136" s="73">
        <f>E134*$C$126</f>
        <v>1.5754999999999999</v>
      </c>
    </row>
    <row r="137" spans="2:15" ht="14.5" hidden="1" outlineLevel="1">
      <c r="B137" s="1671" t="s">
        <v>4790</v>
      </c>
      <c r="C137" s="52" t="s">
        <v>4791</v>
      </c>
      <c r="D137" s="63">
        <v>12.36</v>
      </c>
      <c r="E137" s="64">
        <v>0.68</v>
      </c>
    </row>
    <row r="138" spans="2:15" ht="14.5" hidden="1" outlineLevel="1">
      <c r="B138" s="1672"/>
      <c r="C138" s="53" t="s">
        <v>4792</v>
      </c>
      <c r="D138" s="65">
        <v>16.079999999999998</v>
      </c>
      <c r="E138" s="66">
        <v>0.89</v>
      </c>
    </row>
    <row r="139" spans="2:15" ht="15" hidden="1" outlineLevel="1" thickBot="1">
      <c r="B139" s="1673"/>
      <c r="C139" s="54" t="s">
        <v>4793</v>
      </c>
      <c r="D139" s="476">
        <v>2.0099999999999998</v>
      </c>
      <c r="E139" s="477">
        <v>0.11</v>
      </c>
    </row>
    <row r="140" spans="2:15" ht="15" hidden="1" outlineLevel="1" thickBot="1">
      <c r="B140" s="88" t="s">
        <v>4794</v>
      </c>
      <c r="C140" s="475"/>
      <c r="D140" s="478">
        <f>SUM(D136:D139)</f>
        <v>88.866800000000012</v>
      </c>
      <c r="E140" s="479">
        <f>SUM(E136:E139)</f>
        <v>3.2555000000000001</v>
      </c>
    </row>
    <row r="141" spans="2:15" hidden="1" outlineLevel="1">
      <c r="D141" s="1"/>
      <c r="G141" s="1251"/>
    </row>
    <row r="142" spans="2:15" ht="14.5" hidden="1" outlineLevel="1" thickBot="1">
      <c r="B142" t="s">
        <v>2759</v>
      </c>
      <c r="G142" s="74"/>
    </row>
    <row r="143" spans="2:15" ht="43.5" hidden="1" outlineLevel="1">
      <c r="B143" s="4"/>
      <c r="C143" s="5" t="s">
        <v>4795</v>
      </c>
      <c r="D143" s="6" t="s">
        <v>301</v>
      </c>
    </row>
    <row r="144" spans="2:15" ht="29" hidden="1" outlineLevel="1">
      <c r="B144" s="10" t="s">
        <v>4796</v>
      </c>
      <c r="C144" s="1475">
        <v>65.907878719565332</v>
      </c>
      <c r="D144" s="1457" t="s">
        <v>4797</v>
      </c>
      <c r="E144" s="1251" t="s">
        <v>4798</v>
      </c>
    </row>
    <row r="145" spans="2:8" ht="29" hidden="1" outlineLevel="1">
      <c r="B145" s="10" t="s">
        <v>4799</v>
      </c>
      <c r="C145" s="1475">
        <f>SUM(E136:E139)/C125</f>
        <v>16.2775</v>
      </c>
      <c r="D145" s="1457" t="s">
        <v>4797</v>
      </c>
    </row>
    <row r="146" spans="2:8" ht="15" hidden="1" outlineLevel="1" thickBot="1">
      <c r="B146" s="13" t="s">
        <v>4800</v>
      </c>
      <c r="C146" s="480">
        <f>C144+C145</f>
        <v>82.185378719565335</v>
      </c>
      <c r="D146" s="481" t="s">
        <v>4797</v>
      </c>
    </row>
    <row r="147" spans="2:8" hidden="1" outlineLevel="1">
      <c r="D147" s="1"/>
      <c r="G147" s="1251"/>
    </row>
    <row r="148" spans="2:8" collapsed="1"/>
    <row r="149" spans="2:8" ht="15.5">
      <c r="B149" s="45" t="s">
        <v>4801</v>
      </c>
      <c r="D149" s="1"/>
    </row>
    <row r="150" spans="2:8">
      <c r="D150" s="1"/>
      <c r="F150" s="1"/>
      <c r="H150" s="1"/>
    </row>
    <row r="151" spans="2:8" hidden="1" outlineLevel="1">
      <c r="B151" s="1251" t="s">
        <v>4802</v>
      </c>
      <c r="E151" s="87" t="s">
        <v>4175</v>
      </c>
      <c r="F151" s="1"/>
      <c r="H151" s="1"/>
    </row>
    <row r="152" spans="2:8" hidden="1" outlineLevel="1">
      <c r="B152" s="1251"/>
      <c r="D152" s="1251"/>
      <c r="E152" s="3"/>
      <c r="F152" s="1"/>
      <c r="G152" s="1"/>
      <c r="H152" s="1"/>
    </row>
    <row r="153" spans="2:8" hidden="1" outlineLevel="1">
      <c r="B153" s="3" t="s">
        <v>4803</v>
      </c>
      <c r="D153" s="1251"/>
      <c r="E153" s="3"/>
      <c r="F153" s="1"/>
      <c r="G153" s="1"/>
      <c r="H153" s="1"/>
    </row>
    <row r="154" spans="2:8" ht="14.5" hidden="1" outlineLevel="1" thickBot="1">
      <c r="B154" s="3"/>
      <c r="D154" s="1251"/>
      <c r="E154" s="3"/>
      <c r="F154" s="1"/>
      <c r="G154" s="1"/>
      <c r="H154" s="1"/>
    </row>
    <row r="155" spans="2:8" ht="14.5" hidden="1" outlineLevel="1">
      <c r="B155" s="4" t="s">
        <v>4804</v>
      </c>
      <c r="C155" s="5"/>
      <c r="D155" s="6" t="s">
        <v>4805</v>
      </c>
      <c r="E155" s="3"/>
      <c r="G155" s="1251"/>
      <c r="H155" s="1"/>
    </row>
    <row r="156" spans="2:8" ht="28.5" hidden="1" outlineLevel="1">
      <c r="B156" s="10" t="s">
        <v>2836</v>
      </c>
      <c r="C156" s="1476">
        <v>0.3</v>
      </c>
      <c r="D156" s="1457" t="s">
        <v>4806</v>
      </c>
      <c r="E156" s="3"/>
      <c r="F156" s="1251"/>
      <c r="G156" s="1251"/>
      <c r="H156" s="1"/>
    </row>
    <row r="157" spans="2:8" ht="14.5" hidden="1" outlineLevel="1">
      <c r="B157" s="10" t="s">
        <v>4807</v>
      </c>
      <c r="C157" s="1476">
        <v>0.63</v>
      </c>
      <c r="D157" s="1457" t="s">
        <v>4808</v>
      </c>
      <c r="E157" s="3"/>
      <c r="F157" s="1251"/>
      <c r="G157" s="1251"/>
      <c r="H157" s="1"/>
    </row>
    <row r="158" spans="2:8" ht="28.5" hidden="1" outlineLevel="1">
      <c r="B158" s="10" t="s">
        <v>4809</v>
      </c>
      <c r="C158" s="115">
        <v>7.0000000000000007E-2</v>
      </c>
      <c r="D158" s="1457" t="s">
        <v>4810</v>
      </c>
      <c r="E158" s="3"/>
      <c r="F158" s="1251"/>
      <c r="G158" s="1251"/>
      <c r="H158" s="1"/>
    </row>
    <row r="159" spans="2:8" ht="15" hidden="1" outlineLevel="1" thickBot="1">
      <c r="B159" s="13" t="s">
        <v>83</v>
      </c>
      <c r="C159" s="157">
        <f>SUM(C156:C158)</f>
        <v>1</v>
      </c>
      <c r="D159" s="1285"/>
      <c r="E159" s="3"/>
      <c r="H159" s="1"/>
    </row>
    <row r="160" spans="2:8" hidden="1" outlineLevel="1">
      <c r="B160" s="1251"/>
      <c r="D160" s="1251"/>
      <c r="E160" s="3"/>
      <c r="F160" s="101"/>
      <c r="G160" s="101"/>
      <c r="H160" s="1"/>
    </row>
    <row r="161" spans="2:8" ht="14.5" hidden="1" outlineLevel="1" thickBot="1">
      <c r="B161" s="1251" t="s">
        <v>4811</v>
      </c>
      <c r="D161" s="1251"/>
      <c r="E161" s="3"/>
      <c r="F161" s="1"/>
      <c r="G161" s="1"/>
      <c r="H161" s="1"/>
    </row>
    <row r="162" spans="2:8" ht="44" hidden="1" outlineLevel="1" thickBot="1">
      <c r="B162" s="20" t="s">
        <v>4783</v>
      </c>
      <c r="C162" s="51">
        <f>40%*(1-50%)</f>
        <v>0.2</v>
      </c>
      <c r="D162" s="1251"/>
      <c r="E162" s="3"/>
      <c r="F162" s="1"/>
      <c r="G162" s="1"/>
      <c r="H162" s="1"/>
    </row>
    <row r="163" spans="2:8" hidden="1" outlineLevel="1">
      <c r="B163" s="1251"/>
      <c r="D163" s="1251"/>
      <c r="E163" s="3"/>
      <c r="F163" s="1"/>
      <c r="G163" s="1"/>
      <c r="H163" s="1"/>
    </row>
    <row r="164" spans="2:8" ht="14.5" hidden="1" outlineLevel="1" thickBot="1">
      <c r="B164" s="1251" t="s">
        <v>927</v>
      </c>
      <c r="D164" s="1251"/>
      <c r="E164" s="3"/>
      <c r="F164" s="1"/>
      <c r="G164" s="1"/>
      <c r="H164" s="1"/>
    </row>
    <row r="165" spans="2:8" ht="29" hidden="1" outlineLevel="1">
      <c r="B165" s="4"/>
      <c r="C165" s="5" t="s">
        <v>4812</v>
      </c>
      <c r="D165" s="6" t="s">
        <v>301</v>
      </c>
      <c r="E165" s="3"/>
      <c r="F165" s="1"/>
      <c r="G165" s="1"/>
      <c r="H165" s="1"/>
    </row>
    <row r="166" spans="2:8" ht="29.5" hidden="1" outlineLevel="1" thickBot="1">
      <c r="B166" s="13" t="s">
        <v>4796</v>
      </c>
      <c r="C166" s="1477">
        <v>48.767851669465522</v>
      </c>
      <c r="D166" s="1467" t="s">
        <v>4797</v>
      </c>
      <c r="E166" s="3"/>
      <c r="F166" s="1"/>
      <c r="G166" s="1"/>
      <c r="H166" s="1"/>
    </row>
    <row r="167" spans="2:8" hidden="1" outlineLevel="1">
      <c r="B167" s="1251"/>
      <c r="D167" s="1251"/>
      <c r="E167" s="3"/>
      <c r="F167" s="1"/>
      <c r="G167" s="1"/>
      <c r="H167" s="1"/>
    </row>
    <row r="168" spans="2:8" hidden="1" outlineLevel="1">
      <c r="B168" s="1251" t="s">
        <v>4813</v>
      </c>
      <c r="D168" s="1"/>
      <c r="E168" s="3"/>
      <c r="F168" s="1"/>
      <c r="G168" s="1"/>
      <c r="H168" s="1"/>
    </row>
    <row r="169" spans="2:8" hidden="1" outlineLevel="1">
      <c r="B169" t="s">
        <v>4814</v>
      </c>
      <c r="D169" s="1"/>
      <c r="E169" s="3"/>
      <c r="F169" s="1"/>
      <c r="G169" s="1"/>
      <c r="H169" s="1"/>
    </row>
    <row r="170" spans="2:8" hidden="1" outlineLevel="1">
      <c r="B170" t="s">
        <v>4815</v>
      </c>
      <c r="D170" s="1"/>
      <c r="E170" s="3"/>
      <c r="F170" s="1"/>
      <c r="G170" s="1"/>
      <c r="H170" s="1"/>
    </row>
    <row r="171" spans="2:8" hidden="1" outlineLevel="1">
      <c r="B171" t="s">
        <v>4816</v>
      </c>
      <c r="D171" s="1"/>
      <c r="E171" s="3"/>
      <c r="F171" s="1"/>
      <c r="G171" s="1"/>
      <c r="H171" s="1"/>
    </row>
    <row r="172" spans="2:8" hidden="1" outlineLevel="1">
      <c r="B172" t="s">
        <v>4817</v>
      </c>
      <c r="D172" s="1"/>
      <c r="E172" s="3"/>
      <c r="F172" s="1"/>
      <c r="G172" s="1"/>
      <c r="H172" s="1"/>
    </row>
    <row r="173" spans="2:8" hidden="1" outlineLevel="1">
      <c r="B173" s="1"/>
      <c r="D173" s="1"/>
      <c r="E173" s="3"/>
      <c r="F173" s="1"/>
      <c r="G173" s="1"/>
      <c r="H173" s="1"/>
    </row>
    <row r="174" spans="2:8" hidden="1" outlineLevel="1">
      <c r="B174" t="s">
        <v>4818</v>
      </c>
      <c r="D174" s="1"/>
      <c r="E174" s="3"/>
      <c r="F174" s="1"/>
      <c r="G174" s="1"/>
      <c r="H174" s="1"/>
    </row>
    <row r="175" spans="2:8" hidden="1" outlineLevel="1">
      <c r="D175" s="1"/>
      <c r="E175" s="3"/>
      <c r="F175" s="1"/>
      <c r="G175" s="1"/>
      <c r="H175" s="1"/>
    </row>
    <row r="176" spans="2:8" ht="14.5" hidden="1" outlineLevel="1" thickBot="1">
      <c r="B176" t="s">
        <v>2759</v>
      </c>
      <c r="G176" s="74"/>
    </row>
    <row r="177" spans="2:7" ht="58" hidden="1" outlineLevel="1">
      <c r="B177" s="4"/>
      <c r="C177" s="5" t="s">
        <v>4819</v>
      </c>
      <c r="D177" s="6" t="s">
        <v>301</v>
      </c>
    </row>
    <row r="178" spans="2:7" ht="29" hidden="1" outlineLevel="1">
      <c r="B178" s="10" t="s">
        <v>4796</v>
      </c>
      <c r="C178" s="1475">
        <f>C166</f>
        <v>48.767851669465522</v>
      </c>
      <c r="D178" s="1457" t="s">
        <v>4797</v>
      </c>
    </row>
    <row r="179" spans="2:7" ht="29" hidden="1" outlineLevel="1">
      <c r="B179" s="10" t="s">
        <v>4799</v>
      </c>
      <c r="C179" s="1475">
        <f>C145</f>
        <v>16.2775</v>
      </c>
      <c r="D179" s="1457" t="s">
        <v>4797</v>
      </c>
      <c r="E179" s="1251" t="s">
        <v>4820</v>
      </c>
    </row>
    <row r="180" spans="2:7" ht="15" hidden="1" outlineLevel="1" thickBot="1">
      <c r="B180" s="13" t="s">
        <v>4800</v>
      </c>
      <c r="C180" s="480">
        <f>C178+C179</f>
        <v>65.045351669465518</v>
      </c>
      <c r="D180" s="481" t="s">
        <v>4797</v>
      </c>
    </row>
    <row r="181" spans="2:7" hidden="1" outlineLevel="1">
      <c r="D181" s="1"/>
      <c r="G181" s="1251"/>
    </row>
    <row r="182" spans="2:7" collapsed="1">
      <c r="D182" s="1"/>
    </row>
    <row r="183" spans="2:7" ht="15.5">
      <c r="B183" s="45" t="s">
        <v>4821</v>
      </c>
    </row>
    <row r="185" spans="2:7" hidden="1" outlineLevel="1">
      <c r="B185" s="1251" t="s">
        <v>4822</v>
      </c>
    </row>
    <row r="186" spans="2:7" hidden="1" outlineLevel="1">
      <c r="B186" s="87" t="s">
        <v>4823</v>
      </c>
    </row>
    <row r="187" spans="2:7" hidden="1" outlineLevel="1"/>
    <row r="188" spans="2:7" ht="14.5" hidden="1" outlineLevel="1" thickBot="1">
      <c r="B188" s="1251" t="s">
        <v>4824</v>
      </c>
    </row>
    <row r="189" spans="2:7" ht="14.5" hidden="1" outlineLevel="1">
      <c r="B189" s="4"/>
      <c r="C189" s="5" t="s">
        <v>4709</v>
      </c>
      <c r="D189" s="5" t="s">
        <v>301</v>
      </c>
      <c r="E189" s="6" t="s">
        <v>4825</v>
      </c>
    </row>
    <row r="190" spans="2:7" ht="29" hidden="1" outlineLevel="1">
      <c r="B190" s="10" t="s">
        <v>4826</v>
      </c>
      <c r="C190" s="1321">
        <v>13</v>
      </c>
      <c r="D190" s="1266" t="s">
        <v>659</v>
      </c>
      <c r="E190" s="1283" t="s">
        <v>4827</v>
      </c>
    </row>
    <row r="191" spans="2:7" ht="29" hidden="1" outlineLevel="1">
      <c r="B191" s="10" t="s">
        <v>4828</v>
      </c>
      <c r="C191" s="1397">
        <v>15.6</v>
      </c>
      <c r="D191" s="1266" t="s">
        <v>659</v>
      </c>
      <c r="E191" s="1283" t="s">
        <v>4827</v>
      </c>
    </row>
    <row r="192" spans="2:7" ht="15" hidden="1" outlineLevel="1" thickBot="1">
      <c r="B192" s="13" t="s">
        <v>4829</v>
      </c>
      <c r="C192" s="423">
        <v>28</v>
      </c>
      <c r="D192" s="423" t="s">
        <v>659</v>
      </c>
      <c r="E192" s="1285" t="s">
        <v>4830</v>
      </c>
    </row>
    <row r="193" spans="2:2" hidden="1" outlineLevel="1"/>
    <row r="194" spans="2:2" collapsed="1"/>
    <row r="195" spans="2:2">
      <c r="B195" s="44"/>
    </row>
    <row r="196" spans="2:2">
      <c r="B196" s="44"/>
    </row>
    <row r="197" spans="2:2">
      <c r="B197" s="44"/>
    </row>
  </sheetData>
  <mergeCells count="7">
    <mergeCell ref="A1:XFD2"/>
    <mergeCell ref="B133:C133"/>
    <mergeCell ref="B135:C135"/>
    <mergeCell ref="B137:B139"/>
    <mergeCell ref="C80:E80"/>
    <mergeCell ref="B84:B86"/>
    <mergeCell ref="B83:C83"/>
  </mergeCells>
  <phoneticPr fontId="61" type="noConversion"/>
  <conditionalFormatting sqref="A1:XFD2">
    <cfRule type="containsBlanks" dxfId="1" priority="1">
      <formula>LEN(TRIM(A1))=0</formula>
    </cfRule>
  </conditionalFormatting>
  <hyperlinks>
    <hyperlink ref="C29" r:id="rId1" display="https://www.alibaba.com/product-detail/Diallyl-2-2-oxydiethyl-dicarbonate-Allyl_60839917897.html" xr:uid="{F6510760-FB65-4B3E-8EE2-80E514FA940E}"/>
    <hyperlink ref="C30" r:id="rId2" display="https://www.alibaba.com/product-detail/Allyl-Diglycol-Carbonate-142-22-3_60435909331.html?spm=a2700.7724857.0.0.54b14fd8YuI6fH" xr:uid="{70E4A9FC-72F0-4767-BF0D-ECBE74BE2930}"/>
    <hyperlink ref="B186" r:id="rId3" display="https://wp-victrexplc-2020.s3.eu-west-2.amazonaws.com/media/2023/01/Victrex-plc-Annual-Report-2022.pdf" xr:uid="{2467E1A5-BDC2-4921-8AB6-A1308884355D}"/>
    <hyperlink ref="E151" r:id="rId4" display="https://dumas.ccsd.cnrs.fr/dumas-03475076v1/document" xr:uid="{DB9A5981-4EAF-4826-8F51-CE64CCDFE4CA}"/>
    <hyperlink ref="D16" r:id="rId5" display="https://www.alibaba.com/product-detail/Ethylene-Glycol-Ethylene-Glycol-Price-CAS_1601258987681.html?spm=a2700.galleryofferlist.p_offer.d_title.522513a0cbNMEI&amp;s=p" xr:uid="{A7AB840F-5376-42B0-A583-A62075238EF7}"/>
    <hyperlink ref="D19" r:id="rId6" display="https://www.alibaba.com/product-detail/high-Quality-Virgin-LDPE-Granules-film_1601275399902.html?spm=a2700.galleryofferlist.p_offer.d_title.4f3813a0Oq8r8b&amp;s=p" xr:uid="{F62AD330-7B63-40AE-B6C8-061D20FC376B}"/>
    <hyperlink ref="D18" r:id="rId7" display="https://www.alibaba.com/product-detail/HDPE-8008H-6097-Polyethylene-High-Density_1600512342465.html?spm=a2700.galleryofferlist.normal_offer.d_title.4f3813a0Oq8r8b" xr:uid="{EAA54E88-EC12-46DF-B63E-E005030AAF7D}"/>
    <hyperlink ref="D17" r:id="rId8" display="https://www.alibaba.com/product-detail/MT45-MFR43-PP-material-Polypropylene-PP_1600481410589.html?spm=a2700.galleryofferlist.topad_classic.d_title.5e3b13a0g6qzsd" xr:uid="{606D11A5-9C24-4528-9691-AE3DB87A45FE}"/>
    <hyperlink ref="D21" r:id="rId9" display="https://www.alibaba.com/product-detail/PMMA-CM-205-CM-211-CM_1600757546987.html?spm=a2700.galleryofferlist.normal_offer.d_price.36be13a0xDiy3W" xr:uid="{2467947E-C301-4FBE-83B1-C4D9DDAF5142}"/>
    <hyperlink ref="L14" r:id="rId10" location="sec3" display="https://www.sciencedirect.com/science/article/pii/S0959652624030257 - sec3" xr:uid="{30D81430-836B-4033-B206-CD86E0DCB88F}"/>
    <hyperlink ref="D20" r:id="rId11" display="https://www.alibaba.com/product-detail/PC-base-blue-PC-polycarbonate-Granules_1601287865245.html?spm=a2700.galleryofferlist.normal_offer.d_title.576213a0O4DRQV" xr:uid="{D8C12E71-A54E-4D8F-8B3B-1F3AB04B1026}"/>
    <hyperlink ref="D75" r:id="rId12" display="https://www.calameo.com/read/0020272615ed1ec1a8d7c" xr:uid="{9A8F6B19-0605-4577-8F74-37073B9F9F7E}"/>
  </hyperlinks>
  <pageMargins left="0.7" right="0.7" top="0.75" bottom="0.75" header="0.3" footer="0.3"/>
  <pageSetup paperSize="9" orientation="portrait" r:id="rId13"/>
  <drawing r:id="rId14"/>
  <legacyDrawing r:id="rId15"/>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4EA81F-C44B-4815-8D3B-9BE77D8EAF00}">
  <sheetPr>
    <tabColor theme="4"/>
  </sheetPr>
  <dimension ref="A1:J101"/>
  <sheetViews>
    <sheetView zoomScale="60" zoomScaleNormal="60" workbookViewId="0">
      <selection sqref="A1:XFD2"/>
    </sheetView>
  </sheetViews>
  <sheetFormatPr baseColWidth="10" defaultColWidth="11" defaultRowHeight="14" outlineLevelRow="1"/>
  <cols>
    <col min="2" max="2" width="25" customWidth="1"/>
    <col min="3" max="3" width="13.83203125" customWidth="1"/>
    <col min="7" max="7" width="12.83203125" bestFit="1" customWidth="1"/>
  </cols>
  <sheetData>
    <row r="1" spans="1:10" s="1505" customFormat="1">
      <c r="A1" s="1505" t="s">
        <v>65</v>
      </c>
    </row>
    <row r="2" spans="1:10" s="1505" customFormat="1"/>
    <row r="5" spans="1:10">
      <c r="B5" s="1251" t="s">
        <v>66</v>
      </c>
    </row>
    <row r="8" spans="1:10" ht="23.5">
      <c r="B8" s="2" t="s">
        <v>180</v>
      </c>
    </row>
    <row r="10" spans="1:10" ht="14.5" hidden="1" outlineLevel="1" thickBot="1">
      <c r="B10" s="1251" t="s">
        <v>4831</v>
      </c>
    </row>
    <row r="11" spans="1:10" ht="15" hidden="1" outlineLevel="1" thickBot="1">
      <c r="B11" s="250"/>
      <c r="C11" s="251" t="s">
        <v>4832</v>
      </c>
      <c r="D11" s="252" t="s">
        <v>301</v>
      </c>
    </row>
    <row r="12" spans="1:10" ht="43.5" hidden="1" outlineLevel="1">
      <c r="B12" s="253" t="s">
        <v>4833</v>
      </c>
      <c r="C12" s="136">
        <f>C52</f>
        <v>1362.8624648268881</v>
      </c>
      <c r="D12" s="1283" t="s">
        <v>2902</v>
      </c>
      <c r="G12" s="250" t="s">
        <v>4834</v>
      </c>
      <c r="H12" s="251" t="s">
        <v>186</v>
      </c>
      <c r="I12" s="251" t="s">
        <v>426</v>
      </c>
      <c r="J12" s="252" t="s">
        <v>153</v>
      </c>
    </row>
    <row r="13" spans="1:10" ht="58" hidden="1" outlineLevel="1">
      <c r="B13" s="253" t="s">
        <v>4835</v>
      </c>
      <c r="C13" s="136">
        <f>C53</f>
        <v>490.91981054902141</v>
      </c>
      <c r="D13" s="1283" t="s">
        <v>2902</v>
      </c>
      <c r="G13" s="253" t="s">
        <v>4836</v>
      </c>
      <c r="H13" s="136">
        <f>C14</f>
        <v>144.61944025775566</v>
      </c>
      <c r="I13" s="136">
        <f>C13</f>
        <v>490.91981054902141</v>
      </c>
      <c r="J13" s="192">
        <f>C12</f>
        <v>1362.8624648268881</v>
      </c>
    </row>
    <row r="14" spans="1:10" ht="58" hidden="1" outlineLevel="1">
      <c r="B14" s="253" t="s">
        <v>4837</v>
      </c>
      <c r="C14" s="136">
        <f>C54</f>
        <v>144.61944025775566</v>
      </c>
      <c r="D14" s="1283" t="s">
        <v>2902</v>
      </c>
      <c r="G14" s="253" t="s">
        <v>4838</v>
      </c>
      <c r="H14" s="466">
        <f t="shared" ref="H14:J15" si="0">$C15</f>
        <v>21.78140625</v>
      </c>
      <c r="I14" s="466">
        <f t="shared" si="0"/>
        <v>21.78140625</v>
      </c>
      <c r="J14" s="211">
        <f t="shared" si="0"/>
        <v>21.78140625</v>
      </c>
    </row>
    <row r="15" spans="1:10" ht="29.5" hidden="1" outlineLevel="1" thickBot="1">
      <c r="B15" s="253" t="s">
        <v>4838</v>
      </c>
      <c r="C15" s="466">
        <f>C83</f>
        <v>21.78140625</v>
      </c>
      <c r="D15" s="1283" t="s">
        <v>2902</v>
      </c>
      <c r="G15" s="254" t="s">
        <v>4839</v>
      </c>
      <c r="H15" s="467">
        <f t="shared" si="0"/>
        <v>3.2980682437008575</v>
      </c>
      <c r="I15" s="467">
        <f t="shared" si="0"/>
        <v>3.2980682437008575</v>
      </c>
      <c r="J15" s="186">
        <f t="shared" si="0"/>
        <v>3.2980682437008575</v>
      </c>
    </row>
    <row r="16" spans="1:10" ht="15" hidden="1" outlineLevel="1" thickBot="1">
      <c r="B16" s="254" t="s">
        <v>4839</v>
      </c>
      <c r="C16" s="467">
        <f>C97</f>
        <v>3.2980682437008575</v>
      </c>
      <c r="D16" s="1285" t="s">
        <v>2902</v>
      </c>
    </row>
    <row r="17" spans="2:4" hidden="1" outlineLevel="1"/>
    <row r="18" spans="2:4" ht="14.5" hidden="1" outlineLevel="1" thickBot="1">
      <c r="B18" s="1478" t="s">
        <v>4840</v>
      </c>
    </row>
    <row r="19" spans="2:4" ht="44" hidden="1" outlineLevel="1" thickBot="1">
      <c r="B19" s="457" t="s">
        <v>4841</v>
      </c>
      <c r="C19" s="736">
        <v>741.3784856746546</v>
      </c>
      <c r="D19" s="1305" t="s">
        <v>4842</v>
      </c>
    </row>
    <row r="20" spans="2:4" hidden="1" outlineLevel="1"/>
    <row r="21" spans="2:4" ht="14.5" hidden="1" outlineLevel="1" thickBot="1">
      <c r="B21" s="1251" t="s">
        <v>2640</v>
      </c>
    </row>
    <row r="22" spans="2:4" ht="44" hidden="1" outlineLevel="1" thickBot="1">
      <c r="B22" s="457" t="s">
        <v>4843</v>
      </c>
      <c r="C22" s="242">
        <f>(AVERAGE(C13:C14)+SUM(C15:C16))/C19</f>
        <v>0.46244813751925457</v>
      </c>
      <c r="D22" s="1305" t="s">
        <v>4844</v>
      </c>
    </row>
    <row r="23" spans="2:4" hidden="1" outlineLevel="1"/>
    <row r="24" spans="2:4" hidden="1" outlineLevel="1">
      <c r="B24" s="1251" t="s">
        <v>4845</v>
      </c>
    </row>
    <row r="25" spans="2:4" hidden="1" outlineLevel="1"/>
    <row r="26" spans="2:4" collapsed="1"/>
    <row r="27" spans="2:4" ht="23.5">
      <c r="B27" s="2" t="s">
        <v>4846</v>
      </c>
    </row>
    <row r="29" spans="2:4" hidden="1" outlineLevel="1">
      <c r="B29" s="1251" t="s">
        <v>4847</v>
      </c>
    </row>
    <row r="30" spans="2:4" hidden="1" outlineLevel="1"/>
    <row r="31" spans="2:4" hidden="1" outlineLevel="1">
      <c r="B31" s="1251" t="s">
        <v>4848</v>
      </c>
    </row>
    <row r="32" spans="2:4" hidden="1" outlineLevel="1"/>
    <row r="33" spans="2:9" hidden="1" outlineLevel="1">
      <c r="B33" s="1251" t="s">
        <v>4849</v>
      </c>
    </row>
    <row r="34" spans="2:9" hidden="1" outlineLevel="1">
      <c r="B34" s="1251" t="s">
        <v>4850</v>
      </c>
    </row>
    <row r="35" spans="2:9" hidden="1" outlineLevel="1"/>
    <row r="36" spans="2:9" ht="14.5" hidden="1" outlineLevel="1" thickBot="1">
      <c r="B36" s="1251" t="s">
        <v>4851</v>
      </c>
    </row>
    <row r="37" spans="2:9" ht="15" hidden="1" outlineLevel="1" thickBot="1">
      <c r="B37" s="250" t="s">
        <v>70</v>
      </c>
      <c r="C37" s="1212" t="s">
        <v>4852</v>
      </c>
      <c r="D37" s="252" t="s">
        <v>301</v>
      </c>
    </row>
    <row r="38" spans="2:9" ht="29.5" hidden="1" outlineLevel="1" thickBot="1">
      <c r="B38" s="457" t="s">
        <v>4853</v>
      </c>
      <c r="C38" s="458">
        <f>10^6*0.372/240</f>
        <v>1550</v>
      </c>
      <c r="D38" s="459" t="s">
        <v>4854</v>
      </c>
    </row>
    <row r="39" spans="2:9" hidden="1" outlineLevel="1">
      <c r="F39" s="23"/>
    </row>
    <row r="40" spans="2:9" ht="14.5" hidden="1" outlineLevel="1" thickBot="1">
      <c r="B40" s="1251" t="s">
        <v>4855</v>
      </c>
      <c r="H40" t="s">
        <v>4856</v>
      </c>
    </row>
    <row r="41" spans="2:9" ht="29" hidden="1" outlineLevel="1">
      <c r="B41" s="250" t="s">
        <v>70</v>
      </c>
      <c r="C41" s="251" t="s">
        <v>4857</v>
      </c>
      <c r="D41" s="252" t="s">
        <v>301</v>
      </c>
      <c r="H41" s="934"/>
      <c r="I41" s="379" t="s">
        <v>4858</v>
      </c>
    </row>
    <row r="42" spans="2:9" ht="43.5" hidden="1" outlineLevel="1">
      <c r="B42" s="253" t="s">
        <v>4859</v>
      </c>
      <c r="C42" s="1354">
        <v>1964</v>
      </c>
      <c r="D42" s="1479" t="s">
        <v>4854</v>
      </c>
      <c r="H42" s="1213" t="s">
        <v>4860</v>
      </c>
      <c r="I42" s="1480">
        <v>0.51</v>
      </c>
    </row>
    <row r="43" spans="2:9" ht="29" hidden="1" outlineLevel="1">
      <c r="B43" s="253" t="s">
        <v>4861</v>
      </c>
      <c r="C43" s="21">
        <v>1245</v>
      </c>
      <c r="D43" s="1283" t="s">
        <v>4854</v>
      </c>
      <c r="H43" s="1213" t="s">
        <v>4862</v>
      </c>
      <c r="I43" s="311">
        <v>0.26</v>
      </c>
    </row>
    <row r="44" spans="2:9" ht="29.5" hidden="1" outlineLevel="1" thickBot="1">
      <c r="B44" s="253" t="s">
        <v>4861</v>
      </c>
      <c r="C44" s="21">
        <v>933</v>
      </c>
      <c r="D44" s="1283" t="s">
        <v>4854</v>
      </c>
      <c r="H44" s="1214" t="s">
        <v>4863</v>
      </c>
      <c r="I44" s="313">
        <v>0.23</v>
      </c>
    </row>
    <row r="45" spans="2:9" ht="29.5" hidden="1" outlineLevel="1" thickBot="1">
      <c r="B45" s="254" t="s">
        <v>4864</v>
      </c>
      <c r="C45" s="1481" t="s">
        <v>4865</v>
      </c>
      <c r="D45" s="1285" t="s">
        <v>4854</v>
      </c>
    </row>
    <row r="46" spans="2:9" hidden="1" outlineLevel="1"/>
    <row r="47" spans="2:9" hidden="1" outlineLevel="1">
      <c r="B47" s="1251" t="s">
        <v>627</v>
      </c>
    </row>
    <row r="48" spans="2:9" hidden="1" outlineLevel="1">
      <c r="B48" s="1251" t="s">
        <v>4866</v>
      </c>
    </row>
    <row r="49" spans="2:9" hidden="1" outlineLevel="1"/>
    <row r="50" spans="2:9" ht="14.5" hidden="1" outlineLevel="1" thickBot="1">
      <c r="B50" s="1251" t="s">
        <v>4867</v>
      </c>
    </row>
    <row r="51" spans="2:9" ht="14.5" hidden="1" outlineLevel="1">
      <c r="B51" s="4" t="s">
        <v>4868</v>
      </c>
      <c r="C51" s="5" t="s">
        <v>2328</v>
      </c>
      <c r="D51" s="6" t="s">
        <v>301</v>
      </c>
      <c r="E51" s="123" t="s">
        <v>4869</v>
      </c>
      <c r="F51" s="6" t="s">
        <v>301</v>
      </c>
    </row>
    <row r="52" spans="2:9" ht="14.5" hidden="1" outlineLevel="1">
      <c r="B52" s="10" t="s">
        <v>153</v>
      </c>
      <c r="C52" s="11">
        <v>1362.8624648268881</v>
      </c>
      <c r="D52" s="1295" t="s">
        <v>4870</v>
      </c>
      <c r="E52" s="179">
        <f>C52*240000/10^6</f>
        <v>327.08699155845312</v>
      </c>
      <c r="F52" s="17" t="s">
        <v>661</v>
      </c>
    </row>
    <row r="53" spans="2:9" ht="14.5" hidden="1" outlineLevel="1">
      <c r="B53" s="10" t="s">
        <v>426</v>
      </c>
      <c r="C53" s="11">
        <v>490.91981054902141</v>
      </c>
      <c r="D53" s="1295" t="s">
        <v>4870</v>
      </c>
      <c r="E53" s="179">
        <f>C53*240000/10^6</f>
        <v>117.82075453176513</v>
      </c>
      <c r="F53" s="17" t="s">
        <v>661</v>
      </c>
    </row>
    <row r="54" spans="2:9" ht="15" hidden="1" outlineLevel="1" thickBot="1">
      <c r="B54" s="13" t="s">
        <v>186</v>
      </c>
      <c r="C54" s="14">
        <v>144.61944025775566</v>
      </c>
      <c r="D54" s="1297" t="s">
        <v>4870</v>
      </c>
      <c r="E54" s="1215">
        <f>C54*240000/10^6</f>
        <v>34.70866566186136</v>
      </c>
      <c r="F54" s="38" t="s">
        <v>661</v>
      </c>
    </row>
    <row r="55" spans="2:9" hidden="1" outlineLevel="1"/>
    <row r="56" spans="2:9" collapsed="1"/>
    <row r="57" spans="2:9" ht="23.5">
      <c r="B57" s="2" t="s">
        <v>4871</v>
      </c>
    </row>
    <row r="59" spans="2:9" ht="14.5" hidden="1" outlineLevel="1" thickBot="1">
      <c r="I59" s="1251"/>
    </row>
    <row r="60" spans="2:9" ht="14.5" hidden="1" outlineLevel="1">
      <c r="B60" s="461"/>
      <c r="C60" s="462" t="s">
        <v>4872</v>
      </c>
      <c r="D60" s="463" t="s">
        <v>301</v>
      </c>
      <c r="H60" s="1251"/>
    </row>
    <row r="61" spans="2:9" ht="14.5" hidden="1" outlineLevel="1">
      <c r="B61" s="464" t="s">
        <v>4873</v>
      </c>
      <c r="C61" s="168">
        <v>0.75</v>
      </c>
      <c r="D61" s="132" t="s">
        <v>2119</v>
      </c>
      <c r="H61" s="1251"/>
    </row>
    <row r="62" spans="2:9" ht="14.5" hidden="1" outlineLevel="1">
      <c r="B62" s="464" t="s">
        <v>4874</v>
      </c>
      <c r="C62" s="168">
        <f>2*0.045</f>
        <v>0.09</v>
      </c>
      <c r="D62" s="132" t="s">
        <v>2119</v>
      </c>
      <c r="H62" s="1251"/>
    </row>
    <row r="63" spans="2:9" ht="14.5" hidden="1" outlineLevel="1">
      <c r="B63" s="464" t="s">
        <v>4875</v>
      </c>
      <c r="C63" s="168">
        <f>0.0205</f>
        <v>2.0500000000000001E-2</v>
      </c>
      <c r="D63" s="132" t="s">
        <v>2119</v>
      </c>
      <c r="H63" s="1251"/>
    </row>
    <row r="64" spans="2:9" ht="14.5" hidden="1" outlineLevel="1">
      <c r="B64" s="464" t="s">
        <v>4876</v>
      </c>
      <c r="C64" s="168"/>
      <c r="D64" s="132"/>
      <c r="H64" s="1251"/>
    </row>
    <row r="65" spans="2:8" ht="15" hidden="1" outlineLevel="1" thickBot="1">
      <c r="B65" s="465" t="s">
        <v>4877</v>
      </c>
      <c r="C65" s="170">
        <f>SUM(C61:C64)</f>
        <v>0.86049999999999993</v>
      </c>
      <c r="D65" s="209" t="s">
        <v>2119</v>
      </c>
      <c r="H65" s="1251"/>
    </row>
    <row r="66" spans="2:8" hidden="1" outlineLevel="1">
      <c r="H66" s="1251"/>
    </row>
    <row r="67" spans="2:8" hidden="1" outlineLevel="1">
      <c r="H67" s="1251"/>
    </row>
    <row r="68" spans="2:8" hidden="1" outlineLevel="1">
      <c r="B68" s="3" t="s">
        <v>4878</v>
      </c>
    </row>
    <row r="69" spans="2:8" hidden="1" outlineLevel="1">
      <c r="B69" s="1251" t="s">
        <v>4879</v>
      </c>
      <c r="F69" s="87" t="s">
        <v>4880</v>
      </c>
    </row>
    <row r="70" spans="2:8" hidden="1" outlineLevel="1">
      <c r="B70" t="s">
        <v>4881</v>
      </c>
    </row>
    <row r="71" spans="2:8" hidden="1" outlineLevel="1"/>
    <row r="72" spans="2:8" hidden="1" outlineLevel="1">
      <c r="B72" t="s">
        <v>4882</v>
      </c>
    </row>
    <row r="73" spans="2:8" hidden="1" outlineLevel="1">
      <c r="C73" s="42">
        <f>225*60*C65</f>
        <v>11616.749999999998</v>
      </c>
      <c r="D73" s="3" t="s">
        <v>2119</v>
      </c>
    </row>
    <row r="74" spans="2:8" hidden="1" outlineLevel="1">
      <c r="C74" s="50">
        <f>C73/550</f>
        <v>21.121363636363633</v>
      </c>
      <c r="D74" s="1251" t="s">
        <v>4883</v>
      </c>
    </row>
    <row r="75" spans="2:8" hidden="1" outlineLevel="1"/>
    <row r="76" spans="2:8" hidden="1" outlineLevel="1">
      <c r="B76" s="3" t="s">
        <v>4884</v>
      </c>
    </row>
    <row r="77" spans="2:8" ht="14.5" hidden="1" outlineLevel="1" thickBot="1">
      <c r="B77" s="1251" t="s">
        <v>4885</v>
      </c>
      <c r="C77" s="1251" t="s">
        <v>4886</v>
      </c>
      <c r="D77" s="87" t="s">
        <v>4887</v>
      </c>
    </row>
    <row r="78" spans="2:8" ht="14.5" hidden="1" outlineLevel="1">
      <c r="B78" s="250"/>
      <c r="C78" s="251" t="s">
        <v>4832</v>
      </c>
      <c r="D78" s="251" t="s">
        <v>4888</v>
      </c>
      <c r="E78" s="252" t="s">
        <v>301</v>
      </c>
    </row>
    <row r="79" spans="2:8" ht="14.5" hidden="1" outlineLevel="1">
      <c r="B79" s="253" t="s">
        <v>4889</v>
      </c>
      <c r="C79" s="11">
        <v>27000</v>
      </c>
      <c r="D79" s="11">
        <v>35000</v>
      </c>
      <c r="E79" s="17"/>
    </row>
    <row r="80" spans="2:8" ht="14.5" hidden="1" outlineLevel="1">
      <c r="B80" s="253" t="s">
        <v>4890</v>
      </c>
      <c r="C80" s="11">
        <v>240000</v>
      </c>
      <c r="D80" s="11">
        <v>1940000</v>
      </c>
      <c r="E80" s="1283" t="s">
        <v>1059</v>
      </c>
    </row>
    <row r="81" spans="2:6" ht="14.5" hidden="1" outlineLevel="1">
      <c r="B81" s="253" t="s">
        <v>4891</v>
      </c>
      <c r="C81" s="168">
        <f>C79/C80</f>
        <v>0.1125</v>
      </c>
      <c r="D81" s="168">
        <f>D79/D80</f>
        <v>1.804123711340206E-2</v>
      </c>
      <c r="E81" s="17"/>
    </row>
    <row r="82" spans="2:6" ht="28.5" hidden="1" outlineLevel="1">
      <c r="B82" s="253" t="s">
        <v>4892</v>
      </c>
      <c r="C82" s="180">
        <f>C81*225</f>
        <v>25.3125</v>
      </c>
      <c r="D82" s="180">
        <f>D81*225</f>
        <v>4.0592783505154637</v>
      </c>
      <c r="E82" s="1457" t="s">
        <v>4893</v>
      </c>
    </row>
    <row r="83" spans="2:6" ht="29" hidden="1" outlineLevel="1" thickBot="1">
      <c r="B83" s="254" t="s">
        <v>4894</v>
      </c>
      <c r="C83" s="217">
        <f>C82*C65</f>
        <v>21.78140625</v>
      </c>
      <c r="D83" s="217">
        <f>D82*C65</f>
        <v>3.4930090206185564</v>
      </c>
      <c r="E83" s="1467" t="s">
        <v>4870</v>
      </c>
    </row>
    <row r="84" spans="2:6" ht="15" hidden="1" outlineLevel="1" thickBot="1">
      <c r="B84" s="254" t="s">
        <v>4895</v>
      </c>
      <c r="C84" s="217">
        <f>C83*C80/10^6</f>
        <v>5.2275375000000004</v>
      </c>
      <c r="D84" s="217">
        <f>D83*D80/10^6</f>
        <v>6.7764374999999992</v>
      </c>
      <c r="E84" s="1467" t="s">
        <v>4896</v>
      </c>
    </row>
    <row r="85" spans="2:6" hidden="1" outlineLevel="1"/>
    <row r="86" spans="2:6" collapsed="1"/>
    <row r="87" spans="2:6" ht="23.5">
      <c r="B87" s="2" t="s">
        <v>4897</v>
      </c>
    </row>
    <row r="89" spans="2:6" hidden="1" outlineLevel="1">
      <c r="B89" s="1251" t="s">
        <v>4898</v>
      </c>
    </row>
    <row r="90" spans="2:6" hidden="1" outlineLevel="1">
      <c r="B90" s="1251" t="s">
        <v>4899</v>
      </c>
    </row>
    <row r="91" spans="2:6" ht="14.5" hidden="1" outlineLevel="1" thickBot="1"/>
    <row r="92" spans="2:6" ht="14.5" hidden="1" outlineLevel="1">
      <c r="B92" s="250"/>
      <c r="C92" s="251" t="s">
        <v>4832</v>
      </c>
      <c r="D92" s="251" t="s">
        <v>4888</v>
      </c>
      <c r="E92" s="252" t="s">
        <v>301</v>
      </c>
    </row>
    <row r="93" spans="2:6" ht="14.5" hidden="1" outlineLevel="1">
      <c r="B93" s="253" t="s">
        <v>4900</v>
      </c>
      <c r="C93" s="11">
        <v>300</v>
      </c>
      <c r="D93" s="11">
        <v>246</v>
      </c>
      <c r="E93" s="17"/>
      <c r="F93" s="87" t="s">
        <v>4887</v>
      </c>
    </row>
    <row r="94" spans="2:6" ht="14.5" hidden="1" outlineLevel="1">
      <c r="B94" s="253" t="s">
        <v>4901</v>
      </c>
      <c r="C94" s="11">
        <f>365</f>
        <v>365</v>
      </c>
      <c r="D94" s="11">
        <f>365</f>
        <v>365</v>
      </c>
      <c r="E94" s="1283"/>
    </row>
    <row r="95" spans="2:6" ht="14.5" hidden="1" outlineLevel="1">
      <c r="B95" s="253" t="s">
        <v>4902</v>
      </c>
      <c r="C95" s="168">
        <f>'Annexe - stérilisation'!C231*2*'Annexe - stérilisation'!C233</f>
        <v>7.2286427259196877</v>
      </c>
      <c r="D95" s="168">
        <f>'Annexe - stérilisation'!C231*2*'Annexe - stérilisation'!C233</f>
        <v>7.2286427259196877</v>
      </c>
      <c r="E95" s="1283" t="s">
        <v>2119</v>
      </c>
    </row>
    <row r="96" spans="2:6" ht="14.5" hidden="1" outlineLevel="1">
      <c r="B96" s="253" t="s">
        <v>4895</v>
      </c>
      <c r="C96" s="460">
        <f>C93*C94*C95/10^6</f>
        <v>0.79153637848820579</v>
      </c>
      <c r="D96" s="460">
        <f>D93*D94*D95/10^6</f>
        <v>0.64905983036032877</v>
      </c>
      <c r="E96" s="1457" t="s">
        <v>4896</v>
      </c>
    </row>
    <row r="97" spans="2:5" ht="29" hidden="1" outlineLevel="1" thickBot="1">
      <c r="B97" s="254" t="s">
        <v>4903</v>
      </c>
      <c r="C97" s="217">
        <f>C96*10^6/C80</f>
        <v>3.2980682437008575</v>
      </c>
      <c r="D97" s="217">
        <f>D96*10^6/D80</f>
        <v>0.33456692286614886</v>
      </c>
      <c r="E97" s="1467" t="s">
        <v>4870</v>
      </c>
    </row>
    <row r="98" spans="2:5" hidden="1" outlineLevel="1"/>
    <row r="99" spans="2:5" hidden="1" outlineLevel="1">
      <c r="B99" s="1251" t="s">
        <v>4904</v>
      </c>
    </row>
    <row r="100" spans="2:5" hidden="1" outlineLevel="1"/>
    <row r="101" spans="2:5" collapsed="1"/>
  </sheetData>
  <mergeCells count="1">
    <mergeCell ref="A1:XFD2"/>
  </mergeCells>
  <phoneticPr fontId="33" type="noConversion"/>
  <conditionalFormatting sqref="A1:XFD2">
    <cfRule type="containsBlanks" dxfId="0" priority="1">
      <formula>LEN(TRIM(A1))=0</formula>
    </cfRule>
  </conditionalFormatting>
  <hyperlinks>
    <hyperlink ref="F69" r:id="rId1" display="https://view.officeapps.live.com/op/view.aspx?src=https%3A%2F%2Fcrcom.ac-versailles.fr%2FIMG%2Fdocx%2Fbts_gpme_e52_nc_2020.docx&amp;wdOrigin=BROWSELINK" xr:uid="{25A4FFB3-1F6E-4197-B096-92B6E6821D8D}"/>
    <hyperlink ref="D77" r:id="rId2" display="https://www.aspec.fr/Data/ElFinder/s6/Base-documentaire/C-Performance-Energetique/4-VF-Samir-Yalaoui-ALCIMED.pdf" xr:uid="{22E9CD01-43F2-4330-91B5-403118D60B44}"/>
    <hyperlink ref="F93" r:id="rId3" display="https://www.aspec.fr/Data/ElFinder/s6/Base-documentaire/C-Performance-Energetique/4-VF-Samir-Yalaoui-ALCIMED.pdf" xr:uid="{B739D1AD-0449-4C42-8197-C288795F092E}"/>
  </hyperlinks>
  <pageMargins left="0.7" right="0.7" top="0.75" bottom="0.75" header="0.3" footer="0.3"/>
  <pageSetup paperSize="9" orientation="portrait" r:id="rId4"/>
  <drawing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8DC162-F05C-49F6-9515-B0D3A8943E6A}">
  <sheetPr>
    <tabColor rgb="FFFF0000"/>
  </sheetPr>
  <dimension ref="A1:J90"/>
  <sheetViews>
    <sheetView zoomScale="60" zoomScaleNormal="60" workbookViewId="0">
      <selection sqref="A1:XFD2"/>
    </sheetView>
  </sheetViews>
  <sheetFormatPr baseColWidth="10" defaultColWidth="11" defaultRowHeight="14" outlineLevelRow="1"/>
  <cols>
    <col min="2" max="2" width="26.83203125" customWidth="1"/>
    <col min="3" max="3" width="22.83203125" customWidth="1"/>
    <col min="4" max="4" width="20.33203125" customWidth="1"/>
    <col min="5" max="5" width="2.6640625" customWidth="1"/>
    <col min="7" max="7" width="40.33203125" customWidth="1"/>
    <col min="8" max="8" width="2.6640625" customWidth="1"/>
    <col min="9" max="9" width="22.6640625" customWidth="1"/>
  </cols>
  <sheetData>
    <row r="1" spans="1:10" s="1505" customFormat="1">
      <c r="A1" s="1505" t="s">
        <v>179</v>
      </c>
    </row>
    <row r="2" spans="1:10" s="1505" customFormat="1"/>
    <row r="5" spans="1:10">
      <c r="B5" s="1251" t="s">
        <v>14</v>
      </c>
    </row>
    <row r="6" spans="1:10">
      <c r="B6" s="1251"/>
    </row>
    <row r="8" spans="1:10" ht="23.5">
      <c r="B8" s="2" t="s">
        <v>180</v>
      </c>
    </row>
    <row r="10" spans="1:10" hidden="1" outlineLevel="1">
      <c r="B10" s="1492" t="s">
        <v>4943</v>
      </c>
    </row>
    <row r="11" spans="1:10" hidden="1" outlineLevel="1">
      <c r="B11" s="1492" t="s">
        <v>4919</v>
      </c>
    </row>
    <row r="12" spans="1:10" hidden="1" outlineLevel="1">
      <c r="B12" s="1492"/>
    </row>
    <row r="13" spans="1:10" ht="16" hidden="1" outlineLevel="1" thickBot="1">
      <c r="C13" s="679" t="s">
        <v>181</v>
      </c>
      <c r="D13" s="679"/>
      <c r="E13" s="1218"/>
      <c r="F13" s="679" t="s">
        <v>182</v>
      </c>
      <c r="G13" s="679"/>
      <c r="H13" s="1218"/>
      <c r="I13" s="679" t="s">
        <v>183</v>
      </c>
    </row>
    <row r="14" spans="1:10" hidden="1" outlineLevel="1">
      <c r="B14" s="259" t="s">
        <v>184</v>
      </c>
      <c r="C14" s="287" t="s">
        <v>185</v>
      </c>
      <c r="D14" s="287" t="s">
        <v>186</v>
      </c>
      <c r="F14" s="287" t="s">
        <v>185</v>
      </c>
      <c r="G14" s="287" t="s">
        <v>186</v>
      </c>
      <c r="I14" s="287" t="s">
        <v>185</v>
      </c>
      <c r="J14" s="288" t="s">
        <v>186</v>
      </c>
    </row>
    <row r="15" spans="1:10" hidden="1" outlineLevel="1">
      <c r="B15" s="562" t="s">
        <v>84</v>
      </c>
      <c r="C15" s="168">
        <f>C82/$C$88</f>
        <v>0.39076253668019961</v>
      </c>
      <c r="D15" s="168">
        <f>D82/$C$88</f>
        <v>0.25452396372669622</v>
      </c>
      <c r="E15" s="166"/>
      <c r="F15" s="168">
        <f>C72/$C78</f>
        <v>0.24268910820306996</v>
      </c>
      <c r="G15" s="168">
        <f>D72/$C78</f>
        <v>0.15809728118426483</v>
      </c>
      <c r="H15" s="166"/>
      <c r="I15" s="168">
        <f>(D60+D61)/$D$68</f>
        <v>0.36130089673632482</v>
      </c>
      <c r="J15" s="132">
        <f>(C60+C61)/$D$68</f>
        <v>0.36130089673632482</v>
      </c>
    </row>
    <row r="16" spans="1:10" hidden="1" outlineLevel="1">
      <c r="B16" s="562" t="s">
        <v>187</v>
      </c>
      <c r="C16" s="168">
        <f>(C83+C85)/$C$88</f>
        <v>0.37104885566120471</v>
      </c>
      <c r="D16" s="168">
        <f>(D83+D85)/$C$88</f>
        <v>9.2478931981558488E-2</v>
      </c>
      <c r="E16" s="166"/>
      <c r="F16" s="168">
        <f>(C73+C75)/$C78</f>
        <v>0.53738717030567895</v>
      </c>
      <c r="G16" s="168">
        <f>(D73+D75)/$C78</f>
        <v>0.29647026092891676</v>
      </c>
      <c r="H16" s="166"/>
      <c r="I16" s="168">
        <f>(D63+D64)/$D$68</f>
        <v>0.55787186777706155</v>
      </c>
      <c r="J16" s="132">
        <f>(C63+C64)/$D$68</f>
        <v>0.14740127898225006</v>
      </c>
    </row>
    <row r="17" spans="2:10" hidden="1" outlineLevel="1">
      <c r="B17" s="562" t="s">
        <v>86</v>
      </c>
      <c r="C17" s="168">
        <f>C84/$C$88</f>
        <v>3.2521690120049344E-2</v>
      </c>
      <c r="D17" s="168">
        <f>D84/$C$88</f>
        <v>3.2521690120049344E-2</v>
      </c>
      <c r="E17" s="166"/>
      <c r="F17" s="168">
        <f>C74/$C78</f>
        <v>9.265837492822375E-2</v>
      </c>
      <c r="G17" s="168">
        <f>D74/$C78</f>
        <v>9.265837492822375E-2</v>
      </c>
      <c r="H17" s="166"/>
      <c r="I17" s="168">
        <f>(D62)/$D$68</f>
        <v>9.3950239551134507E-3</v>
      </c>
      <c r="J17" s="132">
        <f>(C62)/$D$68</f>
        <v>9.3950239551134507E-3</v>
      </c>
    </row>
    <row r="18" spans="2:10" hidden="1" outlineLevel="1">
      <c r="B18" s="562" t="s">
        <v>88</v>
      </c>
      <c r="C18" s="168">
        <f>C86/$C$88</f>
        <v>0.13277695286306868</v>
      </c>
      <c r="D18" s="168">
        <f>D86/$C$88</f>
        <v>3.9776116219394177E-2</v>
      </c>
      <c r="E18" s="166"/>
      <c r="F18" s="168">
        <f>C76/$C78</f>
        <v>8.1751224382989207E-2</v>
      </c>
      <c r="G18" s="168">
        <f>D76/$C78</f>
        <v>1.3544244291118418E-2</v>
      </c>
      <c r="H18" s="166"/>
      <c r="I18" s="168">
        <f>(D65+D66)/$D$68</f>
        <v>2.1349126480641589E-2</v>
      </c>
      <c r="J18" s="132">
        <f>(C65+C66)/$D$68</f>
        <v>1.5261548573370742E-3</v>
      </c>
    </row>
    <row r="19" spans="2:10" ht="14.5" hidden="1" outlineLevel="1" thickBot="1">
      <c r="B19" s="565" t="s">
        <v>89</v>
      </c>
      <c r="C19" s="170">
        <f>C87/$C$88</f>
        <v>7.2889964675477606E-2</v>
      </c>
      <c r="D19" s="170">
        <f>D87/$C$88</f>
        <v>7.2889964675477606E-2</v>
      </c>
      <c r="E19" s="166"/>
      <c r="F19" s="170">
        <f>C77/$C78</f>
        <v>4.5514122180038002E-2</v>
      </c>
      <c r="G19" s="170">
        <f>D77/$C78</f>
        <v>4.5514122180038002E-2</v>
      </c>
      <c r="H19" s="166"/>
      <c r="I19" s="170">
        <f>D67/$D$68</f>
        <v>5.0083085050858782E-2</v>
      </c>
      <c r="J19" s="209">
        <f>C67/$D$68</f>
        <v>5.0083085050858782E-2</v>
      </c>
    </row>
    <row r="20" spans="2:10" ht="14.5" hidden="1" outlineLevel="1" thickBot="1">
      <c r="B20" s="330" t="s">
        <v>188</v>
      </c>
      <c r="C20" s="1045">
        <f>SUM(C15:C19)</f>
        <v>0.99999999999999989</v>
      </c>
      <c r="D20" s="1045">
        <f t="shared" ref="D20" si="0">SUM(D15:D19)</f>
        <v>0.49219066672317585</v>
      </c>
      <c r="F20" s="1045">
        <f>SUM(F15:F19)</f>
        <v>0.99999999999999989</v>
      </c>
      <c r="G20" s="1045">
        <f>SUM(G15:G19)</f>
        <v>0.60628428351256181</v>
      </c>
      <c r="I20" s="1045">
        <f>SUM(I15:I19)</f>
        <v>1.0000000000000002</v>
      </c>
      <c r="J20" s="1045">
        <f>SUM(J15:J19)</f>
        <v>0.56970643958188427</v>
      </c>
    </row>
    <row r="21" spans="2:10" hidden="1" outlineLevel="1"/>
    <row r="22" spans="2:10" hidden="1" outlineLevel="1"/>
    <row r="23" spans="2:10" hidden="1" outlineLevel="1"/>
    <row r="24" spans="2:10" hidden="1" outlineLevel="1"/>
    <row r="25" spans="2:10" hidden="1" outlineLevel="1"/>
    <row r="26" spans="2:10" hidden="1" outlineLevel="1"/>
    <row r="27" spans="2:10" hidden="1" outlineLevel="1"/>
    <row r="28" spans="2:10" hidden="1" outlineLevel="1"/>
    <row r="29" spans="2:10" hidden="1" outlineLevel="1"/>
    <row r="30" spans="2:10" hidden="1" outlineLevel="1"/>
    <row r="31" spans="2:10" hidden="1" outlineLevel="1"/>
    <row r="32" spans="2:10" hidden="1" outlineLevel="1"/>
    <row r="33" hidden="1" outlineLevel="1"/>
    <row r="34" hidden="1" outlineLevel="1"/>
    <row r="35" hidden="1" outlineLevel="1"/>
    <row r="36" hidden="1" outlineLevel="1"/>
    <row r="37" hidden="1" outlineLevel="1"/>
    <row r="38" hidden="1" outlineLevel="1"/>
    <row r="39" hidden="1" outlineLevel="1"/>
    <row r="40" hidden="1" outlineLevel="1"/>
    <row r="41" hidden="1" outlineLevel="1"/>
    <row r="42" hidden="1" outlineLevel="1"/>
    <row r="43" hidden="1" outlineLevel="1"/>
    <row r="44" hidden="1" outlineLevel="1"/>
    <row r="45" hidden="1" outlineLevel="1"/>
    <row r="46" hidden="1" outlineLevel="1"/>
    <row r="47" hidden="1" outlineLevel="1"/>
    <row r="48" hidden="1" outlineLevel="1"/>
    <row r="49" spans="2:4" hidden="1" outlineLevel="1"/>
    <row r="50" spans="2:4" hidden="1" outlineLevel="1"/>
    <row r="51" spans="2:4" hidden="1" outlineLevel="1"/>
    <row r="52" spans="2:4" hidden="1" outlineLevel="1"/>
    <row r="53" spans="2:4" collapsed="1"/>
    <row r="54" spans="2:4" ht="23.5">
      <c r="B54" s="2" t="s">
        <v>189</v>
      </c>
    </row>
    <row r="56" spans="2:4" hidden="1" outlineLevel="1">
      <c r="B56" s="1251" t="s">
        <v>190</v>
      </c>
    </row>
    <row r="57" spans="2:4" hidden="1" outlineLevel="1"/>
    <row r="58" spans="2:4" ht="16" hidden="1" outlineLevel="1" thickBot="1">
      <c r="B58" s="1219" t="s">
        <v>183</v>
      </c>
    </row>
    <row r="59" spans="2:4" ht="42" hidden="1" outlineLevel="1">
      <c r="B59" s="273" t="s">
        <v>184</v>
      </c>
      <c r="C59" s="287" t="s">
        <v>191</v>
      </c>
      <c r="D59" s="288" t="s">
        <v>192</v>
      </c>
    </row>
    <row r="60" spans="2:4" hidden="1" outlineLevel="1">
      <c r="B60" s="276" t="s">
        <v>84</v>
      </c>
      <c r="C60" s="180">
        <f>Optique!E15</f>
        <v>1.1657556749015396</v>
      </c>
      <c r="D60" s="131">
        <f>Optique!G15</f>
        <v>1.1657556749015396</v>
      </c>
    </row>
    <row r="61" spans="2:4" hidden="1" outlineLevel="1">
      <c r="B61" s="276" t="s">
        <v>193</v>
      </c>
      <c r="C61" s="180">
        <f>Optique!E16</f>
        <v>0.14399999999999999</v>
      </c>
      <c r="D61" s="131">
        <f>Optique!G16</f>
        <v>0.14399999999999999</v>
      </c>
    </row>
    <row r="62" spans="2:4" hidden="1" outlineLevel="1">
      <c r="B62" s="276" t="s">
        <v>86</v>
      </c>
      <c r="C62" s="180">
        <f>Optique!E17</f>
        <v>3.4057999999999998E-2</v>
      </c>
      <c r="D62" s="131">
        <f>Optique!G17</f>
        <v>3.4057999999999998E-2</v>
      </c>
    </row>
    <row r="63" spans="2:4" hidden="1" outlineLevel="1">
      <c r="B63" s="276" t="s">
        <v>194</v>
      </c>
      <c r="C63" s="180">
        <f>Optique!E18</f>
        <v>0.30313615268087785</v>
      </c>
      <c r="D63" s="131">
        <f>Optique!G18</f>
        <v>1.7911373946111728</v>
      </c>
    </row>
    <row r="64" spans="2:4" ht="28" hidden="1" outlineLevel="1">
      <c r="B64" s="276" t="s">
        <v>195</v>
      </c>
      <c r="C64" s="180">
        <f>Optique!E19</f>
        <v>0.23120977166826873</v>
      </c>
      <c r="D64" s="131">
        <f>Optique!G19</f>
        <v>0.23120977166826873</v>
      </c>
    </row>
    <row r="65" spans="2:4" hidden="1" outlineLevel="1">
      <c r="B65" s="276" t="s">
        <v>88</v>
      </c>
      <c r="C65" s="180">
        <f>Optique!E20</f>
        <v>1.7074799999999999E-3</v>
      </c>
      <c r="D65" s="131">
        <f>Optique!G20</f>
        <v>7.3567942599358269E-2</v>
      </c>
    </row>
    <row r="66" spans="2:4" hidden="1" outlineLevel="1">
      <c r="B66" s="515" t="s">
        <v>196</v>
      </c>
      <c r="C66" s="180">
        <f>Optique!E21</f>
        <v>3.8250000000000003E-3</v>
      </c>
      <c r="D66" s="131">
        <f>Optique!G21</f>
        <v>3.8250000000000003E-3</v>
      </c>
    </row>
    <row r="67" spans="2:4" ht="28" hidden="1" outlineLevel="1">
      <c r="B67" s="515" t="s">
        <v>197</v>
      </c>
      <c r="C67" s="180">
        <f>Optique!E22</f>
        <v>0.18155671755725189</v>
      </c>
      <c r="D67" s="131">
        <f>Optique!G22</f>
        <v>0.18155671755725189</v>
      </c>
    </row>
    <row r="68" spans="2:4" ht="14.5" hidden="1" outlineLevel="1" thickBot="1">
      <c r="B68" s="281" t="s">
        <v>188</v>
      </c>
      <c r="C68" s="217">
        <f>Optique!E23</f>
        <v>2.0652487968079383</v>
      </c>
      <c r="D68" s="685">
        <f>Optique!G23</f>
        <v>3.6251105013375908</v>
      </c>
    </row>
    <row r="69" spans="2:4" hidden="1" outlineLevel="1"/>
    <row r="70" spans="2:4" ht="16" hidden="1" outlineLevel="1" thickBot="1">
      <c r="B70" s="1219" t="s">
        <v>198</v>
      </c>
    </row>
    <row r="71" spans="2:4" ht="28" hidden="1" outlineLevel="1">
      <c r="B71" s="456" t="s">
        <v>199</v>
      </c>
      <c r="C71" s="699" t="s">
        <v>200</v>
      </c>
      <c r="D71" s="700" t="s">
        <v>186</v>
      </c>
    </row>
    <row r="72" spans="2:4" hidden="1" outlineLevel="1">
      <c r="B72" s="562" t="s">
        <v>84</v>
      </c>
      <c r="C72" s="180">
        <f>EPI!F12</f>
        <v>4.1447842011216416</v>
      </c>
      <c r="D72" s="131">
        <f>EPI!H12</f>
        <v>2.7000763163401724</v>
      </c>
    </row>
    <row r="73" spans="2:4" hidden="1" outlineLevel="1">
      <c r="B73" s="562" t="s">
        <v>187</v>
      </c>
      <c r="C73" s="180">
        <f>EPI!F13</f>
        <v>8.9438523098838729</v>
      </c>
      <c r="D73" s="131">
        <f>EPI!H13</f>
        <v>4.8293347398068356</v>
      </c>
    </row>
    <row r="74" spans="2:4" hidden="1" outlineLevel="1">
      <c r="B74" s="562" t="s">
        <v>86</v>
      </c>
      <c r="C74" s="180">
        <f>EPI!F14</f>
        <v>1.5824730304037984</v>
      </c>
      <c r="D74" s="131">
        <f>EPI!H14</f>
        <v>1.5824730304037984</v>
      </c>
    </row>
    <row r="75" spans="2:4" hidden="1" outlineLevel="1">
      <c r="B75" s="562" t="s">
        <v>201</v>
      </c>
      <c r="C75" s="180">
        <f>EPI!F15</f>
        <v>0.23395492613228319</v>
      </c>
      <c r="D75" s="131">
        <f>EPI!H15</f>
        <v>0.23395492613228319</v>
      </c>
    </row>
    <row r="76" spans="2:4" hidden="1" outlineLevel="1">
      <c r="B76" s="562" t="s">
        <v>88</v>
      </c>
      <c r="C76" s="180">
        <f>EPI!F16</f>
        <v>1.3961944388597731</v>
      </c>
      <c r="D76" s="131">
        <f>EPI!H16</f>
        <v>0.23131639557135047</v>
      </c>
    </row>
    <row r="77" spans="2:4" ht="14.5" hidden="1" outlineLevel="1" thickBot="1">
      <c r="B77" s="565" t="s">
        <v>89</v>
      </c>
      <c r="C77" s="18">
        <f>EPI!F17</f>
        <v>0.77731636139967186</v>
      </c>
      <c r="D77" s="19">
        <f>EPI!H17</f>
        <v>0.77731636139967186</v>
      </c>
    </row>
    <row r="78" spans="2:4" ht="14.5" hidden="1" outlineLevel="1" thickBot="1">
      <c r="B78" s="330" t="s">
        <v>188</v>
      </c>
      <c r="C78" s="749">
        <f>SUM(C72:C77)</f>
        <v>17.078575267801043</v>
      </c>
      <c r="D78" s="1044">
        <f>SUM(D72:D77)</f>
        <v>10.354471769654113</v>
      </c>
    </row>
    <row r="79" spans="2:4" hidden="1" outlineLevel="1"/>
    <row r="80" spans="2:4" ht="16" hidden="1" outlineLevel="1" thickBot="1">
      <c r="B80" s="1219" t="s">
        <v>181</v>
      </c>
    </row>
    <row r="81" spans="2:5" ht="28" hidden="1" outlineLevel="1">
      <c r="B81" s="456" t="s">
        <v>199</v>
      </c>
      <c r="C81" s="699" t="s">
        <v>200</v>
      </c>
      <c r="D81" s="700" t="s">
        <v>186</v>
      </c>
    </row>
    <row r="82" spans="2:5" hidden="1" outlineLevel="1">
      <c r="B82" s="562" t="s">
        <v>84</v>
      </c>
      <c r="C82" s="171">
        <v>3.7670396568482878</v>
      </c>
      <c r="D82" s="547">
        <v>2.4536688525014978</v>
      </c>
      <c r="E82" s="1251" t="s">
        <v>202</v>
      </c>
    </row>
    <row r="83" spans="2:5" hidden="1" outlineLevel="1">
      <c r="B83" s="562" t="s">
        <v>187</v>
      </c>
      <c r="C83" s="168">
        <f>'Annexe - Matériaux'!F84+'Annexe - Matériaux'!F85+(1-'Annexe - Matériaux'!E75)*C82</f>
        <v>3.394257922474095</v>
      </c>
      <c r="D83" s="132">
        <f>'Annexe - Matériaux'!D84+'Annexe - Matériaux'!D85+(1-'Annexe - Matériaux'!E75)*D82</f>
        <v>0.70878055143009178</v>
      </c>
    </row>
    <row r="84" spans="2:5" hidden="1" outlineLevel="1">
      <c r="B84" s="562" t="s">
        <v>86</v>
      </c>
      <c r="C84" s="168">
        <v>0.31351648351648342</v>
      </c>
      <c r="D84" s="132">
        <v>0.31351648351648342</v>
      </c>
      <c r="E84" s="1251" t="s">
        <v>202</v>
      </c>
    </row>
    <row r="85" spans="2:5" hidden="1" outlineLevel="1">
      <c r="B85" s="562" t="s">
        <v>201</v>
      </c>
      <c r="C85" s="168">
        <f>'Consommables plastiques'!D134</f>
        <v>0.18273736929272824</v>
      </c>
      <c r="D85" s="132">
        <f>'Consommables plastiques'!D134</f>
        <v>0.18273736929272824</v>
      </c>
    </row>
    <row r="86" spans="2:5" hidden="1" outlineLevel="1">
      <c r="B86" s="562" t="s">
        <v>88</v>
      </c>
      <c r="C86" s="168">
        <v>1.28</v>
      </c>
      <c r="D86" s="132">
        <f>SUM('Consommables plastiques'!V175:Z175)</f>
        <v>0.38345079972825535</v>
      </c>
      <c r="E86" s="1251" t="s">
        <v>203</v>
      </c>
    </row>
    <row r="87" spans="2:5" ht="14.5" hidden="1" outlineLevel="1" thickBot="1">
      <c r="B87" s="565" t="s">
        <v>89</v>
      </c>
      <c r="C87" s="170">
        <f>'Consommables plastiques'!C206+'Consommables plastiques'!C207*'Consommables plastiques'!D110</f>
        <v>0.70267582417582419</v>
      </c>
      <c r="D87" s="209">
        <f>'Consommables plastiques'!C206+'Consommables plastiques'!C207*'Consommables plastiques'!D110</f>
        <v>0.70267582417582419</v>
      </c>
    </row>
    <row r="88" spans="2:5" ht="14.5" hidden="1" outlineLevel="1" thickBot="1">
      <c r="B88" s="568" t="s">
        <v>83</v>
      </c>
      <c r="C88" s="1032">
        <f>SUM(C82:C87)</f>
        <v>9.6402272563074192</v>
      </c>
      <c r="D88" s="1032">
        <f>SUM(D82:D87)</f>
        <v>4.7448298806448808</v>
      </c>
    </row>
    <row r="89" spans="2:5" hidden="1" outlineLevel="1"/>
    <row r="90" spans="2:5" collapsed="1"/>
  </sheetData>
  <mergeCells count="1">
    <mergeCell ref="A1:XFD2"/>
  </mergeCells>
  <conditionalFormatting sqref="A1:XFD2">
    <cfRule type="containsBlanks" dxfId="39" priority="1">
      <formula>LEN(TRIM(A1))=0</formula>
    </cfRule>
  </conditionalFormatting>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5C5342-8A0A-42BA-9BEF-531329380433}">
  <sheetPr>
    <tabColor rgb="FFFF0000"/>
  </sheetPr>
  <dimension ref="A1:N31"/>
  <sheetViews>
    <sheetView showGridLines="0" zoomScale="60" zoomScaleNormal="60" workbookViewId="0">
      <selection sqref="A1:XFD2"/>
    </sheetView>
  </sheetViews>
  <sheetFormatPr baseColWidth="10" defaultColWidth="22.33203125" defaultRowHeight="29" customHeight="1"/>
  <cols>
    <col min="1" max="1" width="7.1640625" style="1" customWidth="1"/>
    <col min="2" max="2" width="22.33203125" style="1" customWidth="1"/>
    <col min="3" max="3" width="67" style="1" customWidth="1"/>
    <col min="4" max="4" width="0" style="48" hidden="1" customWidth="1"/>
    <col min="5" max="5" width="25" style="48" hidden="1" customWidth="1"/>
    <col min="6" max="8" width="0" style="48" hidden="1" customWidth="1"/>
    <col min="9" max="9" width="49.1640625" style="1" hidden="1" customWidth="1"/>
    <col min="10" max="10" width="14.83203125" style="1" hidden="1" customWidth="1"/>
    <col min="11" max="11" width="13.5" style="1" customWidth="1"/>
    <col min="12" max="12" width="4.1640625" style="1" customWidth="1"/>
    <col min="13" max="13" width="4.83203125" style="1" customWidth="1"/>
    <col min="14" max="14" width="33.6640625" style="1" customWidth="1"/>
    <col min="15" max="15" width="37.6640625" style="1" customWidth="1"/>
    <col min="16" max="16" width="38.33203125" style="1" customWidth="1"/>
    <col min="17" max="19" width="22.33203125" style="1"/>
    <col min="20" max="20" width="14.1640625" style="1" customWidth="1"/>
    <col min="21" max="16384" width="22.33203125" style="1"/>
  </cols>
  <sheetData>
    <row r="1" spans="1:14" s="1505" customFormat="1" ht="14">
      <c r="A1" s="1505" t="s">
        <v>204</v>
      </c>
    </row>
    <row r="2" spans="1:14" s="1505" customFormat="1" ht="14"/>
    <row r="3" spans="1:14" customFormat="1" ht="14"/>
    <row r="4" spans="1:14" customFormat="1" ht="14"/>
    <row r="5" spans="1:14" customFormat="1" ht="14">
      <c r="B5" s="1251" t="s">
        <v>16</v>
      </c>
    </row>
    <row r="6" spans="1:14" customFormat="1" ht="14">
      <c r="B6" s="1251"/>
    </row>
    <row r="7" spans="1:14" customFormat="1" ht="14.5" thickBot="1"/>
    <row r="8" spans="1:14" s="1065" customFormat="1" ht="36.5" customHeight="1" thickBot="1">
      <c r="B8" s="1066" t="s">
        <v>205</v>
      </c>
      <c r="C8" s="1067" t="s">
        <v>92</v>
      </c>
      <c r="D8" s="1068" t="s">
        <v>206</v>
      </c>
      <c r="E8" s="1069" t="s">
        <v>207</v>
      </c>
      <c r="F8" s="1069" t="s">
        <v>208</v>
      </c>
      <c r="G8" s="1070" t="s">
        <v>209</v>
      </c>
      <c r="H8" s="1070" t="s">
        <v>210</v>
      </c>
      <c r="I8" s="1071" t="s">
        <v>211</v>
      </c>
      <c r="J8" s="1072" t="s">
        <v>212</v>
      </c>
      <c r="K8" s="1120" t="s">
        <v>213</v>
      </c>
    </row>
    <row r="9" spans="1:14" s="1065" customFormat="1" ht="25.5" customHeight="1">
      <c r="B9" s="1516" t="s">
        <v>95</v>
      </c>
      <c r="C9" s="1073" t="s">
        <v>214</v>
      </c>
      <c r="D9" s="1074">
        <v>1</v>
      </c>
      <c r="E9" s="1075">
        <v>1</v>
      </c>
      <c r="F9" s="1075">
        <v>0.5</v>
      </c>
      <c r="G9" s="1075">
        <v>0.7</v>
      </c>
      <c r="H9" s="1076">
        <v>0</v>
      </c>
      <c r="I9" s="1077" t="s">
        <v>215</v>
      </c>
      <c r="J9" s="1078" t="s">
        <v>216</v>
      </c>
      <c r="K9" s="1079" t="s">
        <v>216</v>
      </c>
      <c r="L9" s="1080"/>
      <c r="M9" s="1081"/>
      <c r="N9" s="1217" t="s">
        <v>217</v>
      </c>
    </row>
    <row r="10" spans="1:14" s="1065" customFormat="1" ht="25.5" customHeight="1">
      <c r="B10" s="1517"/>
      <c r="C10" s="1083" t="s">
        <v>218</v>
      </c>
      <c r="D10" s="1084">
        <v>0.5</v>
      </c>
      <c r="E10" s="1085">
        <v>0.5</v>
      </c>
      <c r="F10" s="1085">
        <v>0.5</v>
      </c>
      <c r="G10" s="1085">
        <v>0.2</v>
      </c>
      <c r="H10" s="1086">
        <v>0</v>
      </c>
      <c r="I10" s="1087" t="s">
        <v>219</v>
      </c>
      <c r="J10" s="1088" t="s">
        <v>216</v>
      </c>
      <c r="K10" s="1089" t="s">
        <v>216</v>
      </c>
      <c r="L10" s="1080"/>
      <c r="M10" s="1080"/>
      <c r="N10" s="1217"/>
    </row>
    <row r="11" spans="1:14" s="1065" customFormat="1" ht="25.5" customHeight="1">
      <c r="B11" s="1517"/>
      <c r="C11" s="1083" t="s">
        <v>220</v>
      </c>
      <c r="D11" s="1090">
        <v>1</v>
      </c>
      <c r="E11" s="1091">
        <v>0.5</v>
      </c>
      <c r="F11" s="1091">
        <v>0</v>
      </c>
      <c r="G11" s="1091">
        <v>0</v>
      </c>
      <c r="H11" s="1092">
        <v>0</v>
      </c>
      <c r="I11" s="1093"/>
      <c r="J11" s="1088" t="s">
        <v>221</v>
      </c>
      <c r="K11" s="1089" t="s">
        <v>216</v>
      </c>
      <c r="L11" s="1080"/>
      <c r="M11" s="1094"/>
      <c r="N11" s="1217" t="s">
        <v>222</v>
      </c>
    </row>
    <row r="12" spans="1:14" s="1065" customFormat="1" ht="25.5" customHeight="1">
      <c r="B12" s="1517"/>
      <c r="C12" s="1083" t="s">
        <v>100</v>
      </c>
      <c r="D12" s="1090">
        <v>1</v>
      </c>
      <c r="E12" s="1091">
        <v>0.5</v>
      </c>
      <c r="F12" s="1091">
        <v>0</v>
      </c>
      <c r="G12" s="1091">
        <v>0</v>
      </c>
      <c r="H12" s="1092">
        <v>0</v>
      </c>
      <c r="I12" s="1093" t="s">
        <v>223</v>
      </c>
      <c r="J12" s="1088" t="s">
        <v>221</v>
      </c>
      <c r="K12" s="1095"/>
      <c r="L12" s="1080"/>
      <c r="M12" s="1080"/>
      <c r="N12" s="1082"/>
    </row>
    <row r="13" spans="1:14" s="1065" customFormat="1" ht="25.5" customHeight="1">
      <c r="B13" s="1517"/>
      <c r="C13" s="1083" t="s">
        <v>99</v>
      </c>
      <c r="D13" s="1090">
        <v>1</v>
      </c>
      <c r="E13" s="1091">
        <v>1</v>
      </c>
      <c r="F13" s="1091">
        <v>1</v>
      </c>
      <c r="G13" s="1091">
        <v>1</v>
      </c>
      <c r="H13" s="1092">
        <v>0</v>
      </c>
      <c r="I13" s="1093"/>
      <c r="J13" s="1088" t="s">
        <v>216</v>
      </c>
      <c r="K13" s="1089" t="s">
        <v>216</v>
      </c>
      <c r="L13" s="1080"/>
      <c r="M13" s="1096"/>
      <c r="N13" s="1216" t="s">
        <v>224</v>
      </c>
    </row>
    <row r="14" spans="1:14" s="1065" customFormat="1" ht="25.5" customHeight="1">
      <c r="B14" s="1517"/>
      <c r="C14" s="1083" t="s">
        <v>225</v>
      </c>
      <c r="D14" s="1084"/>
      <c r="E14" s="1085"/>
      <c r="F14" s="1085"/>
      <c r="G14" s="1085"/>
      <c r="H14" s="1086"/>
      <c r="I14" s="1097"/>
      <c r="J14" s="1088" t="s">
        <v>221</v>
      </c>
      <c r="K14" s="1089" t="s">
        <v>226</v>
      </c>
      <c r="L14" s="1080"/>
      <c r="M14" s="1080"/>
      <c r="N14" s="1082"/>
    </row>
    <row r="15" spans="1:14" s="1065" customFormat="1" ht="25.5" customHeight="1" thickBot="1">
      <c r="B15" s="1518"/>
      <c r="C15" s="1098" t="s">
        <v>227</v>
      </c>
      <c r="D15" s="1099">
        <v>1</v>
      </c>
      <c r="E15" s="1100">
        <v>0.5</v>
      </c>
      <c r="F15" s="1100">
        <v>0.2</v>
      </c>
      <c r="G15" s="1100"/>
      <c r="H15" s="1101">
        <v>0</v>
      </c>
      <c r="I15" s="1102"/>
      <c r="J15" s="1103" t="s">
        <v>221</v>
      </c>
      <c r="K15" s="1104" t="s">
        <v>221</v>
      </c>
      <c r="L15" s="1080"/>
      <c r="M15" s="1105"/>
      <c r="N15" s="1217" t="s">
        <v>228</v>
      </c>
    </row>
    <row r="16" spans="1:14" s="1065" customFormat="1" ht="25.5" customHeight="1">
      <c r="B16" s="1516" t="s">
        <v>229</v>
      </c>
      <c r="C16" s="1073" t="s">
        <v>230</v>
      </c>
      <c r="D16" s="1106">
        <v>1</v>
      </c>
      <c r="E16" s="1107">
        <v>1</v>
      </c>
      <c r="F16" s="1107">
        <v>1</v>
      </c>
      <c r="G16" s="1107">
        <v>0.8</v>
      </c>
      <c r="H16" s="1108">
        <v>0.5</v>
      </c>
      <c r="I16" s="1109" t="s">
        <v>231</v>
      </c>
      <c r="J16" s="1079" t="s">
        <v>216</v>
      </c>
      <c r="K16" s="1079" t="s">
        <v>216</v>
      </c>
      <c r="L16" s="1080"/>
      <c r="M16" s="1080"/>
      <c r="N16" s="1080"/>
    </row>
    <row r="17" spans="2:14" s="1065" customFormat="1" ht="25.5" customHeight="1">
      <c r="B17" s="1517"/>
      <c r="C17" s="1083" t="s">
        <v>232</v>
      </c>
      <c r="D17" s="1090">
        <v>1</v>
      </c>
      <c r="E17" s="1091">
        <v>1</v>
      </c>
      <c r="F17" s="1091">
        <v>1</v>
      </c>
      <c r="G17" s="1091">
        <v>1</v>
      </c>
      <c r="H17" s="1092">
        <v>0.75</v>
      </c>
      <c r="I17" s="1110"/>
      <c r="J17" s="1089" t="s">
        <v>216</v>
      </c>
      <c r="K17" s="1089" t="s">
        <v>216</v>
      </c>
      <c r="L17" s="1080"/>
      <c r="M17" s="1080"/>
      <c r="N17" s="1080"/>
    </row>
    <row r="18" spans="2:14" s="1065" customFormat="1" ht="25.5" customHeight="1">
      <c r="B18" s="1517"/>
      <c r="C18" s="1083" t="s">
        <v>233</v>
      </c>
      <c r="D18" s="1090">
        <v>1</v>
      </c>
      <c r="E18" s="1091">
        <v>0.8</v>
      </c>
      <c r="F18" s="1091">
        <v>0.3</v>
      </c>
      <c r="G18" s="1091">
        <v>0.6</v>
      </c>
      <c r="H18" s="1092">
        <v>0</v>
      </c>
      <c r="I18" s="1110"/>
      <c r="J18" s="1095" t="s">
        <v>221</v>
      </c>
      <c r="K18" s="1095"/>
      <c r="L18" s="1080"/>
      <c r="M18" s="1080"/>
      <c r="N18" s="1080"/>
    </row>
    <row r="19" spans="2:14" s="1065" customFormat="1" ht="25.5" customHeight="1">
      <c r="B19" s="1517"/>
      <c r="C19" s="1083" t="s">
        <v>234</v>
      </c>
      <c r="D19" s="1090">
        <v>1</v>
      </c>
      <c r="E19" s="1091">
        <v>1</v>
      </c>
      <c r="F19" s="1091">
        <v>1</v>
      </c>
      <c r="G19" s="1091">
        <v>1</v>
      </c>
      <c r="H19" s="1092">
        <v>0</v>
      </c>
      <c r="I19" s="1110"/>
      <c r="J19" s="1089" t="s">
        <v>216</v>
      </c>
      <c r="K19" s="1089" t="s">
        <v>216</v>
      </c>
      <c r="L19" s="1080"/>
      <c r="M19" s="1080"/>
      <c r="N19" s="1080"/>
    </row>
    <row r="20" spans="2:14" s="1065" customFormat="1" ht="25.5" customHeight="1">
      <c r="B20" s="1517"/>
      <c r="C20" s="1083" t="s">
        <v>235</v>
      </c>
      <c r="D20" s="1090">
        <v>1</v>
      </c>
      <c r="E20" s="1091">
        <v>0.5</v>
      </c>
      <c r="F20" s="1091">
        <v>1</v>
      </c>
      <c r="G20" s="1091">
        <v>0</v>
      </c>
      <c r="H20" s="1092">
        <v>0</v>
      </c>
      <c r="I20" s="1110" t="s">
        <v>236</v>
      </c>
      <c r="J20" s="1089" t="s">
        <v>226</v>
      </c>
      <c r="K20" s="1089" t="s">
        <v>226</v>
      </c>
      <c r="L20" s="1080"/>
      <c r="M20" s="1080"/>
      <c r="N20" s="1080"/>
    </row>
    <row r="21" spans="2:14" s="1065" customFormat="1" ht="25.5" customHeight="1" thickBot="1">
      <c r="B21" s="1518"/>
      <c r="C21" s="1083" t="s">
        <v>237</v>
      </c>
      <c r="D21" s="1090">
        <v>1</v>
      </c>
      <c r="E21" s="1091">
        <v>0</v>
      </c>
      <c r="F21" s="1091">
        <v>0</v>
      </c>
      <c r="G21" s="1091">
        <v>0</v>
      </c>
      <c r="H21" s="1092">
        <v>0</v>
      </c>
      <c r="I21" s="1110"/>
      <c r="J21" s="1089" t="s">
        <v>221</v>
      </c>
      <c r="K21" s="1089" t="s">
        <v>221</v>
      </c>
      <c r="L21" s="1080"/>
      <c r="M21" s="1080"/>
      <c r="N21" s="1080"/>
    </row>
    <row r="22" spans="2:14" s="1065" customFormat="1" ht="25.5" customHeight="1">
      <c r="B22" s="1519" t="s">
        <v>238</v>
      </c>
      <c r="C22" s="1073" t="s">
        <v>239</v>
      </c>
      <c r="D22" s="1106">
        <v>1</v>
      </c>
      <c r="E22" s="1107">
        <v>1</v>
      </c>
      <c r="F22" s="1107">
        <v>1</v>
      </c>
      <c r="G22" s="1107">
        <v>0.9</v>
      </c>
      <c r="H22" s="1108">
        <v>1</v>
      </c>
      <c r="I22" s="1111" t="s">
        <v>240</v>
      </c>
      <c r="J22" s="1079" t="s">
        <v>216</v>
      </c>
      <c r="K22" s="1079" t="s">
        <v>216</v>
      </c>
      <c r="L22" s="1080"/>
      <c r="M22" s="1080"/>
      <c r="N22" s="1080"/>
    </row>
    <row r="23" spans="2:14" s="1065" customFormat="1" ht="25.5" customHeight="1">
      <c r="B23" s="1521"/>
      <c r="C23" s="1083" t="s">
        <v>241</v>
      </c>
      <c r="D23" s="1090">
        <v>1</v>
      </c>
      <c r="E23" s="1091">
        <v>0.5</v>
      </c>
      <c r="F23" s="1091">
        <v>0</v>
      </c>
      <c r="G23" s="1091">
        <v>0.6</v>
      </c>
      <c r="H23" s="1092">
        <v>0</v>
      </c>
      <c r="I23" s="1112" t="s">
        <v>231</v>
      </c>
      <c r="J23" s="1089" t="s">
        <v>216</v>
      </c>
      <c r="K23" s="1089" t="s">
        <v>216</v>
      </c>
      <c r="L23" s="1080"/>
      <c r="M23" s="1080"/>
      <c r="N23" s="1080"/>
    </row>
    <row r="24" spans="2:14" s="1065" customFormat="1" ht="25.5" customHeight="1" thickBot="1">
      <c r="B24" s="1520"/>
      <c r="C24" s="1098" t="s">
        <v>105</v>
      </c>
      <c r="D24" s="1099">
        <v>0.5</v>
      </c>
      <c r="E24" s="1100">
        <v>0.5</v>
      </c>
      <c r="F24" s="1100">
        <v>0</v>
      </c>
      <c r="G24" s="1100">
        <v>0.2</v>
      </c>
      <c r="H24" s="1101">
        <v>0</v>
      </c>
      <c r="I24" s="1113" t="s">
        <v>242</v>
      </c>
      <c r="J24" s="1114" t="s">
        <v>221</v>
      </c>
      <c r="K24" s="1121"/>
      <c r="L24" s="1080"/>
      <c r="M24" s="1080"/>
      <c r="N24" s="1080"/>
    </row>
    <row r="25" spans="2:14" s="1065" customFormat="1" ht="25.5" customHeight="1">
      <c r="B25" s="1516" t="s">
        <v>243</v>
      </c>
      <c r="C25" s="1073" t="s">
        <v>50</v>
      </c>
      <c r="D25" s="1106">
        <v>1</v>
      </c>
      <c r="E25" s="1107">
        <v>1</v>
      </c>
      <c r="F25" s="1107">
        <v>0.7</v>
      </c>
      <c r="G25" s="1107">
        <v>0.7</v>
      </c>
      <c r="H25" s="1108">
        <v>0</v>
      </c>
      <c r="I25" s="1111" t="s">
        <v>244</v>
      </c>
      <c r="J25" s="1115" t="s">
        <v>226</v>
      </c>
      <c r="K25" s="1095"/>
      <c r="L25" s="1080"/>
      <c r="M25" s="1080"/>
      <c r="N25" s="1080"/>
    </row>
    <row r="26" spans="2:14" s="1065" customFormat="1" ht="25.5" customHeight="1">
      <c r="B26" s="1517"/>
      <c r="C26" s="1083" t="s">
        <v>245</v>
      </c>
      <c r="D26" s="1090">
        <v>1</v>
      </c>
      <c r="E26" s="1091">
        <v>1</v>
      </c>
      <c r="F26" s="1091">
        <v>0.7</v>
      </c>
      <c r="G26" s="1091">
        <v>0.2</v>
      </c>
      <c r="H26" s="1092">
        <v>0</v>
      </c>
      <c r="I26" s="1110"/>
      <c r="J26" s="1089" t="s">
        <v>221</v>
      </c>
      <c r="K26" s="1089" t="s">
        <v>221</v>
      </c>
      <c r="L26" s="1080"/>
      <c r="M26" s="1080"/>
      <c r="N26" s="1080"/>
    </row>
    <row r="27" spans="2:14" s="1065" customFormat="1" ht="25.5" customHeight="1">
      <c r="B27" s="1517"/>
      <c r="C27" s="1083" t="s">
        <v>246</v>
      </c>
      <c r="D27" s="1090">
        <v>1</v>
      </c>
      <c r="E27" s="1091">
        <v>0.5</v>
      </c>
      <c r="F27" s="1091">
        <v>0.2</v>
      </c>
      <c r="G27" s="1091"/>
      <c r="H27" s="1092"/>
      <c r="I27" s="1110"/>
      <c r="J27" s="1089" t="s">
        <v>221</v>
      </c>
      <c r="K27" s="1089" t="s">
        <v>221</v>
      </c>
      <c r="L27" s="1080"/>
      <c r="M27" s="1080"/>
      <c r="N27" s="1080"/>
    </row>
    <row r="28" spans="2:14" s="1065" customFormat="1" ht="25.5" customHeight="1" thickBot="1">
      <c r="B28" s="1517"/>
      <c r="C28" s="1116" t="s">
        <v>32</v>
      </c>
      <c r="D28" s="1090"/>
      <c r="E28" s="1091"/>
      <c r="F28" s="1091"/>
      <c r="G28" s="1091"/>
      <c r="H28" s="1092"/>
      <c r="I28" s="1117"/>
      <c r="J28" s="1089" t="s">
        <v>226</v>
      </c>
      <c r="K28" s="1089" t="s">
        <v>226</v>
      </c>
      <c r="L28" s="1080"/>
      <c r="M28" s="1080"/>
      <c r="N28" s="1080"/>
    </row>
    <row r="29" spans="2:14" s="1065" customFormat="1" ht="25.5" customHeight="1">
      <c r="B29" s="1519" t="s">
        <v>247</v>
      </c>
      <c r="C29" s="1073" t="s">
        <v>248</v>
      </c>
      <c r="D29" s="1106">
        <v>1</v>
      </c>
      <c r="E29" s="1107">
        <v>0.7</v>
      </c>
      <c r="F29" s="1107">
        <v>0.3</v>
      </c>
      <c r="G29" s="1107">
        <v>0</v>
      </c>
      <c r="H29" s="1108">
        <v>0</v>
      </c>
      <c r="I29" s="1111" t="s">
        <v>249</v>
      </c>
      <c r="J29" s="1079" t="s">
        <v>221</v>
      </c>
      <c r="K29" s="1079" t="s">
        <v>226</v>
      </c>
      <c r="L29" s="1080"/>
      <c r="M29" s="1080"/>
      <c r="N29" s="1080"/>
    </row>
    <row r="30" spans="2:14" s="1065" customFormat="1" ht="25.5" customHeight="1" thickBot="1">
      <c r="B30" s="1520"/>
      <c r="C30" s="1098" t="s">
        <v>250</v>
      </c>
      <c r="D30" s="1099">
        <v>1</v>
      </c>
      <c r="E30" s="1100">
        <v>0.7</v>
      </c>
      <c r="F30" s="1100">
        <v>0.3</v>
      </c>
      <c r="G30" s="1100">
        <v>0</v>
      </c>
      <c r="H30" s="1101">
        <v>0</v>
      </c>
      <c r="I30" s="1113" t="s">
        <v>251</v>
      </c>
      <c r="J30" s="1114" t="s">
        <v>221</v>
      </c>
      <c r="K30" s="1114" t="s">
        <v>226</v>
      </c>
      <c r="L30" s="1080"/>
      <c r="M30" s="1080"/>
      <c r="N30" s="1080"/>
    </row>
    <row r="31" spans="2:14" s="1065" customFormat="1" ht="25.5" customHeight="1" thickBot="1">
      <c r="B31" s="1118" t="s">
        <v>252</v>
      </c>
      <c r="C31" s="1119"/>
      <c r="D31" s="1099">
        <v>1</v>
      </c>
      <c r="E31" s="1100">
        <v>0.7</v>
      </c>
      <c r="F31" s="1100">
        <v>0.5</v>
      </c>
      <c r="G31" s="1100">
        <v>0</v>
      </c>
      <c r="H31" s="1101">
        <v>0</v>
      </c>
      <c r="I31" s="1114"/>
      <c r="J31" s="1114" t="s">
        <v>226</v>
      </c>
      <c r="K31" s="1114" t="s">
        <v>226</v>
      </c>
      <c r="L31" s="1080"/>
      <c r="M31" s="1080"/>
      <c r="N31" s="1080"/>
    </row>
  </sheetData>
  <mergeCells count="6">
    <mergeCell ref="A1:XFD2"/>
    <mergeCell ref="B9:B15"/>
    <mergeCell ref="B25:B28"/>
    <mergeCell ref="B29:B30"/>
    <mergeCell ref="B16:B21"/>
    <mergeCell ref="B22:B24"/>
  </mergeCells>
  <conditionalFormatting sqref="A1:XFD2">
    <cfRule type="containsBlanks" dxfId="38" priority="1">
      <formula>LEN(TRIM(A1))=0</formula>
    </cfRule>
  </conditionalFormatting>
  <conditionalFormatting sqref="D11">
    <cfRule type="dataBar" priority="44">
      <dataBar>
        <cfvo type="percent" val="0"/>
        <cfvo type="percent" val="100"/>
        <color theme="9"/>
      </dataBar>
      <extLst>
        <ext xmlns:x14="http://schemas.microsoft.com/office/spreadsheetml/2009/9/main" uri="{B025F937-C7B1-47D3-B67F-A62EFF666E3E}">
          <x14:id>{01713A7E-36E4-4A28-89A5-2F2784216CEB}</x14:id>
        </ext>
      </extLst>
    </cfRule>
  </conditionalFormatting>
  <conditionalFormatting sqref="D14">
    <cfRule type="dataBar" priority="14">
      <dataBar>
        <cfvo type="percent" val="0"/>
        <cfvo type="percent" val="100"/>
        <color theme="9"/>
      </dataBar>
      <extLst>
        <ext xmlns:x14="http://schemas.microsoft.com/office/spreadsheetml/2009/9/main" uri="{B025F937-C7B1-47D3-B67F-A62EFF666E3E}">
          <x14:id>{197CEEE1-D0D3-4454-B370-8171A443CFE9}</x14:id>
        </ext>
      </extLst>
    </cfRule>
  </conditionalFormatting>
  <conditionalFormatting sqref="D15">
    <cfRule type="dataBar" priority="24">
      <dataBar>
        <cfvo type="percent" val="0"/>
        <cfvo type="percent" val="100"/>
        <color theme="9"/>
      </dataBar>
      <extLst>
        <ext xmlns:x14="http://schemas.microsoft.com/office/spreadsheetml/2009/9/main" uri="{B025F937-C7B1-47D3-B67F-A62EFF666E3E}">
          <x14:id>{EE46C4C0-D743-4B1F-A4C7-933EB9628338}</x14:id>
        </ext>
      </extLst>
    </cfRule>
  </conditionalFormatting>
  <conditionalFormatting sqref="D19">
    <cfRule type="dataBar" priority="54">
      <dataBar>
        <cfvo type="percent" val="0"/>
        <cfvo type="percent" val="100"/>
        <color theme="9"/>
      </dataBar>
      <extLst>
        <ext xmlns:x14="http://schemas.microsoft.com/office/spreadsheetml/2009/9/main" uri="{B025F937-C7B1-47D3-B67F-A62EFF666E3E}">
          <x14:id>{5B582C93-7E3B-4205-A48E-731780E2068B}</x14:id>
        </ext>
      </extLst>
    </cfRule>
  </conditionalFormatting>
  <conditionalFormatting sqref="D20:D31 D9:D10 D12:D18">
    <cfRule type="dataBar" priority="368">
      <dataBar>
        <cfvo type="percent" val="0"/>
        <cfvo type="percent" val="100"/>
        <color theme="9"/>
      </dataBar>
      <extLst>
        <ext xmlns:x14="http://schemas.microsoft.com/office/spreadsheetml/2009/9/main" uri="{B025F937-C7B1-47D3-B67F-A62EFF666E3E}">
          <x14:id>{74942142-D206-4830-9367-4786029ED6DD}</x14:id>
        </ext>
      </extLst>
    </cfRule>
  </conditionalFormatting>
  <conditionalFormatting sqref="E11">
    <cfRule type="dataBar" priority="43">
      <dataBar>
        <cfvo type="percent" val="0"/>
        <cfvo type="percent" val="100"/>
        <color theme="9"/>
      </dataBar>
      <extLst>
        <ext xmlns:x14="http://schemas.microsoft.com/office/spreadsheetml/2009/9/main" uri="{B025F937-C7B1-47D3-B67F-A62EFF666E3E}">
          <x14:id>{609AFC84-FE1E-4070-8E1C-817EFFDAA08B}</x14:id>
        </ext>
      </extLst>
    </cfRule>
  </conditionalFormatting>
  <conditionalFormatting sqref="E14">
    <cfRule type="dataBar" priority="13">
      <dataBar>
        <cfvo type="percent" val="0"/>
        <cfvo type="percent" val="100"/>
        <color theme="9"/>
      </dataBar>
      <extLst>
        <ext xmlns:x14="http://schemas.microsoft.com/office/spreadsheetml/2009/9/main" uri="{B025F937-C7B1-47D3-B67F-A62EFF666E3E}">
          <x14:id>{E93FC3F9-D45F-4B63-A28F-C93BB0944A16}</x14:id>
        </ext>
      </extLst>
    </cfRule>
  </conditionalFormatting>
  <conditionalFormatting sqref="E15">
    <cfRule type="dataBar" priority="23">
      <dataBar>
        <cfvo type="percent" val="0"/>
        <cfvo type="percent" val="100"/>
        <color theme="9"/>
      </dataBar>
      <extLst>
        <ext xmlns:x14="http://schemas.microsoft.com/office/spreadsheetml/2009/9/main" uri="{B025F937-C7B1-47D3-B67F-A62EFF666E3E}">
          <x14:id>{00866E79-7922-4D0B-A574-D6B653F315FB}</x14:id>
        </ext>
      </extLst>
    </cfRule>
  </conditionalFormatting>
  <conditionalFormatting sqref="E19">
    <cfRule type="dataBar" priority="204">
      <dataBar>
        <cfvo type="percent" val="0"/>
        <cfvo type="percent" val="100"/>
        <color theme="9"/>
      </dataBar>
      <extLst>
        <ext xmlns:x14="http://schemas.microsoft.com/office/spreadsheetml/2009/9/main" uri="{B025F937-C7B1-47D3-B67F-A62EFF666E3E}">
          <x14:id>{4A7925D3-5E58-40A3-98C6-677D69CAAAC1}</x14:id>
        </ext>
      </extLst>
    </cfRule>
  </conditionalFormatting>
  <conditionalFormatting sqref="E20:E31 E9:E10 E12:E18">
    <cfRule type="dataBar" priority="365">
      <dataBar>
        <cfvo type="percent" val="0"/>
        <cfvo type="percent" val="100"/>
        <color theme="9"/>
      </dataBar>
      <extLst>
        <ext xmlns:x14="http://schemas.microsoft.com/office/spreadsheetml/2009/9/main" uri="{B025F937-C7B1-47D3-B67F-A62EFF666E3E}">
          <x14:id>{0FD5607F-79C3-42E0-B0D8-0F3E980A3F57}</x14:id>
        </ext>
      </extLst>
    </cfRule>
  </conditionalFormatting>
  <conditionalFormatting sqref="F11">
    <cfRule type="dataBar" priority="42">
      <dataBar>
        <cfvo type="percent" val="0"/>
        <cfvo type="percent" val="100"/>
        <color theme="9"/>
      </dataBar>
      <extLst>
        <ext xmlns:x14="http://schemas.microsoft.com/office/spreadsheetml/2009/9/main" uri="{B025F937-C7B1-47D3-B67F-A62EFF666E3E}">
          <x14:id>{0B6650D8-711C-43DF-BBBE-885643FC0EE1}</x14:id>
        </ext>
      </extLst>
    </cfRule>
  </conditionalFormatting>
  <conditionalFormatting sqref="F14">
    <cfRule type="dataBar" priority="12">
      <dataBar>
        <cfvo type="percent" val="0"/>
        <cfvo type="percent" val="100"/>
        <color theme="9"/>
      </dataBar>
      <extLst>
        <ext xmlns:x14="http://schemas.microsoft.com/office/spreadsheetml/2009/9/main" uri="{B025F937-C7B1-47D3-B67F-A62EFF666E3E}">
          <x14:id>{590EBCF1-703C-4B95-8CDD-7A06BFC769DD}</x14:id>
        </ext>
      </extLst>
    </cfRule>
  </conditionalFormatting>
  <conditionalFormatting sqref="F15">
    <cfRule type="dataBar" priority="22">
      <dataBar>
        <cfvo type="percent" val="0"/>
        <cfvo type="percent" val="100"/>
        <color theme="9"/>
      </dataBar>
      <extLst>
        <ext xmlns:x14="http://schemas.microsoft.com/office/spreadsheetml/2009/9/main" uri="{B025F937-C7B1-47D3-B67F-A62EFF666E3E}">
          <x14:id>{0E18B7C8-DB7A-48BB-9845-733367A786B2}</x14:id>
        </ext>
      </extLst>
    </cfRule>
  </conditionalFormatting>
  <conditionalFormatting sqref="F19">
    <cfRule type="dataBar" priority="52">
      <dataBar>
        <cfvo type="percent" val="0"/>
        <cfvo type="percent" val="100"/>
        <color theme="9"/>
      </dataBar>
    </cfRule>
  </conditionalFormatting>
  <conditionalFormatting sqref="F20:F31 F9:F10 F12:F18">
    <cfRule type="dataBar" priority="362">
      <dataBar>
        <cfvo type="percent" val="0"/>
        <cfvo type="percent" val="100"/>
        <color theme="9"/>
      </dataBar>
      <extLst>
        <ext xmlns:x14="http://schemas.microsoft.com/office/spreadsheetml/2009/9/main" uri="{B025F937-C7B1-47D3-B67F-A62EFF666E3E}">
          <x14:id>{ACB9F31A-D34F-4AEB-9413-7089B81EEEF8}</x14:id>
        </ext>
      </extLst>
    </cfRule>
  </conditionalFormatting>
  <conditionalFormatting sqref="G11">
    <cfRule type="dataBar" priority="41">
      <dataBar>
        <cfvo type="percent" val="0"/>
        <cfvo type="percent" val="100"/>
        <color theme="9"/>
      </dataBar>
      <extLst>
        <ext xmlns:x14="http://schemas.microsoft.com/office/spreadsheetml/2009/9/main" uri="{B025F937-C7B1-47D3-B67F-A62EFF666E3E}">
          <x14:id>{2D28F211-7A46-4CAC-B3FE-1E9BBE9E4001}</x14:id>
        </ext>
      </extLst>
    </cfRule>
  </conditionalFormatting>
  <conditionalFormatting sqref="G14">
    <cfRule type="dataBar" priority="11">
      <dataBar>
        <cfvo type="percent" val="0"/>
        <cfvo type="percent" val="100"/>
        <color theme="9"/>
      </dataBar>
      <extLst>
        <ext xmlns:x14="http://schemas.microsoft.com/office/spreadsheetml/2009/9/main" uri="{B025F937-C7B1-47D3-B67F-A62EFF666E3E}">
          <x14:id>{66E77758-3513-4861-8416-473482279283}</x14:id>
        </ext>
      </extLst>
    </cfRule>
  </conditionalFormatting>
  <conditionalFormatting sqref="G15">
    <cfRule type="dataBar" priority="21">
      <dataBar>
        <cfvo type="percent" val="0"/>
        <cfvo type="percent" val="100"/>
        <color theme="9"/>
      </dataBar>
      <extLst>
        <ext xmlns:x14="http://schemas.microsoft.com/office/spreadsheetml/2009/9/main" uri="{B025F937-C7B1-47D3-B67F-A62EFF666E3E}">
          <x14:id>{DF6636CB-E194-45F7-A7F7-7CD3A23A2FCD}</x14:id>
        </ext>
      </extLst>
    </cfRule>
  </conditionalFormatting>
  <conditionalFormatting sqref="G19">
    <cfRule type="dataBar" priority="51">
      <dataBar>
        <cfvo type="percent" val="0"/>
        <cfvo type="percent" val="100"/>
        <color theme="9"/>
      </dataBar>
    </cfRule>
  </conditionalFormatting>
  <conditionalFormatting sqref="G20:G31 G9:G10 G12:G18">
    <cfRule type="dataBar" priority="359">
      <dataBar>
        <cfvo type="percent" val="0"/>
        <cfvo type="percent" val="100"/>
        <color theme="9"/>
      </dataBar>
      <extLst>
        <ext xmlns:x14="http://schemas.microsoft.com/office/spreadsheetml/2009/9/main" uri="{B025F937-C7B1-47D3-B67F-A62EFF666E3E}">
          <x14:id>{74E902EC-5466-4030-B58A-D6246B6455FD}</x14:id>
        </ext>
      </extLst>
    </cfRule>
  </conditionalFormatting>
  <conditionalFormatting sqref="H11">
    <cfRule type="dataBar" priority="45">
      <dataBar>
        <cfvo type="percent" val="0"/>
        <cfvo type="percent" val="100"/>
        <color theme="9"/>
      </dataBar>
      <extLst>
        <ext xmlns:x14="http://schemas.microsoft.com/office/spreadsheetml/2009/9/main" uri="{B025F937-C7B1-47D3-B67F-A62EFF666E3E}">
          <x14:id>{A7DE40AD-917E-496E-9471-C0CDA752A464}</x14:id>
        </ext>
      </extLst>
    </cfRule>
  </conditionalFormatting>
  <conditionalFormatting sqref="H14">
    <cfRule type="dataBar" priority="15">
      <dataBar>
        <cfvo type="percent" val="0"/>
        <cfvo type="percent" val="100"/>
        <color theme="9"/>
      </dataBar>
      <extLst>
        <ext xmlns:x14="http://schemas.microsoft.com/office/spreadsheetml/2009/9/main" uri="{B025F937-C7B1-47D3-B67F-A62EFF666E3E}">
          <x14:id>{42817038-EA4C-4780-9818-8A0145991ABC}</x14:id>
        </ext>
      </extLst>
    </cfRule>
  </conditionalFormatting>
  <conditionalFormatting sqref="H15">
    <cfRule type="dataBar" priority="25">
      <dataBar>
        <cfvo type="percent" val="0"/>
        <cfvo type="percent" val="100"/>
        <color theme="9"/>
      </dataBar>
      <extLst>
        <ext xmlns:x14="http://schemas.microsoft.com/office/spreadsheetml/2009/9/main" uri="{B025F937-C7B1-47D3-B67F-A62EFF666E3E}">
          <x14:id>{F2FA55CF-010D-41D1-8A0D-4763EFDA5A78}</x14:id>
        </ext>
      </extLst>
    </cfRule>
  </conditionalFormatting>
  <conditionalFormatting sqref="H19">
    <cfRule type="dataBar" priority="55">
      <dataBar>
        <cfvo type="percent" val="0"/>
        <cfvo type="percent" val="100"/>
        <color theme="9"/>
      </dataBar>
      <extLst>
        <ext xmlns:x14="http://schemas.microsoft.com/office/spreadsheetml/2009/9/main" uri="{B025F937-C7B1-47D3-B67F-A62EFF666E3E}">
          <x14:id>{B4184DA1-8865-416B-A9CF-CB7C30B65791}</x14:id>
        </ext>
      </extLst>
    </cfRule>
  </conditionalFormatting>
  <conditionalFormatting sqref="H20:H31 H9:H10 H12:H18">
    <cfRule type="dataBar" priority="371">
      <dataBar>
        <cfvo type="percent" val="0"/>
        <cfvo type="percent" val="100"/>
        <color theme="9"/>
      </dataBar>
      <extLst>
        <ext xmlns:x14="http://schemas.microsoft.com/office/spreadsheetml/2009/9/main" uri="{B025F937-C7B1-47D3-B67F-A62EFF666E3E}">
          <x14:id>{6CD9F5C7-E036-4CB4-B9CD-E3555F330B88}</x14:id>
        </ext>
      </extLst>
    </cfRule>
  </conditionalFormatting>
  <conditionalFormatting sqref="J14:K15">
    <cfRule type="containsText" dxfId="37" priority="6" operator="containsText" text="peut-être">
      <formula>NOT(ISERROR(SEARCH("peut-être",J14)))</formula>
    </cfRule>
    <cfRule type="containsText" dxfId="36" priority="7" operator="containsText" text="non">
      <formula>NOT(ISERROR(SEARCH("non",J14)))</formula>
    </cfRule>
    <cfRule type="containsText" dxfId="35" priority="8" operator="containsText" text="oui">
      <formula>NOT(ISERROR(SEARCH("oui",J14)))</formula>
    </cfRule>
  </conditionalFormatting>
  <conditionalFormatting sqref="J9:L9">
    <cfRule type="containsText" dxfId="34" priority="101" operator="containsText" text="peut-être">
      <formula>NOT(ISERROR(SEARCH("peut-être",J9)))</formula>
    </cfRule>
    <cfRule type="containsText" dxfId="33" priority="102" operator="containsText" text="non">
      <formula>NOT(ISERROR(SEARCH("non",J9)))</formula>
    </cfRule>
    <cfRule type="containsText" dxfId="32" priority="103" operator="containsText" text="oui">
      <formula>NOT(ISERROR(SEARCH("oui",J9)))</formula>
    </cfRule>
  </conditionalFormatting>
  <conditionalFormatting sqref="J10:N24">
    <cfRule type="containsText" dxfId="31" priority="36" operator="containsText" text="peut-être">
      <formula>NOT(ISERROR(SEARCH("peut-être",J10)))</formula>
    </cfRule>
    <cfRule type="containsText" dxfId="30" priority="37" operator="containsText" text="non">
      <formula>NOT(ISERROR(SEARCH("non",J10)))</formula>
    </cfRule>
    <cfRule type="containsText" dxfId="29" priority="38" operator="containsText" text="oui">
      <formula>NOT(ISERROR(SEARCH("oui",J10)))</formula>
    </cfRule>
  </conditionalFormatting>
  <conditionalFormatting sqref="J25:N31">
    <cfRule type="containsText" dxfId="28" priority="2" operator="containsText" text="peut-être">
      <formula>NOT(ISERROR(SEARCH("peut-être",J25)))</formula>
    </cfRule>
    <cfRule type="containsText" dxfId="27" priority="3" operator="containsText" text="non">
      <formula>NOT(ISERROR(SEARCH("non",J25)))</formula>
    </cfRule>
    <cfRule type="containsText" dxfId="26" priority="4" operator="containsText" text="oui">
      <formula>NOT(ISERROR(SEARCH("oui",J25)))</formula>
    </cfRule>
  </conditionalFormatting>
  <conditionalFormatting sqref="N9">
    <cfRule type="containsText" dxfId="25" priority="56" operator="containsText" text="peut-être">
      <formula>NOT(ISERROR(SEARCH("peut-être",N9)))</formula>
    </cfRule>
    <cfRule type="containsText" dxfId="24" priority="57" operator="containsText" text="non">
      <formula>NOT(ISERROR(SEARCH("non",N9)))</formula>
    </cfRule>
    <cfRule type="containsText" dxfId="23" priority="58" operator="containsText" text="oui">
      <formula>NOT(ISERROR(SEARCH("oui",N9)))</formula>
    </cfRule>
  </conditionalFormatting>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dataBar" id="{01713A7E-36E4-4A28-89A5-2F2784216CEB}">
            <x14:dataBar minLength="0" maxLength="100" border="1" gradient="0">
              <x14:cfvo type="percent">
                <xm:f>0</xm:f>
              </x14:cfvo>
              <x14:cfvo type="percent">
                <xm:f>100</xm:f>
              </x14:cfvo>
              <x14:borderColor theme="4"/>
              <x14:negativeFillColor rgb="FFFF0000"/>
              <x14:axisColor rgb="FF000000"/>
            </x14:dataBar>
          </x14:cfRule>
          <xm:sqref>D11</xm:sqref>
        </x14:conditionalFormatting>
        <x14:conditionalFormatting xmlns:xm="http://schemas.microsoft.com/office/excel/2006/main">
          <x14:cfRule type="dataBar" id="{197CEEE1-D0D3-4454-B370-8171A443CFE9}">
            <x14:dataBar minLength="0" maxLength="100" border="1" gradient="0">
              <x14:cfvo type="percent">
                <xm:f>0</xm:f>
              </x14:cfvo>
              <x14:cfvo type="percent">
                <xm:f>100</xm:f>
              </x14:cfvo>
              <x14:borderColor theme="4"/>
              <x14:negativeFillColor rgb="FFFF0000"/>
              <x14:axisColor rgb="FF000000"/>
            </x14:dataBar>
          </x14:cfRule>
          <xm:sqref>D14</xm:sqref>
        </x14:conditionalFormatting>
        <x14:conditionalFormatting xmlns:xm="http://schemas.microsoft.com/office/excel/2006/main">
          <x14:cfRule type="dataBar" id="{EE46C4C0-D743-4B1F-A4C7-933EB9628338}">
            <x14:dataBar minLength="0" maxLength="100" border="1" gradient="0">
              <x14:cfvo type="percent">
                <xm:f>0</xm:f>
              </x14:cfvo>
              <x14:cfvo type="percent">
                <xm:f>100</xm:f>
              </x14:cfvo>
              <x14:borderColor theme="4"/>
              <x14:negativeFillColor rgb="FFFF0000"/>
              <x14:axisColor rgb="FF000000"/>
            </x14:dataBar>
          </x14:cfRule>
          <xm:sqref>D15</xm:sqref>
        </x14:conditionalFormatting>
        <x14:conditionalFormatting xmlns:xm="http://schemas.microsoft.com/office/excel/2006/main">
          <x14:cfRule type="dataBar" id="{5B582C93-7E3B-4205-A48E-731780E2068B}">
            <x14:dataBar minLength="0" maxLength="100" border="1" gradient="0">
              <x14:cfvo type="percent">
                <xm:f>0</xm:f>
              </x14:cfvo>
              <x14:cfvo type="percent">
                <xm:f>100</xm:f>
              </x14:cfvo>
              <x14:borderColor theme="4"/>
              <x14:negativeFillColor rgb="FFFF0000"/>
              <x14:axisColor rgb="FF000000"/>
            </x14:dataBar>
          </x14:cfRule>
          <xm:sqref>D19</xm:sqref>
        </x14:conditionalFormatting>
        <x14:conditionalFormatting xmlns:xm="http://schemas.microsoft.com/office/excel/2006/main">
          <x14:cfRule type="dataBar" id="{74942142-D206-4830-9367-4786029ED6DD}">
            <x14:dataBar minLength="0" maxLength="100" border="1" gradient="0">
              <x14:cfvo type="percent">
                <xm:f>0</xm:f>
              </x14:cfvo>
              <x14:cfvo type="percent">
                <xm:f>100</xm:f>
              </x14:cfvo>
              <x14:borderColor theme="4"/>
              <x14:negativeFillColor rgb="FFFF0000"/>
              <x14:axisColor rgb="FF000000"/>
            </x14:dataBar>
          </x14:cfRule>
          <xm:sqref>D20:D31 D9:D10 D12:D18</xm:sqref>
        </x14:conditionalFormatting>
        <x14:conditionalFormatting xmlns:xm="http://schemas.microsoft.com/office/excel/2006/main">
          <x14:cfRule type="dataBar" id="{609AFC84-FE1E-4070-8E1C-817EFFDAA08B}">
            <x14:dataBar minLength="0" maxLength="100" border="1" gradient="0">
              <x14:cfvo type="percent">
                <xm:f>0</xm:f>
              </x14:cfvo>
              <x14:cfvo type="percent">
                <xm:f>100</xm:f>
              </x14:cfvo>
              <x14:borderColor theme="4"/>
              <x14:negativeFillColor rgb="FFFF0000"/>
              <x14:axisColor rgb="FF000000"/>
            </x14:dataBar>
          </x14:cfRule>
          <xm:sqref>E11</xm:sqref>
        </x14:conditionalFormatting>
        <x14:conditionalFormatting xmlns:xm="http://schemas.microsoft.com/office/excel/2006/main">
          <x14:cfRule type="dataBar" id="{E93FC3F9-D45F-4B63-A28F-C93BB0944A16}">
            <x14:dataBar minLength="0" maxLength="100" border="1" gradient="0">
              <x14:cfvo type="percent">
                <xm:f>0</xm:f>
              </x14:cfvo>
              <x14:cfvo type="percent">
                <xm:f>100</xm:f>
              </x14:cfvo>
              <x14:borderColor theme="4"/>
              <x14:negativeFillColor rgb="FFFF0000"/>
              <x14:axisColor rgb="FF000000"/>
            </x14:dataBar>
          </x14:cfRule>
          <xm:sqref>E14</xm:sqref>
        </x14:conditionalFormatting>
        <x14:conditionalFormatting xmlns:xm="http://schemas.microsoft.com/office/excel/2006/main">
          <x14:cfRule type="dataBar" id="{00866E79-7922-4D0B-A574-D6B653F315FB}">
            <x14:dataBar minLength="0" maxLength="100" border="1" gradient="0">
              <x14:cfvo type="percent">
                <xm:f>0</xm:f>
              </x14:cfvo>
              <x14:cfvo type="percent">
                <xm:f>100</xm:f>
              </x14:cfvo>
              <x14:borderColor theme="4"/>
              <x14:negativeFillColor rgb="FFFF0000"/>
              <x14:axisColor rgb="FF000000"/>
            </x14:dataBar>
          </x14:cfRule>
          <xm:sqref>E15</xm:sqref>
        </x14:conditionalFormatting>
        <x14:conditionalFormatting xmlns:xm="http://schemas.microsoft.com/office/excel/2006/main">
          <x14:cfRule type="dataBar" id="{4A7925D3-5E58-40A3-98C6-677D69CAAAC1}">
            <x14:dataBar minLength="0" maxLength="100" border="1" gradient="0">
              <x14:cfvo type="percent">
                <xm:f>0</xm:f>
              </x14:cfvo>
              <x14:cfvo type="percent">
                <xm:f>100</xm:f>
              </x14:cfvo>
              <x14:borderColor theme="4"/>
              <x14:negativeFillColor rgb="FFFF0000"/>
              <x14:axisColor rgb="FF000000"/>
            </x14:dataBar>
          </x14:cfRule>
          <xm:sqref>E19</xm:sqref>
        </x14:conditionalFormatting>
        <x14:conditionalFormatting xmlns:xm="http://schemas.microsoft.com/office/excel/2006/main">
          <x14:cfRule type="dataBar" id="{0FD5607F-79C3-42E0-B0D8-0F3E980A3F57}">
            <x14:dataBar minLength="0" maxLength="100" border="1" gradient="0">
              <x14:cfvo type="percent">
                <xm:f>0</xm:f>
              </x14:cfvo>
              <x14:cfvo type="percent">
                <xm:f>100</xm:f>
              </x14:cfvo>
              <x14:borderColor theme="4"/>
              <x14:negativeFillColor rgb="FFFF0000"/>
              <x14:axisColor rgb="FF000000"/>
            </x14:dataBar>
          </x14:cfRule>
          <xm:sqref>E20:E31 E9:E10 E12:E18</xm:sqref>
        </x14:conditionalFormatting>
        <x14:conditionalFormatting xmlns:xm="http://schemas.microsoft.com/office/excel/2006/main">
          <x14:cfRule type="dataBar" id="{0B6650D8-711C-43DF-BBBE-885643FC0EE1}">
            <x14:dataBar minLength="0" maxLength="100" border="1" gradient="0">
              <x14:cfvo type="percent">
                <xm:f>0</xm:f>
              </x14:cfvo>
              <x14:cfvo type="percent">
                <xm:f>100</xm:f>
              </x14:cfvo>
              <x14:borderColor theme="4"/>
              <x14:negativeFillColor rgb="FFFF0000"/>
              <x14:axisColor rgb="FF000000"/>
            </x14:dataBar>
          </x14:cfRule>
          <xm:sqref>F11</xm:sqref>
        </x14:conditionalFormatting>
        <x14:conditionalFormatting xmlns:xm="http://schemas.microsoft.com/office/excel/2006/main">
          <x14:cfRule type="dataBar" id="{590EBCF1-703C-4B95-8CDD-7A06BFC769DD}">
            <x14:dataBar minLength="0" maxLength="100" border="1" gradient="0">
              <x14:cfvo type="percent">
                <xm:f>0</xm:f>
              </x14:cfvo>
              <x14:cfvo type="percent">
                <xm:f>100</xm:f>
              </x14:cfvo>
              <x14:borderColor theme="4"/>
              <x14:negativeFillColor rgb="FFFF0000"/>
              <x14:axisColor rgb="FF000000"/>
            </x14:dataBar>
          </x14:cfRule>
          <xm:sqref>F14</xm:sqref>
        </x14:conditionalFormatting>
        <x14:conditionalFormatting xmlns:xm="http://schemas.microsoft.com/office/excel/2006/main">
          <x14:cfRule type="dataBar" id="{0E18B7C8-DB7A-48BB-9845-733367A786B2}">
            <x14:dataBar minLength="0" maxLength="100" border="1" gradient="0">
              <x14:cfvo type="percent">
                <xm:f>0</xm:f>
              </x14:cfvo>
              <x14:cfvo type="percent">
                <xm:f>100</xm:f>
              </x14:cfvo>
              <x14:borderColor theme="4"/>
              <x14:negativeFillColor rgb="FFFF0000"/>
              <x14:axisColor rgb="FF000000"/>
            </x14:dataBar>
          </x14:cfRule>
          <xm:sqref>F15</xm:sqref>
        </x14:conditionalFormatting>
        <x14:conditionalFormatting xmlns:xm="http://schemas.microsoft.com/office/excel/2006/main">
          <x14:cfRule type="dataBar" id="{ACB9F31A-D34F-4AEB-9413-7089B81EEEF8}">
            <x14:dataBar minLength="0" maxLength="100" border="1" gradient="0">
              <x14:cfvo type="percent">
                <xm:f>0</xm:f>
              </x14:cfvo>
              <x14:cfvo type="percent">
                <xm:f>100</xm:f>
              </x14:cfvo>
              <x14:borderColor theme="4"/>
              <x14:negativeFillColor rgb="FFFF0000"/>
              <x14:axisColor rgb="FF000000"/>
            </x14:dataBar>
          </x14:cfRule>
          <xm:sqref>F20:F31 F9:F10 F12:F18</xm:sqref>
        </x14:conditionalFormatting>
        <x14:conditionalFormatting xmlns:xm="http://schemas.microsoft.com/office/excel/2006/main">
          <x14:cfRule type="dataBar" id="{2D28F211-7A46-4CAC-B3FE-1E9BBE9E4001}">
            <x14:dataBar minLength="0" maxLength="100" border="1" gradient="0">
              <x14:cfvo type="percent">
                <xm:f>0</xm:f>
              </x14:cfvo>
              <x14:cfvo type="percent">
                <xm:f>100</xm:f>
              </x14:cfvo>
              <x14:borderColor theme="4"/>
              <x14:negativeFillColor rgb="FFFF0000"/>
              <x14:axisColor rgb="FF000000"/>
            </x14:dataBar>
          </x14:cfRule>
          <xm:sqref>G11</xm:sqref>
        </x14:conditionalFormatting>
        <x14:conditionalFormatting xmlns:xm="http://schemas.microsoft.com/office/excel/2006/main">
          <x14:cfRule type="dataBar" id="{66E77758-3513-4861-8416-473482279283}">
            <x14:dataBar minLength="0" maxLength="100" border="1" gradient="0">
              <x14:cfvo type="percent">
                <xm:f>0</xm:f>
              </x14:cfvo>
              <x14:cfvo type="percent">
                <xm:f>100</xm:f>
              </x14:cfvo>
              <x14:borderColor theme="4"/>
              <x14:negativeFillColor rgb="FFFF0000"/>
              <x14:axisColor rgb="FF000000"/>
            </x14:dataBar>
          </x14:cfRule>
          <xm:sqref>G14</xm:sqref>
        </x14:conditionalFormatting>
        <x14:conditionalFormatting xmlns:xm="http://schemas.microsoft.com/office/excel/2006/main">
          <x14:cfRule type="dataBar" id="{DF6636CB-E194-45F7-A7F7-7CD3A23A2FCD}">
            <x14:dataBar minLength="0" maxLength="100" border="1" gradient="0">
              <x14:cfvo type="percent">
                <xm:f>0</xm:f>
              </x14:cfvo>
              <x14:cfvo type="percent">
                <xm:f>100</xm:f>
              </x14:cfvo>
              <x14:borderColor theme="4"/>
              <x14:negativeFillColor rgb="FFFF0000"/>
              <x14:axisColor rgb="FF000000"/>
            </x14:dataBar>
          </x14:cfRule>
          <xm:sqref>G15</xm:sqref>
        </x14:conditionalFormatting>
        <x14:conditionalFormatting xmlns:xm="http://schemas.microsoft.com/office/excel/2006/main">
          <x14:cfRule type="dataBar" id="{74E902EC-5466-4030-B58A-D6246B6455FD}">
            <x14:dataBar minLength="0" maxLength="100" border="1" gradient="0">
              <x14:cfvo type="percent">
                <xm:f>0</xm:f>
              </x14:cfvo>
              <x14:cfvo type="percent">
                <xm:f>100</xm:f>
              </x14:cfvo>
              <x14:borderColor theme="4"/>
              <x14:negativeFillColor rgb="FFFF0000"/>
              <x14:axisColor rgb="FF000000"/>
            </x14:dataBar>
          </x14:cfRule>
          <xm:sqref>G20:G31 G9:G10 G12:G18</xm:sqref>
        </x14:conditionalFormatting>
        <x14:conditionalFormatting xmlns:xm="http://schemas.microsoft.com/office/excel/2006/main">
          <x14:cfRule type="dataBar" id="{A7DE40AD-917E-496E-9471-C0CDA752A464}">
            <x14:dataBar minLength="0" maxLength="100" border="1" gradient="0">
              <x14:cfvo type="percent">
                <xm:f>0</xm:f>
              </x14:cfvo>
              <x14:cfvo type="percent">
                <xm:f>100</xm:f>
              </x14:cfvo>
              <x14:borderColor theme="4"/>
              <x14:negativeFillColor rgb="FFFF0000"/>
              <x14:axisColor rgb="FF000000"/>
            </x14:dataBar>
          </x14:cfRule>
          <xm:sqref>H11</xm:sqref>
        </x14:conditionalFormatting>
        <x14:conditionalFormatting xmlns:xm="http://schemas.microsoft.com/office/excel/2006/main">
          <x14:cfRule type="dataBar" id="{42817038-EA4C-4780-9818-8A0145991ABC}">
            <x14:dataBar minLength="0" maxLength="100" border="1" gradient="0">
              <x14:cfvo type="percent">
                <xm:f>0</xm:f>
              </x14:cfvo>
              <x14:cfvo type="percent">
                <xm:f>100</xm:f>
              </x14:cfvo>
              <x14:borderColor theme="4"/>
              <x14:negativeFillColor rgb="FFFF0000"/>
              <x14:axisColor rgb="FF000000"/>
            </x14:dataBar>
          </x14:cfRule>
          <xm:sqref>H14</xm:sqref>
        </x14:conditionalFormatting>
        <x14:conditionalFormatting xmlns:xm="http://schemas.microsoft.com/office/excel/2006/main">
          <x14:cfRule type="dataBar" id="{F2FA55CF-010D-41D1-8A0D-4763EFDA5A78}">
            <x14:dataBar minLength="0" maxLength="100" border="1" gradient="0">
              <x14:cfvo type="percent">
                <xm:f>0</xm:f>
              </x14:cfvo>
              <x14:cfvo type="percent">
                <xm:f>100</xm:f>
              </x14:cfvo>
              <x14:borderColor theme="4"/>
              <x14:negativeFillColor rgb="FFFF0000"/>
              <x14:axisColor rgb="FF000000"/>
            </x14:dataBar>
          </x14:cfRule>
          <xm:sqref>H15</xm:sqref>
        </x14:conditionalFormatting>
        <x14:conditionalFormatting xmlns:xm="http://schemas.microsoft.com/office/excel/2006/main">
          <x14:cfRule type="dataBar" id="{B4184DA1-8865-416B-A9CF-CB7C30B65791}">
            <x14:dataBar minLength="0" maxLength="100" border="1" gradient="0">
              <x14:cfvo type="percent">
                <xm:f>0</xm:f>
              </x14:cfvo>
              <x14:cfvo type="percent">
                <xm:f>100</xm:f>
              </x14:cfvo>
              <x14:borderColor theme="4"/>
              <x14:negativeFillColor rgb="FFFF0000"/>
              <x14:axisColor rgb="FF000000"/>
            </x14:dataBar>
          </x14:cfRule>
          <xm:sqref>H19</xm:sqref>
        </x14:conditionalFormatting>
        <x14:conditionalFormatting xmlns:xm="http://schemas.microsoft.com/office/excel/2006/main">
          <x14:cfRule type="dataBar" id="{6CD9F5C7-E036-4CB4-B9CD-E3555F330B88}">
            <x14:dataBar minLength="0" maxLength="100" border="1" gradient="0">
              <x14:cfvo type="percent">
                <xm:f>0</xm:f>
              </x14:cfvo>
              <x14:cfvo type="percent">
                <xm:f>100</xm:f>
              </x14:cfvo>
              <x14:borderColor theme="4"/>
              <x14:negativeFillColor rgb="FFFF0000"/>
              <x14:axisColor rgb="FF000000"/>
            </x14:dataBar>
          </x14:cfRule>
          <xm:sqref>H20:H31 H9:H10 H12:H18</xm:sqref>
        </x14:conditionalFormatting>
        <x14:conditionalFormatting xmlns:xm="http://schemas.microsoft.com/office/excel/2006/main">
          <x14:cfRule type="iconSet" priority="39" id="{13EEEB75-E078-4937-943B-434A17F4A8A7}">
            <x14:iconSet custom="1">
              <x14:cfvo type="percent">
                <xm:f>0</xm:f>
              </x14:cfvo>
              <x14:cfvo type="percent">
                <xm:f>"Non"</xm:f>
              </x14:cfvo>
              <x14:cfvo type="percent">
                <xm:f>"Oui"</xm:f>
              </x14:cfvo>
              <x14:cfIcon iconSet="3TrafficLights1" iconId="1"/>
              <x14:cfIcon iconSet="3TrafficLights1" iconId="0"/>
              <x14:cfIcon iconSet="3TrafficLights1" iconId="2"/>
            </x14:iconSet>
          </x14:cfRule>
          <xm:sqref>J11</xm:sqref>
        </x14:conditionalFormatting>
        <x14:conditionalFormatting xmlns:xm="http://schemas.microsoft.com/office/excel/2006/main">
          <x14:cfRule type="iconSet" priority="9" id="{D9A6C7F6-79BF-4359-8137-5303F12DF4E0}">
            <x14:iconSet custom="1">
              <x14:cfvo type="percent">
                <xm:f>0</xm:f>
              </x14:cfvo>
              <x14:cfvo type="percent">
                <xm:f>"Non"</xm:f>
              </x14:cfvo>
              <x14:cfvo type="percent">
                <xm:f>"Oui"</xm:f>
              </x14:cfvo>
              <x14:cfIcon iconSet="3TrafficLights1" iconId="1"/>
              <x14:cfIcon iconSet="3TrafficLights1" iconId="0"/>
              <x14:cfIcon iconSet="3TrafficLights1" iconId="2"/>
            </x14:iconSet>
          </x14:cfRule>
          <xm:sqref>J14</xm:sqref>
        </x14:conditionalFormatting>
        <x14:conditionalFormatting xmlns:xm="http://schemas.microsoft.com/office/excel/2006/main">
          <x14:cfRule type="iconSet" priority="19" id="{F848C0F8-4E14-439D-A7E1-C3DAF4C0B17F}">
            <x14:iconSet custom="1">
              <x14:cfvo type="percent">
                <xm:f>0</xm:f>
              </x14:cfvo>
              <x14:cfvo type="percent">
                <xm:f>"Non"</xm:f>
              </x14:cfvo>
              <x14:cfvo type="percent">
                <xm:f>"Oui"</xm:f>
              </x14:cfvo>
              <x14:cfIcon iconSet="3TrafficLights1" iconId="1"/>
              <x14:cfIcon iconSet="3TrafficLights1" iconId="0"/>
              <x14:cfIcon iconSet="3TrafficLights1" iconId="2"/>
            </x14:iconSet>
          </x14:cfRule>
          <xm:sqref>J15</xm:sqref>
        </x14:conditionalFormatting>
        <x14:conditionalFormatting xmlns:xm="http://schemas.microsoft.com/office/excel/2006/main">
          <x14:cfRule type="iconSet" priority="373" id="{69CB06BD-63C9-49E6-B15D-22735840AA47}">
            <x14:iconSet custom="1">
              <x14:cfvo type="percent">
                <xm:f>0</xm:f>
              </x14:cfvo>
              <x14:cfvo type="percent">
                <xm:f>"Non"</xm:f>
              </x14:cfvo>
              <x14:cfvo type="percent">
                <xm:f>"Oui"</xm:f>
              </x14:cfvo>
              <x14:cfIcon iconSet="3TrafficLights1" iconId="1"/>
              <x14:cfIcon iconSet="3TrafficLights1" iconId="0"/>
              <x14:cfIcon iconSet="3TrafficLights1" iconId="2"/>
            </x14:iconSet>
          </x14:cfRule>
          <xm:sqref>J19</xm:sqref>
        </x14:conditionalFormatting>
        <x14:conditionalFormatting xmlns:xm="http://schemas.microsoft.com/office/excel/2006/main">
          <x14:cfRule type="iconSet" priority="265" id="{40E95DC0-2D60-421B-96E3-2B6932FD596E}">
            <x14:iconSet custom="1">
              <x14:cfvo type="percent">
                <xm:f>0</xm:f>
              </x14:cfvo>
              <x14:cfvo type="percent">
                <xm:f>"Non"</xm:f>
              </x14:cfvo>
              <x14:cfvo type="percent">
                <xm:f>"Oui"</xm:f>
              </x14:cfvo>
              <x14:cfIcon iconSet="3TrafficLights1" iconId="1"/>
              <x14:cfIcon iconSet="3TrafficLights1" iconId="0"/>
              <x14:cfIcon iconSet="3TrafficLights1" iconId="2"/>
            </x14:iconSet>
          </x14:cfRule>
          <xm:sqref>J20:J24 J9:J10 J12:J18 J26:J31</xm:sqref>
        </x14:conditionalFormatting>
        <x14:conditionalFormatting xmlns:xm="http://schemas.microsoft.com/office/excel/2006/main">
          <x14:cfRule type="iconSet" priority="75" id="{21B38D88-F6E2-48A7-8F8B-2DC8BB086939}">
            <x14:iconSet custom="1">
              <x14:cfvo type="percent">
                <xm:f>0</xm:f>
              </x14:cfvo>
              <x14:cfvo type="percent">
                <xm:f>"Non"</xm:f>
              </x14:cfvo>
              <x14:cfvo type="percent">
                <xm:f>"Oui"</xm:f>
              </x14:cfvo>
              <x14:cfIcon iconSet="3TrafficLights1" iconId="1"/>
              <x14:cfIcon iconSet="3TrafficLights1" iconId="0"/>
              <x14:cfIcon iconSet="3TrafficLights1" iconId="2"/>
            </x14:iconSet>
          </x14:cfRule>
          <xm:sqref>J25</xm:sqref>
        </x14:conditionalFormatting>
        <x14:conditionalFormatting xmlns:xm="http://schemas.microsoft.com/office/excel/2006/main">
          <x14:cfRule type="iconSet" priority="40" id="{F29828CC-A730-43D3-A644-8B6D069A3948}">
            <x14:iconSet custom="1">
              <x14:cfvo type="percent">
                <xm:f>0</xm:f>
              </x14:cfvo>
              <x14:cfvo type="percent">
                <xm:f>"Non"</xm:f>
              </x14:cfvo>
              <x14:cfvo type="percent">
                <xm:f>"Oui"</xm:f>
              </x14:cfvo>
              <x14:cfIcon iconSet="3TrafficLights1" iconId="1"/>
              <x14:cfIcon iconSet="3TrafficLights1" iconId="0"/>
              <x14:cfIcon iconSet="3TrafficLights1" iconId="2"/>
            </x14:iconSet>
          </x14:cfRule>
          <xm:sqref>K11</xm:sqref>
        </x14:conditionalFormatting>
        <x14:conditionalFormatting xmlns:xm="http://schemas.microsoft.com/office/excel/2006/main">
          <x14:cfRule type="iconSet" priority="10" id="{7A16EE8C-3EFF-43F2-AAA1-EEE737BDED98}">
            <x14:iconSet custom="1">
              <x14:cfvo type="percent">
                <xm:f>0</xm:f>
              </x14:cfvo>
              <x14:cfvo type="percent">
                <xm:f>"Non"</xm:f>
              </x14:cfvo>
              <x14:cfvo type="percent">
                <xm:f>"Oui"</xm:f>
              </x14:cfvo>
              <x14:cfIcon iconSet="3TrafficLights1" iconId="1"/>
              <x14:cfIcon iconSet="3TrafficLights1" iconId="0"/>
              <x14:cfIcon iconSet="3TrafficLights1" iconId="2"/>
            </x14:iconSet>
          </x14:cfRule>
          <xm:sqref>K14</xm:sqref>
        </x14:conditionalFormatting>
        <x14:conditionalFormatting xmlns:xm="http://schemas.microsoft.com/office/excel/2006/main">
          <x14:cfRule type="iconSet" priority="20" id="{86DE5AAA-8BD0-45C2-8F47-1FB4B3F2021E}">
            <x14:iconSet custom="1">
              <x14:cfvo type="percent">
                <xm:f>0</xm:f>
              </x14:cfvo>
              <x14:cfvo type="percent">
                <xm:f>"Non"</xm:f>
              </x14:cfvo>
              <x14:cfvo type="percent">
                <xm:f>"Oui"</xm:f>
              </x14:cfvo>
              <x14:cfIcon iconSet="3TrafficLights1" iconId="1"/>
              <x14:cfIcon iconSet="3TrafficLights1" iconId="0"/>
              <x14:cfIcon iconSet="3TrafficLights1" iconId="2"/>
            </x14:iconSet>
          </x14:cfRule>
          <xm:sqref>K15</xm:sqref>
        </x14:conditionalFormatting>
        <x14:conditionalFormatting xmlns:xm="http://schemas.microsoft.com/office/excel/2006/main">
          <x14:cfRule type="iconSet" priority="5" id="{D4AB8C50-4A41-4793-9BFA-D3A181D3C706}">
            <x14:iconSet custom="1">
              <x14:cfvo type="percent">
                <xm:f>0</xm:f>
              </x14:cfvo>
              <x14:cfvo type="percent">
                <xm:f>"Non"</xm:f>
              </x14:cfvo>
              <x14:cfvo type="percent">
                <xm:f>"Oui"</xm:f>
              </x14:cfvo>
              <x14:cfIcon iconSet="3TrafficLights1" iconId="1"/>
              <x14:cfIcon iconSet="3TrafficLights1" iconId="0"/>
              <x14:cfIcon iconSet="3TrafficLights1" iconId="2"/>
            </x14:iconSet>
          </x14:cfRule>
          <xm:sqref>K25</xm:sqref>
        </x14:conditionalFormatting>
        <x14:conditionalFormatting xmlns:xm="http://schemas.microsoft.com/office/excel/2006/main">
          <x14:cfRule type="iconSet" priority="268" id="{00B0ED3F-C277-441F-BCAB-47A91DC4E5E1}">
            <x14:iconSet custom="1">
              <x14:cfvo type="percent">
                <xm:f>0</xm:f>
              </x14:cfvo>
              <x14:cfvo type="percent">
                <xm:f>"Non"</xm:f>
              </x14:cfvo>
              <x14:cfvo type="percent">
                <xm:f>"Oui"</xm:f>
              </x14:cfvo>
              <x14:cfIcon iconSet="3TrafficLights1" iconId="1"/>
              <x14:cfIcon iconSet="3TrafficLights1" iconId="0"/>
              <x14:cfIcon iconSet="3TrafficLights1" iconId="2"/>
            </x14:iconSet>
          </x14:cfRule>
          <xm:sqref>K9:L9 K20:N24 K10:N10 L11:N11 K12:N18 K26:N31</xm:sqref>
        </x14:conditionalFormatting>
        <x14:conditionalFormatting xmlns:xm="http://schemas.microsoft.com/office/excel/2006/main">
          <x14:cfRule type="iconSet" priority="374" id="{BB093772-0052-4A41-AEA3-9EE35908D2E9}">
            <x14:iconSet custom="1">
              <x14:cfvo type="percent">
                <xm:f>0</xm:f>
              </x14:cfvo>
              <x14:cfvo type="percent">
                <xm:f>"Non"</xm:f>
              </x14:cfvo>
              <x14:cfvo type="percent">
                <xm:f>"Oui"</xm:f>
              </x14:cfvo>
              <x14:cfIcon iconSet="3TrafficLights1" iconId="1"/>
              <x14:cfIcon iconSet="3TrafficLights1" iconId="0"/>
              <x14:cfIcon iconSet="3TrafficLights1" iconId="2"/>
            </x14:iconSet>
          </x14:cfRule>
          <xm:sqref>K19:N19</xm:sqref>
        </x14:conditionalFormatting>
        <x14:conditionalFormatting xmlns:xm="http://schemas.microsoft.com/office/excel/2006/main">
          <x14:cfRule type="iconSet" priority="59" id="{591FA3CC-C4FC-47CE-AD4C-956E4F930CE7}">
            <x14:iconSet custom="1">
              <x14:cfvo type="percent">
                <xm:f>0</xm:f>
              </x14:cfvo>
              <x14:cfvo type="percent">
                <xm:f>"Non"</xm:f>
              </x14:cfvo>
              <x14:cfvo type="percent">
                <xm:f>"Oui"</xm:f>
              </x14:cfvo>
              <x14:cfIcon iconSet="3TrafficLights1" iconId="1"/>
              <x14:cfIcon iconSet="3TrafficLights1" iconId="0"/>
              <x14:cfIcon iconSet="3TrafficLights1" iconId="2"/>
            </x14:iconSet>
          </x14:cfRule>
          <xm:sqref>N9</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0CB8D6-719A-405A-8FBD-A04F6B71B855}">
  <sheetPr>
    <tabColor theme="9"/>
  </sheetPr>
  <dimension ref="A1:P147"/>
  <sheetViews>
    <sheetView zoomScale="60" zoomScaleNormal="60" workbookViewId="0">
      <selection sqref="A1:XFD2"/>
    </sheetView>
  </sheetViews>
  <sheetFormatPr baseColWidth="10" defaultColWidth="11" defaultRowHeight="14" outlineLevelRow="1"/>
  <cols>
    <col min="2" max="2" width="64" customWidth="1"/>
    <col min="3" max="3" width="29.1640625" customWidth="1"/>
    <col min="4" max="4" width="25.5" customWidth="1"/>
    <col min="5" max="5" width="20.5" customWidth="1"/>
    <col min="6" max="6" width="14.33203125" customWidth="1"/>
    <col min="7" max="7" width="16.33203125" customWidth="1"/>
    <col min="8" max="8" width="15.33203125" customWidth="1"/>
    <col min="9" max="9" width="20.83203125" customWidth="1"/>
    <col min="10" max="10" width="18.33203125" customWidth="1"/>
    <col min="11" max="11" width="11.5" customWidth="1"/>
    <col min="12" max="12" width="11.83203125" customWidth="1"/>
  </cols>
  <sheetData>
    <row r="1" spans="1:3" s="1505" customFormat="1">
      <c r="A1" s="1505" t="s">
        <v>95</v>
      </c>
    </row>
    <row r="2" spans="1:3" s="1505" customFormat="1"/>
    <row r="5" spans="1:3">
      <c r="B5" s="1251" t="s">
        <v>253</v>
      </c>
    </row>
    <row r="8" spans="1:3" ht="23.5">
      <c r="B8" s="2" t="s">
        <v>254</v>
      </c>
    </row>
    <row r="10" spans="1:3" ht="20">
      <c r="B10" s="216" t="s">
        <v>255</v>
      </c>
    </row>
    <row r="12" spans="1:3" hidden="1" outlineLevel="1">
      <c r="B12" s="1496" t="s">
        <v>4950</v>
      </c>
    </row>
    <row r="13" spans="1:3" hidden="1" outlineLevel="1">
      <c r="B13" s="87"/>
      <c r="C13" s="87"/>
    </row>
    <row r="14" spans="1:3" hidden="1" outlineLevel="1">
      <c r="B14" s="1251" t="s">
        <v>256</v>
      </c>
      <c r="C14" s="87"/>
    </row>
    <row r="15" spans="1:3" hidden="1" outlineLevel="1">
      <c r="B15" s="1251"/>
      <c r="C15" s="87"/>
    </row>
    <row r="16" spans="1:3" hidden="1" outlineLevel="1">
      <c r="B16" s="1488" t="s">
        <v>4920</v>
      </c>
      <c r="C16" s="87"/>
    </row>
    <row r="17" spans="2:4" hidden="1" outlineLevel="1">
      <c r="B17" s="87" t="s">
        <v>257</v>
      </c>
      <c r="C17" s="87"/>
    </row>
    <row r="18" spans="2:4" hidden="1" outlineLevel="1">
      <c r="B18" s="1251"/>
      <c r="C18" s="87"/>
    </row>
    <row r="19" spans="2:4" hidden="1" outlineLevel="1">
      <c r="B19" s="1251" t="s">
        <v>258</v>
      </c>
      <c r="C19" s="87"/>
    </row>
    <row r="20" spans="2:4" hidden="1" outlineLevel="1">
      <c r="B20" s="1251" t="s">
        <v>259</v>
      </c>
      <c r="C20" s="87"/>
    </row>
    <row r="21" spans="2:4" hidden="1" outlineLevel="1">
      <c r="B21" s="1496" t="s">
        <v>4949</v>
      </c>
      <c r="C21" s="87"/>
    </row>
    <row r="22" spans="2:4" hidden="1" outlineLevel="1">
      <c r="B22" s="87" t="s">
        <v>260</v>
      </c>
      <c r="C22" s="87"/>
    </row>
    <row r="23" spans="2:4" hidden="1" outlineLevel="1">
      <c r="C23" s="87"/>
    </row>
    <row r="24" spans="2:4" ht="14.5" hidden="1" outlineLevel="1" thickBot="1">
      <c r="B24" s="1251" t="s">
        <v>261</v>
      </c>
      <c r="C24" s="87"/>
    </row>
    <row r="25" spans="2:4" ht="44" hidden="1" customHeight="1" outlineLevel="1">
      <c r="B25" s="456"/>
      <c r="C25" s="405" t="s">
        <v>262</v>
      </c>
    </row>
    <row r="26" spans="2:4" ht="14" hidden="1" customHeight="1" outlineLevel="1">
      <c r="B26" s="562" t="s">
        <v>263</v>
      </c>
      <c r="C26" s="100" t="s">
        <v>260</v>
      </c>
      <c r="D26" s="87"/>
    </row>
    <row r="27" spans="2:4" hidden="1" outlineLevel="1">
      <c r="B27" s="562" t="s">
        <v>122</v>
      </c>
      <c r="C27" s="161">
        <v>0.17510000000000001</v>
      </c>
    </row>
    <row r="28" spans="2:4" hidden="1" outlineLevel="1">
      <c r="B28" s="562" t="s">
        <v>264</v>
      </c>
      <c r="C28" s="161">
        <v>0.1152</v>
      </c>
    </row>
    <row r="29" spans="2:4" hidden="1" outlineLevel="1">
      <c r="B29" s="562" t="s">
        <v>265</v>
      </c>
      <c r="C29" s="161">
        <v>9.7500000000000003E-2</v>
      </c>
    </row>
    <row r="30" spans="2:4" hidden="1" outlineLevel="1">
      <c r="B30" s="562" t="s">
        <v>266</v>
      </c>
      <c r="C30" s="161">
        <v>8.1100000000000005E-2</v>
      </c>
    </row>
    <row r="31" spans="2:4" hidden="1" outlineLevel="1">
      <c r="B31" s="562" t="s">
        <v>267</v>
      </c>
      <c r="C31" s="161">
        <v>8.0600000000000005E-2</v>
      </c>
    </row>
    <row r="32" spans="2:4" hidden="1" outlineLevel="1">
      <c r="B32" s="562" t="s">
        <v>268</v>
      </c>
      <c r="C32" s="161">
        <v>6.9000000000000006E-2</v>
      </c>
    </row>
    <row r="33" spans="2:4" hidden="1" outlineLevel="1">
      <c r="B33" s="644" t="s">
        <v>49</v>
      </c>
      <c r="C33" s="653">
        <f>100%-SUM(C27:C32)</f>
        <v>0.38149999999999995</v>
      </c>
    </row>
    <row r="34" spans="2:4" ht="14.5" hidden="1" outlineLevel="1" thickBot="1">
      <c r="B34" s="565" t="s">
        <v>83</v>
      </c>
      <c r="C34" s="641">
        <f>SUM(C27:C33)</f>
        <v>1</v>
      </c>
    </row>
    <row r="35" spans="2:4" ht="14.5" hidden="1" outlineLevel="1" thickBot="1">
      <c r="C35" s="638"/>
    </row>
    <row r="36" spans="2:4" ht="42" hidden="1" outlineLevel="1">
      <c r="B36" s="456" t="s">
        <v>269</v>
      </c>
      <c r="C36" s="405" t="s">
        <v>270</v>
      </c>
      <c r="D36" s="405" t="s">
        <v>4944</v>
      </c>
    </row>
    <row r="37" spans="2:4" hidden="1" outlineLevel="1">
      <c r="B37" s="562" t="s">
        <v>271</v>
      </c>
      <c r="C37" s="1524" t="s">
        <v>272</v>
      </c>
      <c r="D37" s="1525"/>
    </row>
    <row r="38" spans="2:4" ht="28" hidden="1" outlineLevel="1">
      <c r="B38" s="562" t="s">
        <v>273</v>
      </c>
      <c r="C38" s="1277">
        <v>9402</v>
      </c>
      <c r="D38" s="640">
        <v>0.09</v>
      </c>
    </row>
    <row r="39" spans="2:4" hidden="1" outlineLevel="1">
      <c r="B39" s="562" t="s">
        <v>122</v>
      </c>
      <c r="C39" s="1277">
        <v>7952</v>
      </c>
      <c r="D39" s="640">
        <v>0.08</v>
      </c>
    </row>
    <row r="40" spans="2:4" hidden="1" outlineLevel="1">
      <c r="B40" s="562" t="s">
        <v>274</v>
      </c>
      <c r="C40" s="12">
        <v>7045</v>
      </c>
      <c r="D40" s="639">
        <v>7.0000000000000007E-2</v>
      </c>
    </row>
    <row r="41" spans="2:4" hidden="1" outlineLevel="1">
      <c r="B41" s="562" t="s">
        <v>275</v>
      </c>
      <c r="C41" s="12">
        <v>5628</v>
      </c>
      <c r="D41" s="639">
        <v>0.05</v>
      </c>
    </row>
    <row r="42" spans="2:4" hidden="1" outlineLevel="1">
      <c r="B42" s="562" t="s">
        <v>276</v>
      </c>
      <c r="C42" s="12">
        <v>5244</v>
      </c>
      <c r="D42" s="639">
        <v>0.05</v>
      </c>
    </row>
    <row r="43" spans="2:4" hidden="1" outlineLevel="1">
      <c r="B43" s="562" t="s">
        <v>277</v>
      </c>
      <c r="C43" s="12">
        <v>5044</v>
      </c>
      <c r="D43" s="639">
        <v>0.05</v>
      </c>
    </row>
    <row r="44" spans="2:4" hidden="1" outlineLevel="1">
      <c r="B44" s="562" t="s">
        <v>278</v>
      </c>
      <c r="C44" s="12">
        <v>5029</v>
      </c>
      <c r="D44" s="639">
        <v>0.05</v>
      </c>
    </row>
    <row r="45" spans="2:4" hidden="1" outlineLevel="1">
      <c r="B45" s="562" t="s">
        <v>279</v>
      </c>
      <c r="C45" s="12">
        <v>4851</v>
      </c>
      <c r="D45" s="639">
        <v>0.05</v>
      </c>
    </row>
    <row r="46" spans="2:4" hidden="1" outlineLevel="1">
      <c r="B46" s="562" t="s">
        <v>280</v>
      </c>
      <c r="C46" s="12">
        <v>4066</v>
      </c>
      <c r="D46" s="639">
        <v>0.04</v>
      </c>
    </row>
    <row r="47" spans="2:4" hidden="1" outlineLevel="1">
      <c r="B47" s="562" t="s">
        <v>281</v>
      </c>
      <c r="C47" s="12">
        <v>3823</v>
      </c>
      <c r="D47" s="639">
        <v>0.04</v>
      </c>
    </row>
    <row r="48" spans="2:4" hidden="1" outlineLevel="1">
      <c r="B48" s="562" t="s">
        <v>282</v>
      </c>
      <c r="C48" s="12">
        <v>3353</v>
      </c>
      <c r="D48" s="639">
        <v>0.03</v>
      </c>
    </row>
    <row r="49" spans="2:16" hidden="1" outlineLevel="1">
      <c r="B49" s="562" t="s">
        <v>283</v>
      </c>
      <c r="C49" s="12">
        <v>3216</v>
      </c>
      <c r="D49" s="639">
        <v>0.03</v>
      </c>
    </row>
    <row r="50" spans="2:16" hidden="1" outlineLevel="1">
      <c r="B50" s="562" t="s">
        <v>284</v>
      </c>
      <c r="C50" s="12">
        <v>3028</v>
      </c>
      <c r="D50" s="639">
        <v>0.03</v>
      </c>
    </row>
    <row r="51" spans="2:16" hidden="1" outlineLevel="1">
      <c r="B51" s="562" t="s">
        <v>285</v>
      </c>
      <c r="C51" s="12">
        <v>2324</v>
      </c>
      <c r="D51" s="639">
        <v>0.02</v>
      </c>
    </row>
    <row r="52" spans="2:16" hidden="1" outlineLevel="1">
      <c r="B52" s="562" t="s">
        <v>286</v>
      </c>
      <c r="C52" s="12">
        <v>2296</v>
      </c>
      <c r="D52" s="639">
        <v>0.02</v>
      </c>
    </row>
    <row r="53" spans="2:16" ht="14.5" hidden="1" outlineLevel="1" thickBot="1">
      <c r="B53" s="565" t="s">
        <v>287</v>
      </c>
      <c r="C53" s="140">
        <v>72301</v>
      </c>
      <c r="D53" s="1278">
        <v>0.69</v>
      </c>
    </row>
    <row r="54" spans="2:16" hidden="1" outlineLevel="1"/>
    <row r="55" spans="2:16" hidden="1" outlineLevel="1">
      <c r="B55" s="1251" t="s">
        <v>288</v>
      </c>
    </row>
    <row r="56" spans="2:16" ht="14.5" hidden="1" outlineLevel="1" thickBot="1">
      <c r="B56" s="87" t="s">
        <v>289</v>
      </c>
    </row>
    <row r="57" spans="2:16" ht="28" hidden="1" outlineLevel="1">
      <c r="B57" s="456" t="s">
        <v>290</v>
      </c>
      <c r="C57" s="404" t="s">
        <v>4945</v>
      </c>
      <c r="D57" s="404" t="s">
        <v>4946</v>
      </c>
      <c r="E57" s="405" t="s">
        <v>291</v>
      </c>
      <c r="K57" s="649"/>
      <c r="L57" s="649"/>
      <c r="M57" s="649"/>
      <c r="N57" s="649"/>
      <c r="O57" s="649"/>
      <c r="P57" s="649"/>
    </row>
    <row r="58" spans="2:16" hidden="1" outlineLevel="1">
      <c r="B58" s="562" t="s">
        <v>292</v>
      </c>
      <c r="C58" s="1279">
        <v>121</v>
      </c>
      <c r="D58" s="1279">
        <v>125</v>
      </c>
      <c r="E58" s="192">
        <f>D58*C$75*365.25/10^6</f>
        <v>20956.21875</v>
      </c>
      <c r="K58" s="1280"/>
      <c r="L58" s="1281"/>
      <c r="M58" s="1281"/>
      <c r="N58" s="1281"/>
      <c r="O58" s="1281"/>
      <c r="P58" s="1281"/>
    </row>
    <row r="59" spans="2:16" hidden="1" outlineLevel="1">
      <c r="B59" s="562" t="s">
        <v>293</v>
      </c>
      <c r="C59" s="1279">
        <v>11</v>
      </c>
      <c r="D59" s="1279">
        <v>11</v>
      </c>
      <c r="E59" s="192">
        <f>D59*C$75*365.25/10^6</f>
        <v>1844.14725</v>
      </c>
      <c r="K59" s="1281"/>
      <c r="L59" s="1281"/>
      <c r="M59" s="1281"/>
      <c r="N59" s="1281"/>
      <c r="O59" s="1281"/>
      <c r="P59" s="1281"/>
    </row>
    <row r="60" spans="2:16" hidden="1" outlineLevel="1">
      <c r="B60" s="562" t="s">
        <v>294</v>
      </c>
      <c r="C60" s="1279">
        <v>34</v>
      </c>
      <c r="D60" s="1279">
        <v>37</v>
      </c>
      <c r="E60" s="192">
        <f>D60*C$75*365.25/10^6</f>
        <v>6203.0407500000001</v>
      </c>
      <c r="K60" s="1281"/>
      <c r="L60" s="1281"/>
      <c r="M60" s="1281"/>
      <c r="N60" s="1281"/>
      <c r="O60" s="1280"/>
      <c r="P60" s="1281"/>
    </row>
    <row r="61" spans="2:16" hidden="1" outlineLevel="1">
      <c r="B61" s="562" t="s">
        <v>295</v>
      </c>
      <c r="C61" s="652"/>
      <c r="D61" s="652"/>
      <c r="E61" s="192"/>
      <c r="K61" s="148"/>
      <c r="L61" s="148"/>
      <c r="M61" s="148"/>
      <c r="N61" s="148"/>
      <c r="O61" s="148"/>
      <c r="P61" s="148"/>
    </row>
    <row r="62" spans="2:16" hidden="1" outlineLevel="1">
      <c r="B62" s="643" t="s">
        <v>93</v>
      </c>
      <c r="C62" s="1279">
        <v>138</v>
      </c>
      <c r="D62" s="1279">
        <v>138</v>
      </c>
      <c r="E62" s="667">
        <f t="shared" ref="E62:E68" si="0">D62*C$75*365.25/10^6</f>
        <v>23135.665499999999</v>
      </c>
      <c r="K62" s="1281"/>
      <c r="L62" s="1281"/>
      <c r="M62" s="1281"/>
      <c r="N62" s="1280"/>
      <c r="O62" s="1281"/>
      <c r="P62" s="1281"/>
    </row>
    <row r="63" spans="2:16" hidden="1" outlineLevel="1">
      <c r="B63" s="643" t="s">
        <v>296</v>
      </c>
      <c r="C63" s="1279">
        <v>12</v>
      </c>
      <c r="D63" s="1279">
        <v>12</v>
      </c>
      <c r="E63" s="667">
        <f t="shared" si="0"/>
        <v>2011.797</v>
      </c>
      <c r="K63" s="1281"/>
      <c r="L63" s="1281"/>
      <c r="M63" s="1281"/>
      <c r="N63" s="1281"/>
      <c r="O63" s="1281"/>
      <c r="P63" s="1281"/>
    </row>
    <row r="64" spans="2:16" hidden="1" outlineLevel="1">
      <c r="B64" s="643" t="s">
        <v>297</v>
      </c>
      <c r="C64" s="1279">
        <v>129</v>
      </c>
      <c r="D64" s="1279">
        <v>155</v>
      </c>
      <c r="E64" s="667">
        <f t="shared" si="0"/>
        <v>25985.71125</v>
      </c>
      <c r="K64" s="1281"/>
      <c r="L64" s="1281"/>
      <c r="M64" s="1281"/>
      <c r="N64" s="1281"/>
      <c r="O64" s="1281"/>
      <c r="P64" s="1280"/>
    </row>
    <row r="65" spans="2:16" hidden="1" outlineLevel="1">
      <c r="B65" s="562" t="s">
        <v>26</v>
      </c>
      <c r="C65" s="1279">
        <v>83</v>
      </c>
      <c r="D65" s="1279">
        <v>135</v>
      </c>
      <c r="E65" s="667">
        <f t="shared" si="0"/>
        <v>22632.716250000001</v>
      </c>
      <c r="K65" s="1281"/>
      <c r="L65" s="1281"/>
      <c r="M65" s="1281"/>
      <c r="N65" s="1281"/>
      <c r="O65" s="1280"/>
      <c r="P65" s="1280"/>
    </row>
    <row r="66" spans="2:16" hidden="1" outlineLevel="1">
      <c r="B66" s="562" t="s">
        <v>201</v>
      </c>
      <c r="C66" s="1279">
        <v>4</v>
      </c>
      <c r="D66" s="1279">
        <v>8</v>
      </c>
      <c r="E66" s="192">
        <f t="shared" si="0"/>
        <v>1341.1980000000001</v>
      </c>
      <c r="K66" s="1281"/>
      <c r="L66" s="1281"/>
      <c r="M66" s="1281"/>
      <c r="N66" s="1281"/>
      <c r="O66" s="1281"/>
      <c r="P66" s="1281"/>
    </row>
    <row r="67" spans="2:16" hidden="1" outlineLevel="1">
      <c r="B67" s="562" t="s">
        <v>298</v>
      </c>
      <c r="C67" s="1279">
        <v>0</v>
      </c>
      <c r="D67" s="1279">
        <v>0</v>
      </c>
      <c r="E67" s="192">
        <f t="shared" si="0"/>
        <v>0</v>
      </c>
      <c r="K67" s="1280"/>
      <c r="L67" s="1281"/>
      <c r="M67" s="1280"/>
      <c r="N67" s="1280"/>
      <c r="O67" s="1280"/>
      <c r="P67" s="1280"/>
    </row>
    <row r="68" spans="2:16" ht="14.5" hidden="1" outlineLevel="1" thickBot="1">
      <c r="B68" s="565" t="s">
        <v>299</v>
      </c>
      <c r="C68" s="1282">
        <v>531</v>
      </c>
      <c r="D68" s="1282">
        <v>619</v>
      </c>
      <c r="E68" s="195">
        <f t="shared" si="0"/>
        <v>103775.19525</v>
      </c>
      <c r="K68" s="1281"/>
      <c r="L68" s="1281"/>
      <c r="M68" s="1281"/>
      <c r="N68" s="1281"/>
      <c r="O68" s="1281"/>
      <c r="P68" s="1281"/>
    </row>
    <row r="69" spans="2:16" hidden="1" outlineLevel="1">
      <c r="B69" s="16"/>
      <c r="C69" s="1281"/>
      <c r="D69" s="1281"/>
      <c r="E69" s="1281"/>
      <c r="F69" s="1281"/>
      <c r="K69" s="1281"/>
      <c r="L69" s="1281"/>
      <c r="M69" s="1281"/>
      <c r="N69" s="1281"/>
      <c r="O69" s="1281"/>
      <c r="P69" s="1281"/>
    </row>
    <row r="70" spans="2:16" hidden="1" outlineLevel="1">
      <c r="B70" s="1488" t="s">
        <v>4922</v>
      </c>
    </row>
    <row r="71" spans="2:16" hidden="1" outlineLevel="1"/>
    <row r="72" spans="2:16" ht="14.5" hidden="1" outlineLevel="1" thickBot="1">
      <c r="B72" s="1251" t="s">
        <v>300</v>
      </c>
    </row>
    <row r="73" spans="2:16" hidden="1" outlineLevel="1">
      <c r="B73" s="456"/>
      <c r="C73" s="404" t="s">
        <v>69</v>
      </c>
      <c r="D73" s="404" t="s">
        <v>301</v>
      </c>
      <c r="E73" s="404" t="s">
        <v>70</v>
      </c>
    </row>
    <row r="74" spans="2:16" hidden="1" outlineLevel="1">
      <c r="B74" s="562" t="s">
        <v>4921</v>
      </c>
      <c r="C74" s="11">
        <v>1050</v>
      </c>
      <c r="D74" s="1266" t="s">
        <v>302</v>
      </c>
      <c r="E74" s="100" t="s">
        <v>257</v>
      </c>
    </row>
    <row r="75" spans="2:16" hidden="1" outlineLevel="1">
      <c r="B75" s="562" t="s">
        <v>303</v>
      </c>
      <c r="C75" s="642">
        <f>374000+85000</f>
        <v>459000</v>
      </c>
      <c r="D75" s="1266" t="s">
        <v>304</v>
      </c>
      <c r="E75" s="100" t="s">
        <v>305</v>
      </c>
    </row>
    <row r="76" spans="2:16" hidden="1" outlineLevel="1">
      <c r="B76" s="562" t="s">
        <v>306</v>
      </c>
      <c r="C76" s="642">
        <f>C74*C75/10^3</f>
        <v>481950</v>
      </c>
      <c r="D76" s="1266" t="s">
        <v>307</v>
      </c>
      <c r="E76" s="17"/>
    </row>
    <row r="77" spans="2:16" hidden="1" outlineLevel="1">
      <c r="B77" s="562" t="s">
        <v>308</v>
      </c>
      <c r="C77" s="229">
        <f>47.67%</f>
        <v>0.47670000000000001</v>
      </c>
      <c r="D77" s="21"/>
      <c r="E77" s="100" t="s">
        <v>260</v>
      </c>
    </row>
    <row r="78" spans="2:16" hidden="1" outlineLevel="1">
      <c r="B78" s="562" t="s">
        <v>309</v>
      </c>
      <c r="C78" s="11">
        <f>C76*C77</f>
        <v>229745.565</v>
      </c>
      <c r="D78" s="1266" t="s">
        <v>307</v>
      </c>
      <c r="E78" s="270"/>
      <c r="F78" s="76"/>
      <c r="G78" s="76"/>
    </row>
    <row r="79" spans="2:16" ht="28" hidden="1" outlineLevel="1">
      <c r="B79" s="562" t="s">
        <v>310</v>
      </c>
      <c r="C79" s="536">
        <v>0.5</v>
      </c>
      <c r="D79" s="21"/>
      <c r="E79" s="1283" t="s">
        <v>311</v>
      </c>
    </row>
    <row r="80" spans="2:16" ht="14.5" hidden="1" outlineLevel="1" thickBot="1">
      <c r="B80" s="644" t="s">
        <v>312</v>
      </c>
      <c r="C80" s="1136">
        <f>C79*C78</f>
        <v>114872.7825</v>
      </c>
      <c r="D80" s="1284" t="s">
        <v>307</v>
      </c>
      <c r="E80" s="645"/>
    </row>
    <row r="81" spans="2:5" hidden="1" outlineLevel="1">
      <c r="B81" s="1526" t="s">
        <v>313</v>
      </c>
      <c r="C81" s="1527"/>
      <c r="D81" s="1527"/>
      <c r="E81" s="1528"/>
    </row>
    <row r="82" spans="2:5" hidden="1" outlineLevel="1">
      <c r="B82" s="643" t="s">
        <v>314</v>
      </c>
      <c r="C82" s="651">
        <f>C$80*C27</f>
        <v>20114.22421575</v>
      </c>
      <c r="D82" s="1266" t="s">
        <v>307</v>
      </c>
      <c r="E82" s="1522" t="s">
        <v>260</v>
      </c>
    </row>
    <row r="83" spans="2:5" hidden="1" outlineLevel="1">
      <c r="B83" s="643" t="s">
        <v>315</v>
      </c>
      <c r="C83" s="646">
        <f t="shared" ref="C83:C88" si="1">C$80*C28</f>
        <v>13233.344544</v>
      </c>
      <c r="D83" s="1266" t="s">
        <v>307</v>
      </c>
      <c r="E83" s="1522"/>
    </row>
    <row r="84" spans="2:5" hidden="1" outlineLevel="1">
      <c r="B84" s="643" t="s">
        <v>316</v>
      </c>
      <c r="C84" s="651">
        <f t="shared" si="1"/>
        <v>11200.096293750001</v>
      </c>
      <c r="D84" s="1266" t="s">
        <v>307</v>
      </c>
      <c r="E84" s="1522"/>
    </row>
    <row r="85" spans="2:5" hidden="1" outlineLevel="1">
      <c r="B85" s="643" t="s">
        <v>317</v>
      </c>
      <c r="C85" s="646">
        <f t="shared" si="1"/>
        <v>9316.1826607500007</v>
      </c>
      <c r="D85" s="1266" t="s">
        <v>307</v>
      </c>
      <c r="E85" s="1522"/>
    </row>
    <row r="86" spans="2:5" hidden="1" outlineLevel="1">
      <c r="B86" s="643" t="s">
        <v>318</v>
      </c>
      <c r="C86" s="651">
        <f t="shared" si="1"/>
        <v>9258.7462695000013</v>
      </c>
      <c r="D86" s="1266" t="s">
        <v>307</v>
      </c>
      <c r="E86" s="1522"/>
    </row>
    <row r="87" spans="2:5" hidden="1" outlineLevel="1">
      <c r="B87" s="643" t="s">
        <v>319</v>
      </c>
      <c r="C87" s="646">
        <f t="shared" si="1"/>
        <v>7926.2219925000009</v>
      </c>
      <c r="D87" s="1266" t="s">
        <v>307</v>
      </c>
      <c r="E87" s="1522"/>
    </row>
    <row r="88" spans="2:5" ht="14.5" hidden="1" outlineLevel="1" thickBot="1">
      <c r="B88" s="647" t="s">
        <v>320</v>
      </c>
      <c r="C88" s="648">
        <f t="shared" si="1"/>
        <v>43823.966523749994</v>
      </c>
      <c r="D88" s="1267" t="s">
        <v>307</v>
      </c>
      <c r="E88" s="650"/>
    </row>
    <row r="89" spans="2:5" hidden="1" outlineLevel="1">
      <c r="B89" s="1529" t="s">
        <v>321</v>
      </c>
      <c r="C89" s="1530"/>
      <c r="D89" s="1530"/>
      <c r="E89" s="1531"/>
    </row>
    <row r="90" spans="2:5" ht="28" hidden="1" customHeight="1" outlineLevel="1">
      <c r="B90" s="643" t="s">
        <v>322</v>
      </c>
      <c r="C90" s="651">
        <f>C$78*D38</f>
        <v>20677.100849999999</v>
      </c>
      <c r="D90" s="1266" t="s">
        <v>307</v>
      </c>
      <c r="E90" s="1522" t="s">
        <v>272</v>
      </c>
    </row>
    <row r="91" spans="2:5" hidden="1" outlineLevel="1">
      <c r="B91" s="643" t="s">
        <v>314</v>
      </c>
      <c r="C91" s="651">
        <f>C$78*D39</f>
        <v>18379.645199999999</v>
      </c>
      <c r="D91" s="1266" t="s">
        <v>307</v>
      </c>
      <c r="E91" s="1522"/>
    </row>
    <row r="92" spans="2:5" hidden="1" outlineLevel="1">
      <c r="B92" s="643" t="s">
        <v>323</v>
      </c>
      <c r="C92" s="646">
        <f t="shared" ref="C92:C98" si="2">C$78*D42</f>
        <v>11487.278250000001</v>
      </c>
      <c r="D92" s="1266" t="s">
        <v>307</v>
      </c>
      <c r="E92" s="1522"/>
    </row>
    <row r="93" spans="2:5" hidden="1" outlineLevel="1">
      <c r="B93" s="643" t="s">
        <v>324</v>
      </c>
      <c r="C93" s="646">
        <f t="shared" si="2"/>
        <v>11487.278250000001</v>
      </c>
      <c r="D93" s="1266" t="s">
        <v>307</v>
      </c>
      <c r="E93" s="1522"/>
    </row>
    <row r="94" spans="2:5" hidden="1" outlineLevel="1">
      <c r="B94" s="643" t="s">
        <v>325</v>
      </c>
      <c r="C94" s="651">
        <f t="shared" si="2"/>
        <v>11487.278250000001</v>
      </c>
      <c r="D94" s="1266" t="s">
        <v>307</v>
      </c>
      <c r="E94" s="1522"/>
    </row>
    <row r="95" spans="2:5" ht="28" hidden="1" outlineLevel="1">
      <c r="B95" s="643" t="s">
        <v>326</v>
      </c>
      <c r="C95" s="646">
        <f t="shared" si="2"/>
        <v>11487.278250000001</v>
      </c>
      <c r="D95" s="1266" t="s">
        <v>307</v>
      </c>
      <c r="E95" s="1522"/>
    </row>
    <row r="96" spans="2:5" hidden="1" outlineLevel="1">
      <c r="B96" s="643" t="s">
        <v>327</v>
      </c>
      <c r="C96" s="646">
        <f t="shared" si="2"/>
        <v>9189.8225999999995</v>
      </c>
      <c r="D96" s="1266" t="s">
        <v>307</v>
      </c>
      <c r="E96" s="1522"/>
    </row>
    <row r="97" spans="2:15" hidden="1" outlineLevel="1">
      <c r="B97" s="643" t="s">
        <v>328</v>
      </c>
      <c r="C97" s="646">
        <f t="shared" si="2"/>
        <v>9189.8225999999995</v>
      </c>
      <c r="D97" s="1266" t="s">
        <v>307</v>
      </c>
      <c r="E97" s="1522"/>
    </row>
    <row r="98" spans="2:15" hidden="1" outlineLevel="1">
      <c r="B98" s="643" t="s">
        <v>329</v>
      </c>
      <c r="C98" s="646">
        <f t="shared" si="2"/>
        <v>6892.3669499999996</v>
      </c>
      <c r="D98" s="1266" t="s">
        <v>307</v>
      </c>
      <c r="E98" s="1522"/>
    </row>
    <row r="99" spans="2:15" hidden="1" outlineLevel="1">
      <c r="B99" s="643" t="s">
        <v>330</v>
      </c>
      <c r="C99" s="646">
        <f>C$78*D50</f>
        <v>6892.3669499999996</v>
      </c>
      <c r="D99" s="1266" t="s">
        <v>307</v>
      </c>
      <c r="E99" s="1522"/>
      <c r="O99" s="1"/>
    </row>
    <row r="100" spans="2:15" hidden="1" outlineLevel="1">
      <c r="B100" s="643" t="s">
        <v>331</v>
      </c>
      <c r="C100" s="646">
        <f>C$78*D51</f>
        <v>4594.9112999999998</v>
      </c>
      <c r="D100" s="1266" t="s">
        <v>307</v>
      </c>
      <c r="E100" s="1522"/>
    </row>
    <row r="101" spans="2:15" ht="14.5" hidden="1" outlineLevel="1" thickBot="1">
      <c r="B101" s="647" t="s">
        <v>332</v>
      </c>
      <c r="C101" s="648">
        <f>C$78*D52</f>
        <v>4594.9112999999998</v>
      </c>
      <c r="D101" s="1267" t="s">
        <v>307</v>
      </c>
      <c r="E101" s="1523"/>
    </row>
    <row r="102" spans="2:15" hidden="1" outlineLevel="1"/>
    <row r="103" spans="2:15" hidden="1" outlineLevel="1">
      <c r="B103" s="1251" t="s">
        <v>333</v>
      </c>
    </row>
    <row r="104" spans="2:15" hidden="1" outlineLevel="1"/>
    <row r="105" spans="2:15" collapsed="1"/>
    <row r="106" spans="2:15" ht="20">
      <c r="B106" s="216" t="s">
        <v>334</v>
      </c>
    </row>
    <row r="108" spans="2:15" ht="14.5" hidden="1" outlineLevel="1" thickBot="1">
      <c r="B108" s="1251" t="s">
        <v>335</v>
      </c>
    </row>
    <row r="109" spans="2:15" ht="28" hidden="1" outlineLevel="1">
      <c r="B109" s="456"/>
      <c r="C109" s="404" t="s">
        <v>336</v>
      </c>
      <c r="D109" s="405" t="s">
        <v>70</v>
      </c>
    </row>
    <row r="110" spans="2:15" hidden="1" outlineLevel="1">
      <c r="B110" s="562" t="s">
        <v>295</v>
      </c>
      <c r="C110" s="21"/>
      <c r="D110" s="17"/>
    </row>
    <row r="111" spans="2:15" hidden="1" outlineLevel="1">
      <c r="B111" s="643" t="s">
        <v>122</v>
      </c>
      <c r="C111" s="646">
        <f>AVERAGE(C91,C82,E62)</f>
        <v>20543.17830525</v>
      </c>
      <c r="D111" s="1283" t="s">
        <v>337</v>
      </c>
    </row>
    <row r="112" spans="2:15" hidden="1" outlineLevel="1">
      <c r="B112" s="643" t="s">
        <v>338</v>
      </c>
      <c r="C112" s="646">
        <f>AVERAGE(C90,E63+E64,C84)</f>
        <v>19958.23513125</v>
      </c>
      <c r="D112" s="1283" t="s">
        <v>337</v>
      </c>
    </row>
    <row r="113" spans="2:4" hidden="1" outlineLevel="1">
      <c r="B113" s="562" t="s">
        <v>339</v>
      </c>
      <c r="C113" s="136">
        <f>AVERAGE(E65,C86,C94)</f>
        <v>14459.580256500003</v>
      </c>
      <c r="D113" s="1283" t="s">
        <v>337</v>
      </c>
    </row>
    <row r="114" spans="2:4" hidden="1" outlineLevel="1">
      <c r="B114" s="562" t="s">
        <v>340</v>
      </c>
      <c r="C114" s="646">
        <f>C93</f>
        <v>11487.278250000001</v>
      </c>
      <c r="D114" s="1283" t="s">
        <v>341</v>
      </c>
    </row>
    <row r="115" spans="2:4" hidden="1" outlineLevel="1">
      <c r="B115" s="562" t="s">
        <v>342</v>
      </c>
      <c r="C115" s="646">
        <f>C95</f>
        <v>11487.278250000001</v>
      </c>
      <c r="D115" s="1283" t="s">
        <v>341</v>
      </c>
    </row>
    <row r="116" spans="2:4" hidden="1" outlineLevel="1">
      <c r="B116" s="562" t="s">
        <v>343</v>
      </c>
      <c r="C116" s="646">
        <f>C97</f>
        <v>9189.8225999999995</v>
      </c>
      <c r="D116" s="1283" t="s">
        <v>341</v>
      </c>
    </row>
    <row r="117" spans="2:4" hidden="1" outlineLevel="1">
      <c r="B117" s="562" t="s">
        <v>344</v>
      </c>
      <c r="C117" s="646">
        <f>C98</f>
        <v>6892.3669499999996</v>
      </c>
      <c r="D117" s="1283" t="s">
        <v>341</v>
      </c>
    </row>
    <row r="118" spans="2:4" hidden="1" outlineLevel="1">
      <c r="B118" s="562" t="s">
        <v>285</v>
      </c>
      <c r="C118" s="646">
        <f>C100</f>
        <v>4594.9112999999998</v>
      </c>
      <c r="D118" s="1283" t="s">
        <v>341</v>
      </c>
    </row>
    <row r="119" spans="2:4" hidden="1" outlineLevel="1">
      <c r="B119" s="562" t="s">
        <v>345</v>
      </c>
      <c r="C119" s="646">
        <f>C101</f>
        <v>4594.9112999999998</v>
      </c>
      <c r="D119" s="1283" t="s">
        <v>341</v>
      </c>
    </row>
    <row r="120" spans="2:4" ht="14.5" hidden="1" outlineLevel="1" thickBot="1">
      <c r="B120" s="565" t="s">
        <v>49</v>
      </c>
      <c r="C120" s="648">
        <f>(C83+C85+C87+C88)-SUM(C114:C119)</f>
        <v>26053.147070999985</v>
      </c>
      <c r="D120" s="1285" t="s">
        <v>346</v>
      </c>
    </row>
    <row r="121" spans="2:4" ht="14.5" hidden="1" outlineLevel="1" thickBot="1">
      <c r="B121" s="571" t="s">
        <v>83</v>
      </c>
      <c r="C121" s="654">
        <f>SUM(C111:C120)</f>
        <v>129260.70941399998</v>
      </c>
    </row>
    <row r="122" spans="2:4" hidden="1" outlineLevel="1"/>
    <row r="123" spans="2:4" hidden="1" outlineLevel="1"/>
    <row r="124" spans="2:4" hidden="1" outlineLevel="1"/>
    <row r="125" spans="2:4" hidden="1" outlineLevel="1"/>
    <row r="126" spans="2:4" collapsed="1"/>
    <row r="127" spans="2:4" ht="20">
      <c r="B127" s="216" t="s">
        <v>4948</v>
      </c>
    </row>
    <row r="129" spans="2:7" hidden="1" outlineLevel="1">
      <c r="B129" s="1496" t="s">
        <v>4947</v>
      </c>
    </row>
    <row r="130" spans="2:7" hidden="1" outlineLevel="1">
      <c r="B130" s="1251" t="s">
        <v>347</v>
      </c>
    </row>
    <row r="131" spans="2:7" ht="14.5" hidden="1" outlineLevel="1" thickBot="1"/>
    <row r="132" spans="2:7" ht="28" hidden="1" outlineLevel="1">
      <c r="B132" s="456" t="s">
        <v>82</v>
      </c>
      <c r="C132" s="699" t="s">
        <v>97</v>
      </c>
      <c r="D132" s="699" t="s">
        <v>348</v>
      </c>
      <c r="E132" s="699" t="s">
        <v>20</v>
      </c>
      <c r="F132" s="1047" t="s">
        <v>26</v>
      </c>
      <c r="G132" s="1049" t="s">
        <v>83</v>
      </c>
    </row>
    <row r="133" spans="2:7" hidden="1" outlineLevel="1">
      <c r="B133" s="562" t="s">
        <v>84</v>
      </c>
      <c r="C133" s="11">
        <f>'Consommables plastiques'!C12</f>
        <v>323.32956217725342</v>
      </c>
      <c r="D133" s="11">
        <f>'Dispositifs urologie'!D19</f>
        <v>43.864374567745728</v>
      </c>
      <c r="E133" s="11">
        <f>EPI!I58+EPI!J58</f>
        <v>199.14922655103064</v>
      </c>
      <c r="F133" s="174">
        <f>Incontinence!$J$18</f>
        <v>254.6690951056348</v>
      </c>
      <c r="G133" s="857">
        <f>SUM(C133:F133)</f>
        <v>821.01225840166467</v>
      </c>
    </row>
    <row r="134" spans="2:7" hidden="1" outlineLevel="1">
      <c r="B134" s="562" t="s">
        <v>187</v>
      </c>
      <c r="C134" s="11">
        <f>'Consommables plastiques'!C13</f>
        <v>114.87273229575442</v>
      </c>
      <c r="D134" s="11">
        <f>'Dispositifs urologie'!E19</f>
        <v>13.965451730365533</v>
      </c>
      <c r="E134" s="11">
        <f>EPI!I59+EPI!J59</f>
        <v>104.64087802094554</v>
      </c>
      <c r="F134" s="174">
        <f>Incontinence!$K$18</f>
        <v>28.908378399722832</v>
      </c>
      <c r="G134" s="857">
        <f t="shared" ref="G134:G138" si="3">SUM(C134:F134)</f>
        <v>262.38744044678833</v>
      </c>
    </row>
    <row r="135" spans="2:7" hidden="1" outlineLevel="1">
      <c r="B135" s="562" t="s">
        <v>86</v>
      </c>
      <c r="C135" s="11">
        <f>'Consommables plastiques'!C14</f>
        <v>36.046153152592858</v>
      </c>
      <c r="D135" s="11">
        <f>'Dispositifs urologie'!F19</f>
        <v>6.3244882283334123</v>
      </c>
      <c r="E135" s="11">
        <f>EPI!I60+EPI!J60</f>
        <v>19.406656305589603</v>
      </c>
      <c r="F135" s="174">
        <f>Incontinence!$L$18</f>
        <v>16.590934363120546</v>
      </c>
      <c r="G135" s="857">
        <f t="shared" si="3"/>
        <v>78.368232049636418</v>
      </c>
    </row>
    <row r="136" spans="2:7" hidden="1" outlineLevel="1">
      <c r="B136" s="562" t="s">
        <v>201</v>
      </c>
      <c r="C136" s="11">
        <f>'Consommables plastiques'!C15</f>
        <v>15.657864080402906</v>
      </c>
      <c r="D136" s="11">
        <f>'Dispositifs urologie'!G19</f>
        <v>0.5604177415931354</v>
      </c>
      <c r="E136" s="11">
        <f>EPI!I61+EPI!J61</f>
        <v>2.8451652314796636</v>
      </c>
      <c r="F136" s="174"/>
      <c r="G136" s="857">
        <f t="shared" si="3"/>
        <v>19.063447053475706</v>
      </c>
    </row>
    <row r="137" spans="2:7" hidden="1" outlineLevel="1">
      <c r="B137" s="562" t="s">
        <v>349</v>
      </c>
      <c r="C137" s="11">
        <f>'Consommables plastiques'!C16+'Consommables plastiques'!C17</f>
        <v>98.406974684720197</v>
      </c>
      <c r="D137" s="11">
        <f>'Dispositifs urologie'!H19</f>
        <v>9.5074901322397345</v>
      </c>
      <c r="E137" s="11">
        <f>EPI!I62+EPI!J62</f>
        <v>26.817642414582757</v>
      </c>
      <c r="F137" s="174">
        <f>Incontinence!$M$18</f>
        <v>34.398387992289592</v>
      </c>
      <c r="G137" s="857">
        <f t="shared" si="3"/>
        <v>169.1304952238323</v>
      </c>
    </row>
    <row r="138" spans="2:7" ht="14.5" hidden="1" outlineLevel="1" thickBot="1">
      <c r="B138" s="565" t="s">
        <v>89</v>
      </c>
      <c r="C138" s="14">
        <f>'Consommables plastiques'!C18</f>
        <v>53.766907427819092</v>
      </c>
      <c r="D138" s="14">
        <f>'Dispositifs urologie'!I19</f>
        <v>4.6929125046592022</v>
      </c>
      <c r="E138" s="14">
        <f>EPI!I63+EPI!J63</f>
        <v>17.540328494659519</v>
      </c>
      <c r="F138" s="175">
        <f>Incontinence!$N$18</f>
        <v>58.096100670349024</v>
      </c>
      <c r="G138" s="1050">
        <f t="shared" si="3"/>
        <v>134.09624909748683</v>
      </c>
    </row>
    <row r="139" spans="2:7" ht="14.5" hidden="1" outlineLevel="1" thickBot="1">
      <c r="B139" s="434" t="s">
        <v>83</v>
      </c>
      <c r="C139" s="1046">
        <f>SUM(C133:C138)</f>
        <v>642.08019381854297</v>
      </c>
      <c r="D139" s="1046">
        <f t="shared" ref="D139:E139" si="4">SUM(D133:D138)</f>
        <v>78.91513490493675</v>
      </c>
      <c r="E139" s="1046">
        <f t="shared" si="4"/>
        <v>370.39989701828767</v>
      </c>
      <c r="F139" s="1048">
        <f t="shared" ref="F139" si="5">SUM(F133:F138)</f>
        <v>392.66289653111676</v>
      </c>
      <c r="G139" s="1051">
        <f t="shared" ref="G139" si="6">SUM(G133:G138)</f>
        <v>1484.0581222728842</v>
      </c>
    </row>
    <row r="140" spans="2:7" hidden="1" outlineLevel="1"/>
    <row r="141" spans="2:7" hidden="1" outlineLevel="1"/>
    <row r="142" spans="2:7" hidden="1" outlineLevel="1"/>
    <row r="143" spans="2:7" hidden="1" outlineLevel="1"/>
    <row r="144" spans="2:7" hidden="1" outlineLevel="1"/>
    <row r="145" hidden="1" outlineLevel="1"/>
    <row r="146" hidden="1" outlineLevel="1"/>
    <row r="147" collapsed="1"/>
  </sheetData>
  <mergeCells count="6">
    <mergeCell ref="E90:E101"/>
    <mergeCell ref="A1:XFD2"/>
    <mergeCell ref="E82:E87"/>
    <mergeCell ref="C37:D37"/>
    <mergeCell ref="B81:E81"/>
    <mergeCell ref="B89:E89"/>
  </mergeCells>
  <phoneticPr fontId="33" type="noConversion"/>
  <conditionalFormatting sqref="A1:XFD2">
    <cfRule type="containsBlanks" dxfId="22" priority="2">
      <formula>LEN(TRIM(A1))=0</formula>
    </cfRule>
  </conditionalFormatting>
  <hyperlinks>
    <hyperlink ref="B17" r:id="rId1" xr:uid="{23C3C8AB-C9A3-4035-983B-2D7EF9EBE5FF}"/>
    <hyperlink ref="C37" r:id="rId2" xr:uid="{C62DAA51-53F5-4BE9-9173-F766875E822B}"/>
    <hyperlink ref="E74" r:id="rId3" xr:uid="{9A3E7C87-0D86-406D-B189-6CEADA681167}"/>
    <hyperlink ref="E75" r:id="rId4" xr:uid="{6B96CE19-3E16-4748-8CDD-CBB74AB76E7D}"/>
    <hyperlink ref="E90" r:id="rId5" xr:uid="{CFC0C1DC-17F0-4B9C-BE3F-5D811E6BD0AB}"/>
    <hyperlink ref="C26" r:id="rId6" xr:uid="{85EB4F98-39FF-432B-BB32-31C0119C84C3}"/>
    <hyperlink ref="B56" r:id="rId7" location="sec0024" xr:uid="{4547753D-5E59-4BA8-9B05-DC977C0F2982}"/>
  </hyperlinks>
  <pageMargins left="0.7" right="0.7" top="0.75" bottom="0.75" header="0.3" footer="0.3"/>
  <pageSetup paperSize="9" orientation="portrait" r:id="rId8"/>
  <drawing r:id="rId9"/>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79DA37-C3A8-4CCF-B260-69792099ABFE}">
  <sheetPr>
    <tabColor theme="9"/>
  </sheetPr>
  <dimension ref="A1:S338"/>
  <sheetViews>
    <sheetView zoomScale="60" zoomScaleNormal="60" workbookViewId="0">
      <selection sqref="A1:XFD2"/>
    </sheetView>
  </sheetViews>
  <sheetFormatPr baseColWidth="10" defaultColWidth="11" defaultRowHeight="14" outlineLevelRow="1"/>
  <cols>
    <col min="2" max="2" width="55.6640625" customWidth="1"/>
    <col min="3" max="3" width="26.1640625" customWidth="1"/>
    <col min="4" max="4" width="21" customWidth="1"/>
    <col min="5" max="5" width="22" customWidth="1"/>
    <col min="6" max="6" width="20.6640625" customWidth="1"/>
    <col min="7" max="7" width="19.83203125" customWidth="1"/>
    <col min="8" max="8" width="18.5" customWidth="1"/>
    <col min="9" max="9" width="12.6640625" customWidth="1"/>
    <col min="10" max="10" width="24" customWidth="1"/>
    <col min="11" max="11" width="19.1640625" customWidth="1"/>
    <col min="12" max="12" width="13" bestFit="1" customWidth="1"/>
    <col min="18" max="18" width="12.33203125" bestFit="1" customWidth="1"/>
    <col min="23" max="23" width="11.33203125" bestFit="1" customWidth="1"/>
    <col min="24" max="24" width="12.83203125" bestFit="1" customWidth="1"/>
    <col min="25" max="25" width="10.6640625" bestFit="1" customWidth="1"/>
    <col min="26" max="26" width="11.33203125" bestFit="1" customWidth="1"/>
    <col min="30" max="30" width="11.33203125" bestFit="1" customWidth="1"/>
    <col min="34" max="34" width="11.33203125" bestFit="1" customWidth="1"/>
    <col min="38" max="38" width="12.83203125" bestFit="1" customWidth="1"/>
    <col min="42" max="42" width="13.83203125" bestFit="1" customWidth="1"/>
    <col min="43" max="43" width="11.33203125" bestFit="1" customWidth="1"/>
    <col min="44" max="45" width="13.83203125" bestFit="1" customWidth="1"/>
  </cols>
  <sheetData>
    <row r="1" spans="1:11" s="1505" customFormat="1">
      <c r="A1" s="1505" t="s">
        <v>350</v>
      </c>
    </row>
    <row r="2" spans="1:11" s="1505" customFormat="1"/>
    <row r="5" spans="1:11">
      <c r="B5" s="1251" t="s">
        <v>21</v>
      </c>
    </row>
    <row r="6" spans="1:11">
      <c r="B6" s="1251"/>
    </row>
    <row r="7" spans="1:11">
      <c r="B7" s="1251"/>
    </row>
    <row r="8" spans="1:11" ht="23.5">
      <c r="B8" s="2" t="s">
        <v>180</v>
      </c>
    </row>
    <row r="10" spans="1:11" ht="14.5" hidden="1" outlineLevel="1" thickBot="1">
      <c r="B10" s="1496" t="s">
        <v>4951</v>
      </c>
      <c r="C10" s="435"/>
    </row>
    <row r="11" spans="1:11" s="1" customFormat="1" ht="56.5" hidden="1" customHeight="1" outlineLevel="1">
      <c r="A11"/>
      <c r="B11" s="1498" t="s">
        <v>4923</v>
      </c>
      <c r="C11" s="1499" t="s">
        <v>200</v>
      </c>
      <c r="D11" s="699" t="s">
        <v>352</v>
      </c>
      <c r="E11" s="700" t="s">
        <v>353</v>
      </c>
      <c r="F11" s="1499" t="s">
        <v>200</v>
      </c>
      <c r="G11" s="699" t="s">
        <v>354</v>
      </c>
      <c r="H11" s="700" t="s">
        <v>186</v>
      </c>
      <c r="I11" s="1500" t="s">
        <v>185</v>
      </c>
      <c r="J11" s="699" t="s">
        <v>355</v>
      </c>
      <c r="K11" s="700" t="s">
        <v>186</v>
      </c>
    </row>
    <row r="12" spans="1:11" hidden="1" outlineLevel="1">
      <c r="B12" s="744" t="s">
        <v>84</v>
      </c>
      <c r="C12" s="213">
        <f>E160</f>
        <v>12.148514920780713</v>
      </c>
      <c r="D12" s="180">
        <f t="shared" ref="D12:D13" si="0">D160</f>
        <v>10.441487665582901</v>
      </c>
      <c r="E12" s="131">
        <f>C160</f>
        <v>10.441487665582901</v>
      </c>
      <c r="F12" s="213">
        <f>C183</f>
        <v>4.1447842011216416</v>
      </c>
      <c r="G12" s="180">
        <f>D183</f>
        <v>2.7000763163401724</v>
      </c>
      <c r="H12" s="131">
        <f>E183</f>
        <v>2.7000763163401724</v>
      </c>
      <c r="I12" s="594">
        <f t="shared" ref="I12:K13" si="1">C215</f>
        <v>3.5037821992650593</v>
      </c>
      <c r="J12" s="180">
        <f t="shared" si="1"/>
        <v>3.0647791476276791</v>
      </c>
      <c r="K12" s="131">
        <f t="shared" si="1"/>
        <v>3.0647791476276791</v>
      </c>
    </row>
    <row r="13" spans="1:11" hidden="1" outlineLevel="1">
      <c r="B13" s="744" t="s">
        <v>187</v>
      </c>
      <c r="C13" s="213">
        <f>E161</f>
        <v>1.6976389253731345</v>
      </c>
      <c r="D13" s="180">
        <f t="shared" si="0"/>
        <v>0.72107166178572835</v>
      </c>
      <c r="E13" s="131">
        <f>C161</f>
        <v>0.12854185074626864</v>
      </c>
      <c r="F13" s="213">
        <f>C184+C185+C186</f>
        <v>8.9438523098838729</v>
      </c>
      <c r="G13" s="180">
        <f>D184+D185+D186</f>
        <v>5.9989363130163689</v>
      </c>
      <c r="H13" s="131">
        <f t="shared" ref="H13" si="2">E184+E185+E186</f>
        <v>4.8293347398068356</v>
      </c>
      <c r="I13" s="594">
        <f t="shared" si="1"/>
        <v>6.7803224344395367</v>
      </c>
      <c r="J13" s="180">
        <f t="shared" si="1"/>
        <v>3.960001858879699</v>
      </c>
      <c r="K13" s="131">
        <f t="shared" si="1"/>
        <v>2.9047383658146306</v>
      </c>
    </row>
    <row r="14" spans="1:11" hidden="1" outlineLevel="1">
      <c r="B14" s="744" t="s">
        <v>86</v>
      </c>
      <c r="C14" s="213">
        <v>0</v>
      </c>
      <c r="D14" s="180">
        <v>0</v>
      </c>
      <c r="E14" s="131">
        <v>0</v>
      </c>
      <c r="F14" s="213">
        <f>$C237</f>
        <v>1.5824730304037984</v>
      </c>
      <c r="G14" s="180">
        <f>$C237</f>
        <v>1.5824730304037984</v>
      </c>
      <c r="H14" s="131">
        <f>$C237</f>
        <v>1.5824730304037984</v>
      </c>
      <c r="I14" s="594">
        <f>$C253</f>
        <v>1.8744728713532801</v>
      </c>
      <c r="J14" s="180">
        <f>$C253</f>
        <v>1.8744728713532801</v>
      </c>
      <c r="K14" s="131">
        <f>$C253</f>
        <v>1.8744728713532801</v>
      </c>
    </row>
    <row r="15" spans="1:11" hidden="1" outlineLevel="1">
      <c r="B15" s="744" t="s">
        <v>201</v>
      </c>
      <c r="C15" s="213">
        <f>$E264</f>
        <v>1.6376844829259826E-2</v>
      </c>
      <c r="D15" s="180">
        <f>$E264</f>
        <v>1.6376844829259826E-2</v>
      </c>
      <c r="E15" s="131">
        <f>$E264</f>
        <v>1.6376844829259826E-2</v>
      </c>
      <c r="F15" s="213">
        <f>$E265</f>
        <v>0.23395492613228319</v>
      </c>
      <c r="G15" s="180">
        <f>$E265</f>
        <v>0.23395492613228319</v>
      </c>
      <c r="H15" s="131">
        <f>$E265</f>
        <v>0.23395492613228319</v>
      </c>
      <c r="I15" s="594">
        <f>$E266</f>
        <v>0.23395492613228319</v>
      </c>
      <c r="J15" s="180">
        <f>$E266</f>
        <v>0.23395492613228319</v>
      </c>
      <c r="K15" s="131">
        <f>$E266</f>
        <v>0.23395492613228319</v>
      </c>
    </row>
    <row r="16" spans="1:11" hidden="1" outlineLevel="1">
      <c r="B16" s="744" t="s">
        <v>88</v>
      </c>
      <c r="C16" s="213">
        <f>F312</f>
        <v>1.0902460295278269</v>
      </c>
      <c r="D16" s="180">
        <f>J312</f>
        <v>0.28452899985710545</v>
      </c>
      <c r="E16" s="131">
        <f>N312</f>
        <v>0.17899999999999999</v>
      </c>
      <c r="F16" s="213">
        <f>F313</f>
        <v>1.3961944388597731</v>
      </c>
      <c r="G16" s="180">
        <f>J313</f>
        <v>0.41186163476728449</v>
      </c>
      <c r="H16" s="131">
        <f>N313</f>
        <v>0.23131639557135047</v>
      </c>
      <c r="I16" s="594">
        <f>F314</f>
        <v>1.4137339365193258</v>
      </c>
      <c r="J16" s="180">
        <f>J314</f>
        <v>0.42601420933045792</v>
      </c>
      <c r="K16" s="131">
        <f>N314</f>
        <v>0.22726626693889507</v>
      </c>
    </row>
    <row r="17" spans="2:11" ht="14.5" hidden="1" outlineLevel="1" thickBot="1">
      <c r="B17" s="745" t="s">
        <v>89</v>
      </c>
      <c r="C17" s="214">
        <f>$E334/10^3</f>
        <v>0.66449999999999998</v>
      </c>
      <c r="D17" s="18">
        <f>$E334/10^3</f>
        <v>0.66449999999999998</v>
      </c>
      <c r="E17" s="19">
        <f>$E334/10^3</f>
        <v>0.66449999999999998</v>
      </c>
      <c r="F17" s="214">
        <f>$E335/10^3</f>
        <v>0.77731636139967186</v>
      </c>
      <c r="G17" s="18">
        <f>$E335/10^3</f>
        <v>0.77731636139967186</v>
      </c>
      <c r="H17" s="19">
        <f>$E335/10^3</f>
        <v>0.77731636139967186</v>
      </c>
      <c r="I17" s="595">
        <f>$E336/10^3</f>
        <v>0.76858256446041062</v>
      </c>
      <c r="J17" s="18">
        <f>$E336/10^3</f>
        <v>0.76858256446041062</v>
      </c>
      <c r="K17" s="19">
        <f>$E336/10^3</f>
        <v>0.76858256446041062</v>
      </c>
    </row>
    <row r="18" spans="2:11" hidden="1" outlineLevel="1">
      <c r="C18" s="579"/>
      <c r="F18" s="579"/>
      <c r="I18" s="579"/>
    </row>
    <row r="19" spans="2:11" hidden="1" outlineLevel="1"/>
    <row r="20" spans="2:11" hidden="1" outlineLevel="1"/>
    <row r="21" spans="2:11" hidden="1" outlineLevel="1">
      <c r="J21" s="43"/>
    </row>
    <row r="22" spans="2:11" hidden="1" outlineLevel="1"/>
    <row r="23" spans="2:11" hidden="1" outlineLevel="1"/>
    <row r="24" spans="2:11" hidden="1" outlineLevel="1"/>
    <row r="25" spans="2:11" hidden="1" outlineLevel="1"/>
    <row r="26" spans="2:11" hidden="1" outlineLevel="1"/>
    <row r="27" spans="2:11" hidden="1" outlineLevel="1"/>
    <row r="28" spans="2:11" hidden="1" outlineLevel="1"/>
    <row r="29" spans="2:11" hidden="1" outlineLevel="1"/>
    <row r="30" spans="2:11" hidden="1" outlineLevel="1"/>
    <row r="31" spans="2:11" hidden="1" outlineLevel="1"/>
    <row r="32" spans="2:11" hidden="1" outlineLevel="1"/>
    <row r="33" spans="2:5" hidden="1" outlineLevel="1"/>
    <row r="34" spans="2:5" hidden="1" outlineLevel="1"/>
    <row r="35" spans="2:5" hidden="1" outlineLevel="1"/>
    <row r="36" spans="2:5" hidden="1" outlineLevel="1"/>
    <row r="37" spans="2:5" hidden="1" outlineLevel="1"/>
    <row r="38" spans="2:5" hidden="1" outlineLevel="1"/>
    <row r="39" spans="2:5" hidden="1" outlineLevel="1"/>
    <row r="40" spans="2:5" hidden="1" outlineLevel="1"/>
    <row r="41" spans="2:5" hidden="1" outlineLevel="1"/>
    <row r="42" spans="2:5" hidden="1" outlineLevel="1"/>
    <row r="43" spans="2:5" hidden="1" outlineLevel="1"/>
    <row r="44" spans="2:5" hidden="1" outlineLevel="1"/>
    <row r="45" spans="2:5" ht="14.5" hidden="1" outlineLevel="1" thickBot="1">
      <c r="B45" s="1251" t="s">
        <v>356</v>
      </c>
    </row>
    <row r="46" spans="2:5" ht="29" hidden="1" outlineLevel="1">
      <c r="B46" s="123" t="s">
        <v>4952</v>
      </c>
      <c r="C46" s="374" t="s">
        <v>357</v>
      </c>
      <c r="D46" s="374" t="s">
        <v>358</v>
      </c>
      <c r="E46" s="379" t="s">
        <v>359</v>
      </c>
    </row>
    <row r="47" spans="2:5" ht="14.5" hidden="1" outlineLevel="1">
      <c r="B47" s="10" t="s">
        <v>93</v>
      </c>
      <c r="C47" s="115">
        <f>1-D47-E47</f>
        <v>0.76755027266399956</v>
      </c>
      <c r="D47" s="229">
        <f>(P275+Q275)/(1+C286)</f>
        <v>0.16097975644073709</v>
      </c>
      <c r="E47" s="311">
        <f>C286</f>
        <v>7.1469970895263316E-2</v>
      </c>
    </row>
    <row r="48" spans="2:5" ht="14.5" hidden="1" outlineLevel="1">
      <c r="B48" s="10" t="s">
        <v>182</v>
      </c>
      <c r="C48" s="115">
        <f>1-D48-E48</f>
        <v>0.97711067356139358</v>
      </c>
      <c r="D48" s="229">
        <f>(P276+Q276)/(1+C287)</f>
        <v>1.7067363859437128E-2</v>
      </c>
      <c r="E48" s="311">
        <f>C287</f>
        <v>5.8219625791693427E-3</v>
      </c>
    </row>
    <row r="49" spans="2:11" ht="15" hidden="1" outlineLevel="1" thickBot="1">
      <c r="B49" s="13" t="s">
        <v>360</v>
      </c>
      <c r="C49" s="157">
        <f>1-D49-E49</f>
        <v>0.86748031152167859</v>
      </c>
      <c r="D49" s="376">
        <f>(P277+Q277)/(1+C288)</f>
        <v>0.10467535117612034</v>
      </c>
      <c r="E49" s="313">
        <f>C288</f>
        <v>2.7844337302200994E-2</v>
      </c>
    </row>
    <row r="50" spans="2:11" hidden="1" outlineLevel="1"/>
    <row r="51" spans="2:11" ht="14.5" hidden="1" outlineLevel="1" thickBot="1">
      <c r="B51" s="1251" t="s">
        <v>361</v>
      </c>
    </row>
    <row r="52" spans="2:11" hidden="1" outlineLevel="1">
      <c r="B52" s="456" t="s">
        <v>199</v>
      </c>
      <c r="C52" s="695" t="s">
        <v>93</v>
      </c>
      <c r="D52" s="695" t="s">
        <v>182</v>
      </c>
      <c r="E52" s="696" t="s">
        <v>360</v>
      </c>
      <c r="K52" s="166"/>
    </row>
    <row r="53" spans="2:11" hidden="1" outlineLevel="1">
      <c r="B53" s="562" t="s">
        <v>84</v>
      </c>
      <c r="C53" s="168">
        <f>C$47*C12+D$47*D12+E$47*E12</f>
        <v>11.751716900754859</v>
      </c>
      <c r="D53" s="168">
        <f t="shared" ref="D53:D58" si="3">C$48*F12+D$48*G12+E$48*H12</f>
        <v>4.1117158107384499</v>
      </c>
      <c r="E53" s="132">
        <f t="shared" ref="E53:E58" si="4">C$49*I12+D$49*J12+E$49*K12</f>
        <v>3.4456056516210407</v>
      </c>
      <c r="K53" s="166"/>
    </row>
    <row r="54" spans="2:11" hidden="1" outlineLevel="1">
      <c r="B54" s="562" t="s">
        <v>187</v>
      </c>
      <c r="C54" s="168">
        <f>C$47*C13+D$47*D13+E$47*E13</f>
        <v>1.4282880428774118</v>
      </c>
      <c r="D54" s="168">
        <f t="shared" si="3"/>
        <v>8.8696357897055353</v>
      </c>
      <c r="E54" s="132">
        <f t="shared" si="4"/>
        <v>6.3771913177137449</v>
      </c>
      <c r="K54" s="166"/>
    </row>
    <row r="55" spans="2:11" hidden="1" outlineLevel="1">
      <c r="B55" s="562" t="s">
        <v>86</v>
      </c>
      <c r="C55" s="168">
        <f t="shared" ref="C55:C58" si="5">C$47*C14+D$47*D14+E$47*E14</f>
        <v>0</v>
      </c>
      <c r="D55" s="168">
        <f t="shared" si="3"/>
        <v>1.5824730304037984</v>
      </c>
      <c r="E55" s="132">
        <f t="shared" si="4"/>
        <v>1.8744728713532799</v>
      </c>
      <c r="K55" s="166"/>
    </row>
    <row r="56" spans="2:11" ht="14.5" hidden="1" outlineLevel="1" thickBot="1">
      <c r="B56" s="562" t="s">
        <v>201</v>
      </c>
      <c r="C56" s="168">
        <f t="shared" si="5"/>
        <v>1.6376844829259826E-2</v>
      </c>
      <c r="D56" s="168">
        <f t="shared" si="3"/>
        <v>0.23395492613228319</v>
      </c>
      <c r="E56" s="132">
        <f t="shared" si="4"/>
        <v>0.23395492613228316</v>
      </c>
      <c r="I56" s="1537" t="s">
        <v>362</v>
      </c>
      <c r="J56" s="1537"/>
      <c r="K56" s="166"/>
    </row>
    <row r="57" spans="2:11" ht="28" hidden="1" outlineLevel="1">
      <c r="B57" s="562" t="s">
        <v>88</v>
      </c>
      <c r="C57" s="168">
        <f t="shared" si="5"/>
        <v>0.89541517112250202</v>
      </c>
      <c r="D57" s="168">
        <f t="shared" si="3"/>
        <v>1.3726125963562255</v>
      </c>
      <c r="E57" s="132">
        <f t="shared" si="4"/>
        <v>1.2773076212222954</v>
      </c>
      <c r="H57" s="456" t="s">
        <v>363</v>
      </c>
      <c r="I57" s="695" t="s">
        <v>93</v>
      </c>
      <c r="J57" s="696" t="s">
        <v>364</v>
      </c>
      <c r="K57" s="166"/>
    </row>
    <row r="58" spans="2:11" ht="14.5" hidden="1" outlineLevel="1" thickBot="1">
      <c r="B58" s="565" t="s">
        <v>89</v>
      </c>
      <c r="C58" s="170">
        <f t="shared" si="5"/>
        <v>0.66449999999999998</v>
      </c>
      <c r="D58" s="170">
        <f t="shared" si="3"/>
        <v>0.77731636139967186</v>
      </c>
      <c r="E58" s="209">
        <f t="shared" si="4"/>
        <v>0.76858256446041062</v>
      </c>
      <c r="H58" s="562" t="s">
        <v>84</v>
      </c>
      <c r="I58" s="168">
        <f t="shared" ref="I58:I63" si="6">C53*D$62/10^3</f>
        <v>156.72381858143478</v>
      </c>
      <c r="J58" s="132">
        <f>AVERAGE(D53:E53)*D$63/10^3</f>
        <v>42.425407969595852</v>
      </c>
      <c r="K58" s="166"/>
    </row>
    <row r="59" spans="2:11" hidden="1" outlineLevel="1">
      <c r="H59" s="562" t="s">
        <v>187</v>
      </c>
      <c r="I59" s="168">
        <f t="shared" si="6"/>
        <v>19.048004474952378</v>
      </c>
      <c r="J59" s="132">
        <f t="shared" ref="J59:J63" si="7">AVERAGE(D54:E54)*D$63/10^3</f>
        <v>85.592873545993157</v>
      </c>
      <c r="K59" s="166"/>
    </row>
    <row r="60" spans="2:11" ht="14.5" hidden="1" outlineLevel="1" thickBot="1">
      <c r="B60" s="1251" t="s">
        <v>300</v>
      </c>
      <c r="H60" s="562" t="s">
        <v>86</v>
      </c>
      <c r="I60" s="168">
        <f t="shared" si="6"/>
        <v>0</v>
      </c>
      <c r="J60" s="132">
        <f t="shared" si="7"/>
        <v>19.406656305589603</v>
      </c>
      <c r="K60" s="166"/>
    </row>
    <row r="61" spans="2:11" ht="42" hidden="1" outlineLevel="1">
      <c r="B61" s="456"/>
      <c r="C61" s="695" t="s">
        <v>365</v>
      </c>
      <c r="D61" s="695" t="s">
        <v>366</v>
      </c>
      <c r="E61" s="695" t="s">
        <v>367</v>
      </c>
      <c r="F61" s="696" t="s">
        <v>368</v>
      </c>
      <c r="H61" s="562" t="s">
        <v>201</v>
      </c>
      <c r="I61" s="168">
        <f t="shared" si="6"/>
        <v>0.21840567464591998</v>
      </c>
      <c r="J61" s="132">
        <f t="shared" si="7"/>
        <v>2.6267595568337434</v>
      </c>
      <c r="K61" s="166"/>
    </row>
    <row r="62" spans="2:11" hidden="1" outlineLevel="1">
      <c r="B62" s="562" t="s">
        <v>93</v>
      </c>
      <c r="C62" s="11">
        <f>C73+C103+C111</f>
        <v>23630.559105249999</v>
      </c>
      <c r="D62" s="11">
        <f>F78+C103+C111</f>
        <v>13336.248643920939</v>
      </c>
      <c r="E62" s="11">
        <f>C62*SUM($C53:$C58)/10^3</f>
        <v>348.69954747807134</v>
      </c>
      <c r="F62" s="12">
        <f>D62*SUM($C53:$C58)/10^3</f>
        <v>196.79364531654724</v>
      </c>
      <c r="H62" s="562" t="s">
        <v>88</v>
      </c>
      <c r="I62" s="168">
        <f t="shared" si="6"/>
        <v>11.941479361628703</v>
      </c>
      <c r="J62" s="132">
        <f t="shared" si="7"/>
        <v>14.876163052954052</v>
      </c>
      <c r="K62" s="166"/>
    </row>
    <row r="63" spans="2:11" ht="14.5" hidden="1" outlineLevel="1" thickBot="1">
      <c r="B63" s="562" t="s">
        <v>369</v>
      </c>
      <c r="C63" s="11">
        <f>C74</f>
        <v>19958.23513125</v>
      </c>
      <c r="D63" s="11">
        <f>F79+F80+F81</f>
        <v>11227.630895656013</v>
      </c>
      <c r="E63" s="11">
        <f>C63*AVERAGE(SUM($D53:$D58),SUM($E53:$E58))/10^3</f>
        <v>308.60244907577709</v>
      </c>
      <c r="F63" s="12">
        <f>D63*AVERAGE(SUM($D53:$D58),SUM($E53:$E58))/10^3</f>
        <v>173.60625170174046</v>
      </c>
      <c r="H63" s="565" t="s">
        <v>89</v>
      </c>
      <c r="I63" s="170">
        <f t="shared" si="6"/>
        <v>8.8619372238854623</v>
      </c>
      <c r="J63" s="209">
        <f t="shared" si="7"/>
        <v>8.6783912707740551</v>
      </c>
    </row>
    <row r="64" spans="2:11" ht="14.5" hidden="1" outlineLevel="1" thickBot="1">
      <c r="B64" s="565" t="s">
        <v>83</v>
      </c>
      <c r="C64" s="37">
        <f>C62+C63</f>
        <v>43588.794236499998</v>
      </c>
      <c r="D64" s="37">
        <f>D62+D63</f>
        <v>24563.879539576952</v>
      </c>
      <c r="E64" s="331">
        <f>E62+E63</f>
        <v>657.30199655384843</v>
      </c>
      <c r="F64" s="210">
        <f>F62+F63</f>
        <v>370.39989701828767</v>
      </c>
    </row>
    <row r="65" spans="2:19" hidden="1" outlineLevel="1"/>
    <row r="66" spans="2:19" collapsed="1"/>
    <row r="67" spans="2:19" ht="23.5">
      <c r="B67" s="2" t="s">
        <v>370</v>
      </c>
    </row>
    <row r="68" spans="2:19">
      <c r="F68" s="1251"/>
    </row>
    <row r="69" spans="2:19" ht="20">
      <c r="B69" s="216" t="s">
        <v>371</v>
      </c>
    </row>
    <row r="71" spans="2:19" ht="14.5" hidden="1" outlineLevel="1" thickBot="1">
      <c r="B71" s="1488" t="s">
        <v>4924</v>
      </c>
    </row>
    <row r="72" spans="2:19" ht="28" hidden="1" outlineLevel="1">
      <c r="B72" s="456"/>
      <c r="C72" s="405" t="s">
        <v>372</v>
      </c>
    </row>
    <row r="73" spans="2:19" hidden="1" outlineLevel="1">
      <c r="B73" s="562" t="s">
        <v>122</v>
      </c>
      <c r="C73" s="697">
        <f>'Consommables - consos hôpital'!C111</f>
        <v>20543.17830525</v>
      </c>
    </row>
    <row r="74" spans="2:19" ht="14.5" hidden="1" outlineLevel="1" thickBot="1">
      <c r="B74" s="565" t="s">
        <v>373</v>
      </c>
      <c r="C74" s="698">
        <f>'Consommables - consos hôpital'!C112</f>
        <v>19958.23513125</v>
      </c>
    </row>
    <row r="75" spans="2:19" hidden="1" outlineLevel="1">
      <c r="D75" s="76"/>
      <c r="F75" s="76"/>
      <c r="G75" s="76"/>
    </row>
    <row r="76" spans="2:19" ht="14.5" hidden="1" outlineLevel="1" thickBot="1">
      <c r="B76" s="1251" t="s">
        <v>374</v>
      </c>
      <c r="D76" s="76"/>
      <c r="F76" s="76"/>
      <c r="G76" s="76"/>
      <c r="H76" s="76"/>
      <c r="I76" s="76"/>
      <c r="J76" s="76"/>
      <c r="K76" s="76"/>
      <c r="L76" s="76"/>
      <c r="M76" s="76"/>
      <c r="N76" s="76"/>
      <c r="O76" s="76"/>
      <c r="P76" s="76"/>
      <c r="Q76" s="76"/>
      <c r="R76" s="76"/>
      <c r="S76" s="76"/>
    </row>
    <row r="77" spans="2:19" ht="42" hidden="1" outlineLevel="1">
      <c r="B77" s="456"/>
      <c r="C77" s="404" t="s">
        <v>375</v>
      </c>
      <c r="D77" s="1501" t="s">
        <v>4925</v>
      </c>
      <c r="E77" s="404" t="s">
        <v>70</v>
      </c>
      <c r="F77" s="405" t="s">
        <v>376</v>
      </c>
      <c r="H77" s="76"/>
      <c r="I77" s="76"/>
      <c r="J77" s="76"/>
      <c r="K77" s="76"/>
      <c r="L77" s="76"/>
      <c r="M77" s="76"/>
      <c r="N77" s="76"/>
      <c r="O77" s="76"/>
    </row>
    <row r="78" spans="2:19" hidden="1" outlineLevel="1">
      <c r="B78" s="562" t="s">
        <v>4954</v>
      </c>
      <c r="C78" s="728">
        <v>2562216960.9802346</v>
      </c>
      <c r="D78" s="11">
        <v>4</v>
      </c>
      <c r="E78" s="1266" t="s">
        <v>377</v>
      </c>
      <c r="F78" s="319">
        <f>D78*C78/10^6</f>
        <v>10248.867843920938</v>
      </c>
      <c r="H78" s="76"/>
      <c r="I78" s="76"/>
      <c r="J78" s="76"/>
      <c r="K78" s="76"/>
      <c r="L78" s="76"/>
      <c r="M78" s="76"/>
      <c r="N78" s="76"/>
      <c r="O78" s="76"/>
    </row>
    <row r="79" spans="2:19" hidden="1" outlineLevel="1">
      <c r="B79" s="562" t="s">
        <v>4953</v>
      </c>
      <c r="C79" s="728">
        <v>34820455.344945289</v>
      </c>
      <c r="D79" s="11">
        <v>184</v>
      </c>
      <c r="E79" s="113" t="s">
        <v>378</v>
      </c>
      <c r="F79" s="319">
        <f t="shared" ref="F79:F81" si="8">D79*C79/10^6</f>
        <v>6406.9637834699333</v>
      </c>
      <c r="H79" s="76"/>
      <c r="I79" s="76"/>
      <c r="J79" s="76"/>
      <c r="K79" s="76"/>
      <c r="L79" s="76"/>
      <c r="M79" s="76"/>
      <c r="N79" s="76"/>
      <c r="O79" s="76"/>
    </row>
    <row r="80" spans="2:19" hidden="1" outlineLevel="1">
      <c r="B80" s="562" t="s">
        <v>4955</v>
      </c>
      <c r="C80" s="728">
        <v>91874611.465376362</v>
      </c>
      <c r="D80" s="11">
        <v>50</v>
      </c>
      <c r="E80" s="1266" t="s">
        <v>379</v>
      </c>
      <c r="F80" s="319">
        <f t="shared" si="8"/>
        <v>4593.7305732688183</v>
      </c>
      <c r="H80" s="76"/>
      <c r="I80" s="76"/>
      <c r="J80" s="76"/>
      <c r="K80" s="76"/>
      <c r="L80" s="76"/>
      <c r="M80" s="76"/>
      <c r="N80" s="76"/>
      <c r="O80" s="76"/>
    </row>
    <row r="81" spans="2:15" ht="14.5" hidden="1" outlineLevel="1" thickBot="1">
      <c r="B81" s="565" t="s">
        <v>4956</v>
      </c>
      <c r="C81" s="206">
        <v>5617241.0623084782</v>
      </c>
      <c r="D81" s="22">
        <v>40.4</v>
      </c>
      <c r="E81" s="144" t="s">
        <v>380</v>
      </c>
      <c r="F81" s="199">
        <f t="shared" si="8"/>
        <v>226.93653891726254</v>
      </c>
      <c r="H81" s="76"/>
      <c r="I81" s="76"/>
      <c r="J81" s="76"/>
      <c r="K81" s="76"/>
      <c r="L81" s="76"/>
      <c r="M81" s="76"/>
      <c r="N81" s="76"/>
      <c r="O81" s="76"/>
    </row>
    <row r="82" spans="2:15" hidden="1" outlineLevel="1">
      <c r="B82" s="1274" t="s">
        <v>381</v>
      </c>
      <c r="H82" s="76"/>
      <c r="I82" s="76"/>
      <c r="J82" s="76"/>
      <c r="K82" s="76"/>
      <c r="L82" s="76"/>
      <c r="M82" s="76"/>
      <c r="N82" s="76"/>
      <c r="O82" s="76"/>
    </row>
    <row r="83" spans="2:15" hidden="1" outlineLevel="1">
      <c r="F83" s="579"/>
    </row>
    <row r="84" spans="2:15" hidden="1" outlineLevel="1">
      <c r="B84" s="1496" t="s">
        <v>4957</v>
      </c>
      <c r="E84" s="76"/>
      <c r="F84" s="76"/>
      <c r="G84" s="76"/>
      <c r="K84" s="76"/>
    </row>
    <row r="85" spans="2:15" ht="14.5" hidden="1" outlineLevel="1" thickBot="1">
      <c r="B85" s="1496" t="s">
        <v>4958</v>
      </c>
      <c r="E85" s="76"/>
      <c r="F85" s="76"/>
      <c r="G85" s="76"/>
      <c r="K85" s="76"/>
    </row>
    <row r="86" spans="2:15" ht="28" hidden="1" outlineLevel="1">
      <c r="B86" s="456"/>
      <c r="C86" s="404" t="s">
        <v>382</v>
      </c>
      <c r="D86" s="404" t="s">
        <v>383</v>
      </c>
      <c r="E86" s="405" t="s">
        <v>384</v>
      </c>
      <c r="F86" s="76"/>
      <c r="G86" s="76"/>
    </row>
    <row r="87" spans="2:15" ht="42" hidden="1" outlineLevel="1">
      <c r="B87" s="562" t="s">
        <v>385</v>
      </c>
      <c r="C87" s="11">
        <v>40151200</v>
      </c>
      <c r="D87" s="642">
        <v>13600</v>
      </c>
      <c r="E87" s="12">
        <v>1240</v>
      </c>
      <c r="F87" s="76" t="s">
        <v>386</v>
      </c>
      <c r="G87" s="76"/>
    </row>
    <row r="88" spans="2:15" ht="41" hidden="1" customHeight="1" outlineLevel="1">
      <c r="B88" s="562" t="s">
        <v>387</v>
      </c>
      <c r="C88" s="11">
        <v>62101092</v>
      </c>
      <c r="D88" s="642">
        <v>5360</v>
      </c>
      <c r="E88" s="12">
        <v>1240</v>
      </c>
      <c r="F88" s="76" t="s">
        <v>388</v>
      </c>
      <c r="G88" s="76"/>
    </row>
    <row r="89" spans="2:15" ht="28.5" hidden="1" outlineLevel="1" thickBot="1">
      <c r="B89" s="565" t="s">
        <v>389</v>
      </c>
      <c r="C89" s="14">
        <v>63079092</v>
      </c>
      <c r="D89" s="116">
        <v>2500</v>
      </c>
      <c r="E89" s="15">
        <v>590</v>
      </c>
      <c r="F89" s="76"/>
      <c r="G89" s="76"/>
    </row>
    <row r="90" spans="2:15" hidden="1" outlineLevel="1">
      <c r="B90" s="1488" t="s">
        <v>4926</v>
      </c>
      <c r="D90" s="1274"/>
      <c r="F90" s="579"/>
    </row>
    <row r="91" spans="2:15" hidden="1" outlineLevel="1">
      <c r="B91" s="1488" t="s">
        <v>4927</v>
      </c>
      <c r="D91" s="1274"/>
      <c r="F91" s="579"/>
    </row>
    <row r="92" spans="2:15" hidden="1" outlineLevel="1">
      <c r="B92" s="1251" t="s">
        <v>390</v>
      </c>
      <c r="D92" s="1274"/>
      <c r="F92" s="579"/>
    </row>
    <row r="93" spans="2:15" collapsed="1"/>
    <row r="94" spans="2:15" ht="20">
      <c r="B94" s="216" t="s">
        <v>391</v>
      </c>
      <c r="C94" s="23"/>
    </row>
    <row r="96" spans="2:15" hidden="1" outlineLevel="1">
      <c r="B96" s="1488" t="s">
        <v>4928</v>
      </c>
    </row>
    <row r="97" spans="2:5" ht="14.5" hidden="1" outlineLevel="1" thickBot="1">
      <c r="B97" s="1251" t="s">
        <v>392</v>
      </c>
    </row>
    <row r="98" spans="2:5" hidden="1" outlineLevel="1">
      <c r="B98" s="456"/>
      <c r="C98" s="404" t="s">
        <v>93</v>
      </c>
      <c r="D98" s="404" t="s">
        <v>393</v>
      </c>
      <c r="E98" s="405" t="s">
        <v>394</v>
      </c>
    </row>
    <row r="99" spans="2:5" hidden="1" outlineLevel="1">
      <c r="B99" s="562" t="s">
        <v>395</v>
      </c>
      <c r="C99" s="11">
        <f>2*6600</f>
        <v>13200</v>
      </c>
      <c r="D99" s="11">
        <f>6600</f>
        <v>6600</v>
      </c>
      <c r="E99" s="12" t="s">
        <v>396</v>
      </c>
    </row>
    <row r="100" spans="2:5" hidden="1" outlineLevel="1">
      <c r="B100" s="562" t="s">
        <v>397</v>
      </c>
      <c r="C100" s="11">
        <f>34524+50%*3122+6799</f>
        <v>42884</v>
      </c>
      <c r="D100" s="11">
        <f>34524+50%*3122+6799</f>
        <v>42884</v>
      </c>
      <c r="E100" s="655" t="s">
        <v>398</v>
      </c>
    </row>
    <row r="101" spans="2:5" hidden="1" outlineLevel="1">
      <c r="B101" s="562" t="s">
        <v>399</v>
      </c>
      <c r="C101" s="642">
        <f>C99*C100</f>
        <v>566068800</v>
      </c>
      <c r="D101" s="642">
        <f>D99*D100</f>
        <v>283034400</v>
      </c>
      <c r="E101" s="12"/>
    </row>
    <row r="102" spans="2:5" hidden="1" outlineLevel="1">
      <c r="B102" s="562" t="s">
        <v>400</v>
      </c>
      <c r="C102" s="11">
        <v>4</v>
      </c>
      <c r="D102" s="11">
        <v>3</v>
      </c>
      <c r="E102" s="87" t="s">
        <v>401</v>
      </c>
    </row>
    <row r="103" spans="2:5" ht="14.5" hidden="1" outlineLevel="1" thickBot="1">
      <c r="B103" s="565" t="s">
        <v>402</v>
      </c>
      <c r="C103" s="198">
        <f>C101*C102/10^6</f>
        <v>2264.2752</v>
      </c>
      <c r="D103" s="198">
        <f>D101*D102/10^6</f>
        <v>849.10320000000002</v>
      </c>
      <c r="E103" s="15"/>
    </row>
    <row r="104" spans="2:5" hidden="1" outlineLevel="1"/>
    <row r="105" spans="2:5" ht="14.5" hidden="1" outlineLevel="1" thickBot="1">
      <c r="B105" s="1251" t="s">
        <v>403</v>
      </c>
    </row>
    <row r="106" spans="2:5" hidden="1" outlineLevel="1">
      <c r="B106" s="456"/>
      <c r="C106" s="404" t="s">
        <v>93</v>
      </c>
      <c r="D106" s="404" t="s">
        <v>393</v>
      </c>
      <c r="E106" s="405" t="s">
        <v>394</v>
      </c>
    </row>
    <row r="107" spans="2:5" hidden="1" outlineLevel="1">
      <c r="B107" s="562" t="s">
        <v>395</v>
      </c>
      <c r="C107" s="11">
        <f>23*100</f>
        <v>2300</v>
      </c>
      <c r="D107" s="11">
        <f>16*50</f>
        <v>800</v>
      </c>
      <c r="E107" s="655" t="s">
        <v>404</v>
      </c>
    </row>
    <row r="108" spans="2:5" hidden="1" outlineLevel="1">
      <c r="B108" s="562" t="s">
        <v>405</v>
      </c>
      <c r="C108" s="11">
        <f>56738+8567*2+15596</f>
        <v>89468</v>
      </c>
      <c r="D108" s="11">
        <f>56738+8567*2+15596</f>
        <v>89468</v>
      </c>
      <c r="E108" s="655" t="s">
        <v>398</v>
      </c>
    </row>
    <row r="109" spans="2:5" hidden="1" outlineLevel="1">
      <c r="B109" s="562" t="s">
        <v>399</v>
      </c>
      <c r="C109" s="642">
        <f>C107*C108</f>
        <v>205776400</v>
      </c>
      <c r="D109" s="642">
        <f>D107*D108</f>
        <v>71574400</v>
      </c>
      <c r="E109" s="12"/>
    </row>
    <row r="110" spans="2:5" hidden="1" outlineLevel="1">
      <c r="B110" s="562" t="s">
        <v>400</v>
      </c>
      <c r="C110" s="11">
        <v>4</v>
      </c>
      <c r="D110" s="11">
        <v>3</v>
      </c>
      <c r="E110" s="87" t="s">
        <v>401</v>
      </c>
    </row>
    <row r="111" spans="2:5" ht="14.5" hidden="1" outlineLevel="1" thickBot="1">
      <c r="B111" s="565" t="s">
        <v>402</v>
      </c>
      <c r="C111" s="198">
        <f>C109*C110/10^6</f>
        <v>823.10559999999998</v>
      </c>
      <c r="D111" s="198">
        <f>D109*D110/10^6</f>
        <v>214.72319999999999</v>
      </c>
      <c r="E111" s="15"/>
    </row>
    <row r="112" spans="2:5" hidden="1" outlineLevel="1"/>
    <row r="113" spans="2:15" collapsed="1"/>
    <row r="114" spans="2:15" ht="23.5">
      <c r="B114" s="2" t="s">
        <v>406</v>
      </c>
      <c r="O114" s="1"/>
    </row>
    <row r="116" spans="2:15">
      <c r="B116" s="1251" t="s">
        <v>4929</v>
      </c>
    </row>
    <row r="118" spans="2:15" ht="20">
      <c r="B118" s="216" t="s">
        <v>408</v>
      </c>
    </row>
    <row r="120" spans="2:15" ht="15.5">
      <c r="B120" s="679" t="s">
        <v>409</v>
      </c>
    </row>
    <row r="122" spans="2:15" ht="18" hidden="1" outlineLevel="1">
      <c r="B122" s="1018" t="s">
        <v>410</v>
      </c>
    </row>
    <row r="123" spans="2:15" hidden="1" outlineLevel="1">
      <c r="B123" t="s">
        <v>411</v>
      </c>
    </row>
    <row r="124" spans="2:15" hidden="1" outlineLevel="1">
      <c r="B124" s="87" t="s">
        <v>412</v>
      </c>
    </row>
    <row r="125" spans="2:15" hidden="1" outlineLevel="1"/>
    <row r="126" spans="2:15" hidden="1" outlineLevel="1">
      <c r="B126" s="1488" t="s">
        <v>4930</v>
      </c>
    </row>
    <row r="127" spans="2:15" hidden="1" outlineLevel="1"/>
    <row r="128" spans="2:15" hidden="1" outlineLevel="1">
      <c r="B128" s="1496" t="s">
        <v>4960</v>
      </c>
    </row>
    <row r="129" spans="2:6" ht="225.5" hidden="1" customHeight="1" outlineLevel="1">
      <c r="B129" s="1251"/>
    </row>
    <row r="130" spans="2:6" hidden="1" outlineLevel="1">
      <c r="B130" s="1251" t="s">
        <v>413</v>
      </c>
      <c r="C130" s="1251"/>
    </row>
    <row r="131" spans="2:6" ht="14.5" hidden="1" outlineLevel="1" thickBot="1">
      <c r="B131" s="1251" t="s">
        <v>414</v>
      </c>
    </row>
    <row r="132" spans="2:6" hidden="1" outlineLevel="1">
      <c r="B132" s="670"/>
      <c r="C132" s="671"/>
      <c r="D132" s="672" t="s">
        <v>301</v>
      </c>
    </row>
    <row r="133" spans="2:6" hidden="1" outlineLevel="1">
      <c r="B133" s="673" t="s">
        <v>415</v>
      </c>
      <c r="C133" s="674">
        <v>7.4244000000000003</v>
      </c>
      <c r="D133" s="1286" t="s">
        <v>416</v>
      </c>
    </row>
    <row r="134" spans="2:6" ht="14.5" hidden="1" outlineLevel="1" thickBot="1">
      <c r="B134" s="614" t="s">
        <v>417</v>
      </c>
      <c r="C134" s="676">
        <v>16.276</v>
      </c>
      <c r="D134" s="1287" t="s">
        <v>418</v>
      </c>
    </row>
    <row r="135" spans="2:6" hidden="1" outlineLevel="1"/>
    <row r="136" spans="2:6" ht="14.5" hidden="1" outlineLevel="1" thickBot="1">
      <c r="B136" s="1251" t="s">
        <v>4931</v>
      </c>
    </row>
    <row r="137" spans="2:6" hidden="1" outlineLevel="1">
      <c r="B137" s="670"/>
      <c r="C137" s="671"/>
      <c r="D137" s="672" t="s">
        <v>301</v>
      </c>
    </row>
    <row r="138" spans="2:6" hidden="1" outlineLevel="1">
      <c r="B138" s="673" t="s">
        <v>419</v>
      </c>
      <c r="C138" s="674">
        <v>3.35</v>
      </c>
      <c r="D138" s="1286" t="s">
        <v>420</v>
      </c>
    </row>
    <row r="139" spans="2:6" hidden="1" outlineLevel="1">
      <c r="B139" s="673" t="s">
        <v>421</v>
      </c>
      <c r="C139" s="1288">
        <v>19.067548576514046</v>
      </c>
      <c r="D139" s="1286" t="s">
        <v>418</v>
      </c>
      <c r="E139" s="1251" t="s">
        <v>422</v>
      </c>
    </row>
    <row r="140" spans="2:6" ht="14.5" hidden="1" outlineLevel="1" thickBot="1">
      <c r="B140" s="546" t="s">
        <v>423</v>
      </c>
      <c r="C140" s="98">
        <f>C139/C138</f>
        <v>5.6918055452280729</v>
      </c>
      <c r="D140" s="1265" t="s">
        <v>424</v>
      </c>
    </row>
    <row r="141" spans="2:6" hidden="1" outlineLevel="1"/>
    <row r="142" spans="2:6" ht="14.5" hidden="1" outlineLevel="1" thickBot="1">
      <c r="B142" s="1289" t="s">
        <v>425</v>
      </c>
      <c r="C142" s="166"/>
      <c r="D142" s="166"/>
    </row>
    <row r="143" spans="2:6" hidden="1" outlineLevel="1">
      <c r="B143" s="670"/>
      <c r="C143" s="671" t="s">
        <v>186</v>
      </c>
      <c r="D143" s="671" t="s">
        <v>426</v>
      </c>
      <c r="E143" s="671" t="s">
        <v>153</v>
      </c>
      <c r="F143" s="672" t="s">
        <v>427</v>
      </c>
    </row>
    <row r="144" spans="2:6" hidden="1" outlineLevel="1">
      <c r="B144" s="673" t="s">
        <v>428</v>
      </c>
      <c r="C144" s="1288">
        <v>0.43061519999999998</v>
      </c>
      <c r="D144" s="1288">
        <v>2.4155900669821899</v>
      </c>
      <c r="E144" s="1288">
        <v>5.6870904000000007</v>
      </c>
      <c r="F144" s="1290">
        <v>5.3975388000000004</v>
      </c>
    </row>
    <row r="145" spans="2:6" ht="14.5" hidden="1" outlineLevel="1" thickBot="1">
      <c r="B145" s="614" t="s">
        <v>429</v>
      </c>
      <c r="C145" s="678">
        <f>C144/$C138</f>
        <v>0.12854185074626864</v>
      </c>
      <c r="D145" s="678">
        <f>D144/$C138</f>
        <v>0.72107166178572835</v>
      </c>
      <c r="E145" s="678">
        <f>E144/$C138</f>
        <v>1.6976389253731345</v>
      </c>
      <c r="F145" s="602">
        <f>F144/$C138</f>
        <v>1.6112056119402987</v>
      </c>
    </row>
    <row r="146" spans="2:6" hidden="1" outlineLevel="1"/>
    <row r="147" spans="2:6" ht="18" hidden="1" outlineLevel="1">
      <c r="B147" s="1018" t="s">
        <v>430</v>
      </c>
    </row>
    <row r="148" spans="2:6" ht="14.5" hidden="1" outlineLevel="1" thickBot="1">
      <c r="B148" s="1496" t="s">
        <v>4959</v>
      </c>
    </row>
    <row r="149" spans="2:6" ht="28.5" hidden="1" outlineLevel="1" thickBot="1">
      <c r="B149" s="832" t="s">
        <v>431</v>
      </c>
      <c r="C149" s="517">
        <f>90*(4/6.5)</f>
        <v>55.384615384615387</v>
      </c>
      <c r="D149" s="1291" t="s">
        <v>418</v>
      </c>
    </row>
    <row r="150" spans="2:6" hidden="1" outlineLevel="1">
      <c r="B150" s="1251"/>
    </row>
    <row r="151" spans="2:6" ht="14.5" hidden="1" outlineLevel="1" thickBot="1">
      <c r="B151" s="1251" t="s">
        <v>4932</v>
      </c>
    </row>
    <row r="152" spans="2:6" hidden="1" outlineLevel="1">
      <c r="B152" s="670"/>
      <c r="C152" s="671" t="s">
        <v>426</v>
      </c>
      <c r="D152" s="672" t="s">
        <v>185</v>
      </c>
    </row>
    <row r="153" spans="2:6" ht="14.5" hidden="1" outlineLevel="1" thickBot="1">
      <c r="B153" s="614" t="s">
        <v>432</v>
      </c>
      <c r="C153" s="1292">
        <f>4.80646091875762</f>
        <v>4.8064609187576197</v>
      </c>
      <c r="D153" s="1293">
        <f>6.68517108604101</f>
        <v>6.6851710860410103</v>
      </c>
    </row>
    <row r="154" spans="2:6" hidden="1" outlineLevel="1">
      <c r="B154" s="1251"/>
    </row>
    <row r="155" spans="2:6" hidden="1" outlineLevel="1">
      <c r="B155" s="1251" t="s">
        <v>4933</v>
      </c>
    </row>
    <row r="156" spans="2:6" hidden="1" outlineLevel="1">
      <c r="B156" s="1251" t="s">
        <v>433</v>
      </c>
    </row>
    <row r="157" spans="2:6" hidden="1" outlineLevel="1">
      <c r="B157" s="1251"/>
    </row>
    <row r="158" spans="2:6" ht="14.5" hidden="1" outlineLevel="1" thickBot="1">
      <c r="B158" s="1251" t="s">
        <v>434</v>
      </c>
    </row>
    <row r="159" spans="2:6" hidden="1" outlineLevel="1">
      <c r="B159" s="670"/>
      <c r="C159" s="671" t="s">
        <v>186</v>
      </c>
      <c r="D159" s="671" t="s">
        <v>426</v>
      </c>
      <c r="E159" s="672" t="s">
        <v>185</v>
      </c>
    </row>
    <row r="160" spans="2:6" hidden="1" outlineLevel="1">
      <c r="B160" s="673" t="s">
        <v>423</v>
      </c>
      <c r="C160" s="1016">
        <f>50%*E160+50%*E160*C153/D153</f>
        <v>10.441487665582901</v>
      </c>
      <c r="D160" s="1016">
        <f>50%*E160+50%*E160*C153/D153</f>
        <v>10.441487665582901</v>
      </c>
      <c r="E160" s="1017">
        <f>C149/4 - E161</f>
        <v>12.148514920780713</v>
      </c>
    </row>
    <row r="161" spans="2:9" ht="14.5" hidden="1" outlineLevel="1" thickBot="1">
      <c r="B161" s="614" t="s">
        <v>429</v>
      </c>
      <c r="C161" s="678">
        <f>C145</f>
        <v>0.12854185074626864</v>
      </c>
      <c r="D161" s="678">
        <f t="shared" ref="D161" si="9">D145</f>
        <v>0.72107166178572835</v>
      </c>
      <c r="E161" s="602">
        <f>E145</f>
        <v>1.6976389253731345</v>
      </c>
    </row>
    <row r="162" spans="2:9" hidden="1" outlineLevel="1"/>
    <row r="163" spans="2:9" collapsed="1"/>
    <row r="164" spans="2:9" ht="15.5">
      <c r="B164" s="679" t="s">
        <v>435</v>
      </c>
    </row>
    <row r="166" spans="2:9" hidden="1" outlineLevel="1">
      <c r="B166" s="1251" t="s">
        <v>436</v>
      </c>
    </row>
    <row r="167" spans="2:9" hidden="1" outlineLevel="1">
      <c r="B167" s="1251"/>
    </row>
    <row r="168" spans="2:9" hidden="1" outlineLevel="1">
      <c r="B168" s="1251" t="s">
        <v>437</v>
      </c>
    </row>
    <row r="169" spans="2:9" ht="14.5" hidden="1" outlineLevel="1" thickBot="1">
      <c r="B169" s="87" t="s">
        <v>438</v>
      </c>
    </row>
    <row r="170" spans="2:9" ht="28.5" hidden="1" outlineLevel="1">
      <c r="B170" s="456"/>
      <c r="C170" s="404" t="s">
        <v>439</v>
      </c>
      <c r="D170" s="404" t="s">
        <v>301</v>
      </c>
      <c r="E170" s="404" t="s">
        <v>440</v>
      </c>
      <c r="F170" s="404" t="s">
        <v>441</v>
      </c>
      <c r="G170" s="404" t="s">
        <v>442</v>
      </c>
      <c r="H170" s="5" t="s">
        <v>301</v>
      </c>
      <c r="I170" s="6" t="s">
        <v>70</v>
      </c>
    </row>
    <row r="171" spans="2:9" hidden="1" outlineLevel="1">
      <c r="B171" s="562" t="s">
        <v>443</v>
      </c>
      <c r="C171" s="21">
        <v>2.2000000000000002</v>
      </c>
      <c r="D171" s="1266" t="s">
        <v>444</v>
      </c>
      <c r="E171" s="168">
        <v>0.95040678482214203</v>
      </c>
      <c r="F171" s="168">
        <f>0.325358287131915</f>
        <v>0.325358287131915</v>
      </c>
      <c r="G171" s="21">
        <v>7.7114294091581104E-2</v>
      </c>
      <c r="H171" s="1294" t="s">
        <v>445</v>
      </c>
      <c r="I171" s="1295" t="s">
        <v>446</v>
      </c>
    </row>
    <row r="172" spans="2:9" ht="14.5" hidden="1" outlineLevel="1" thickBot="1">
      <c r="B172" s="565" t="s">
        <v>447</v>
      </c>
      <c r="C172" s="22">
        <v>0.1</v>
      </c>
      <c r="D172" s="1267" t="s">
        <v>444</v>
      </c>
      <c r="E172" s="22">
        <v>0.23899999999999999</v>
      </c>
      <c r="F172" s="22">
        <v>0.23899999999999999</v>
      </c>
      <c r="G172" s="22">
        <v>0.23899999999999999</v>
      </c>
      <c r="H172" s="1296" t="s">
        <v>448</v>
      </c>
      <c r="I172" s="1297" t="s">
        <v>449</v>
      </c>
    </row>
    <row r="173" spans="2:9" hidden="1" outlineLevel="1"/>
    <row r="174" spans="2:9" hidden="1" outlineLevel="1">
      <c r="B174" s="1251" t="s">
        <v>450</v>
      </c>
    </row>
    <row r="175" spans="2:9" hidden="1" outlineLevel="1"/>
    <row r="176" spans="2:9" hidden="1" outlineLevel="1">
      <c r="B176" s="1488" t="s">
        <v>4934</v>
      </c>
    </row>
    <row r="177" spans="2:5" hidden="1" outlineLevel="1"/>
    <row r="178" spans="2:5" hidden="1" outlineLevel="1">
      <c r="B178" s="1251" t="s">
        <v>451</v>
      </c>
    </row>
    <row r="179" spans="2:5" hidden="1" outlineLevel="1">
      <c r="B179" s="1496" t="s">
        <v>4961</v>
      </c>
    </row>
    <row r="180" spans="2:5" hidden="1" outlineLevel="1">
      <c r="B180" s="1251" t="s">
        <v>452</v>
      </c>
      <c r="C180" s="1251"/>
    </row>
    <row r="181" spans="2:5" ht="14.5" hidden="1" outlineLevel="1" thickBot="1"/>
    <row r="182" spans="2:5" ht="28" hidden="1" outlineLevel="1">
      <c r="B182" s="456"/>
      <c r="C182" s="404" t="s">
        <v>453</v>
      </c>
      <c r="D182" s="404" t="s">
        <v>454</v>
      </c>
      <c r="E182" s="405" t="s">
        <v>455</v>
      </c>
    </row>
    <row r="183" spans="2:5" hidden="1" outlineLevel="1">
      <c r="B183" s="562" t="s">
        <v>456</v>
      </c>
      <c r="C183" s="168">
        <v>4.1447842011216416</v>
      </c>
      <c r="D183" s="168">
        <v>2.7000763163401724</v>
      </c>
      <c r="E183" s="132">
        <v>2.7000763163401724</v>
      </c>
    </row>
    <row r="184" spans="2:5" hidden="1" outlineLevel="1">
      <c r="B184" s="562" t="s">
        <v>457</v>
      </c>
      <c r="C184" s="1298">
        <v>5.2086138151534085</v>
      </c>
      <c r="D184" s="168">
        <v>4.7045122017662404</v>
      </c>
      <c r="E184" s="132">
        <v>4.5043034213792108</v>
      </c>
    </row>
    <row r="185" spans="2:5" hidden="1" outlineLevel="1">
      <c r="B185" s="644" t="s">
        <v>458</v>
      </c>
      <c r="C185" s="549">
        <v>2.1147949266087123</v>
      </c>
      <c r="D185" s="549">
        <v>0.73968823169021314</v>
      </c>
      <c r="E185" s="389">
        <v>0.19355144700147844</v>
      </c>
    </row>
    <row r="186" spans="2:5" ht="14.5" hidden="1" outlineLevel="1" thickBot="1">
      <c r="B186" s="565" t="s">
        <v>459</v>
      </c>
      <c r="C186" s="1299">
        <f>1.1*'Annexe - Matériaux'!F85</f>
        <v>1.6204435681217522</v>
      </c>
      <c r="D186" s="1299">
        <f>1.1*'Annexe - Matériaux'!E85</f>
        <v>0.5547358795599151</v>
      </c>
      <c r="E186" s="1300">
        <f>1.1*'Annexe - Matériaux'!D85</f>
        <v>0.13147987142614578</v>
      </c>
    </row>
    <row r="187" spans="2:5" ht="14.5" hidden="1" outlineLevel="1" thickBot="1">
      <c r="B187" s="571" t="s">
        <v>460</v>
      </c>
      <c r="C187" s="34">
        <f>SUM(C183:C186)</f>
        <v>13.088636511005516</v>
      </c>
      <c r="D187" s="34">
        <f>SUM(D183:D186)</f>
        <v>8.6990126293565417</v>
      </c>
      <c r="E187" s="680">
        <f>SUM(E183:E186)</f>
        <v>7.5294110561470085</v>
      </c>
    </row>
    <row r="188" spans="2:5" hidden="1" outlineLevel="1"/>
    <row r="189" spans="2:5" collapsed="1"/>
    <row r="190" spans="2:5" ht="15.5">
      <c r="B190" s="679" t="s">
        <v>461</v>
      </c>
    </row>
    <row r="192" spans="2:5" hidden="1" outlineLevel="1">
      <c r="B192" t="s">
        <v>462</v>
      </c>
    </row>
    <row r="193" spans="2:6" hidden="1" outlineLevel="1">
      <c r="B193" s="87" t="s">
        <v>463</v>
      </c>
      <c r="C193" t="s">
        <v>464</v>
      </c>
    </row>
    <row r="194" spans="2:6" hidden="1" outlineLevel="1">
      <c r="B194" s="87" t="s">
        <v>465</v>
      </c>
      <c r="C194" t="s">
        <v>466</v>
      </c>
    </row>
    <row r="195" spans="2:6" hidden="1" outlineLevel="1">
      <c r="B195" s="87" t="s">
        <v>467</v>
      </c>
      <c r="C195" t="s">
        <v>468</v>
      </c>
    </row>
    <row r="196" spans="2:6" hidden="1" outlineLevel="1"/>
    <row r="197" spans="2:6" hidden="1" outlineLevel="1">
      <c r="B197" t="s">
        <v>469</v>
      </c>
    </row>
    <row r="198" spans="2:6" hidden="1" outlineLevel="1">
      <c r="B198" s="1251" t="s">
        <v>470</v>
      </c>
    </row>
    <row r="199" spans="2:6" hidden="1" outlineLevel="1"/>
    <row r="200" spans="2:6" hidden="1" outlineLevel="1">
      <c r="B200" s="1251" t="s">
        <v>471</v>
      </c>
    </row>
    <row r="201" spans="2:6" hidden="1" outlineLevel="1"/>
    <row r="202" spans="2:6" ht="14.5" hidden="1" outlineLevel="1" thickBot="1">
      <c r="B202" s="1251" t="s">
        <v>473</v>
      </c>
    </row>
    <row r="203" spans="2:6" ht="29" hidden="1" customHeight="1" outlineLevel="1">
      <c r="B203" s="456"/>
      <c r="C203" s="404" t="s">
        <v>474</v>
      </c>
      <c r="D203" s="404" t="s">
        <v>475</v>
      </c>
      <c r="E203" s="404" t="s">
        <v>476</v>
      </c>
      <c r="F203" s="405" t="s">
        <v>70</v>
      </c>
    </row>
    <row r="204" spans="2:6" hidden="1" outlineLevel="1">
      <c r="B204" s="562" t="s">
        <v>477</v>
      </c>
      <c r="C204" s="168">
        <f>C184</f>
        <v>5.2086138151534085</v>
      </c>
      <c r="D204" s="168">
        <f t="shared" ref="C204:E205" si="10">D184</f>
        <v>4.7045122017662404</v>
      </c>
      <c r="E204" s="168">
        <f t="shared" si="10"/>
        <v>4.5043034213792108</v>
      </c>
      <c r="F204" s="1301" t="s">
        <v>478</v>
      </c>
    </row>
    <row r="205" spans="2:6" ht="14.5" hidden="1" outlineLevel="1" thickBot="1">
      <c r="B205" s="565" t="s">
        <v>458</v>
      </c>
      <c r="C205" s="170">
        <f t="shared" si="10"/>
        <v>2.1147949266087123</v>
      </c>
      <c r="D205" s="170">
        <f t="shared" si="10"/>
        <v>0.73968823169021314</v>
      </c>
      <c r="E205" s="170">
        <f t="shared" si="10"/>
        <v>0.19355144700147844</v>
      </c>
      <c r="F205" s="1265" t="s">
        <v>478</v>
      </c>
    </row>
    <row r="206" spans="2:6" hidden="1" outlineLevel="1"/>
    <row r="207" spans="2:6" hidden="1" outlineLevel="1">
      <c r="B207" s="1251" t="s">
        <v>479</v>
      </c>
    </row>
    <row r="208" spans="2:6" hidden="1" outlineLevel="1"/>
    <row r="209" spans="1:5" ht="14.5" hidden="1" outlineLevel="1" thickBot="1">
      <c r="B209" t="s">
        <v>480</v>
      </c>
    </row>
    <row r="210" spans="1:5" ht="30" hidden="1" customHeight="1" outlineLevel="1">
      <c r="B210" s="456"/>
      <c r="C210" s="404" t="s">
        <v>474</v>
      </c>
      <c r="D210" s="404" t="s">
        <v>475</v>
      </c>
      <c r="E210" s="405" t="s">
        <v>476</v>
      </c>
    </row>
    <row r="211" spans="1:5" ht="14.5" hidden="1" outlineLevel="1" thickBot="1">
      <c r="B211" s="565" t="s">
        <v>459</v>
      </c>
      <c r="C211" s="1299">
        <f>'Annexe - Matériaux'!F85</f>
        <v>1.47313051647432</v>
      </c>
      <c r="D211" s="1299">
        <f>'Annexe - Matériaux'!E85</f>
        <v>0.50430534505446822</v>
      </c>
      <c r="E211" s="1300">
        <f>'Annexe - Matériaux'!D85</f>
        <v>0.1195271558419507</v>
      </c>
    </row>
    <row r="212" spans="1:5" hidden="1" outlineLevel="1"/>
    <row r="213" spans="1:5" ht="14.5" hidden="1" outlineLevel="1" thickBot="1">
      <c r="B213" t="s">
        <v>481</v>
      </c>
    </row>
    <row r="214" spans="1:5" ht="30" hidden="1" customHeight="1" outlineLevel="1">
      <c r="B214" s="456"/>
      <c r="C214" s="404" t="s">
        <v>474</v>
      </c>
      <c r="D214" s="404" t="s">
        <v>475</v>
      </c>
      <c r="E214" s="405" t="s">
        <v>476</v>
      </c>
    </row>
    <row r="215" spans="1:5" hidden="1" outlineLevel="1">
      <c r="A215" s="1251" t="s">
        <v>4935</v>
      </c>
      <c r="B215" s="562" t="s">
        <v>84</v>
      </c>
      <c r="C215" s="1302">
        <v>3.5037821992650593</v>
      </c>
      <c r="D215" s="1302">
        <v>3.0647791476276791</v>
      </c>
      <c r="E215" s="1303">
        <v>3.0647791476276791</v>
      </c>
    </row>
    <row r="216" spans="1:5" ht="14.5" hidden="1" outlineLevel="1" thickBot="1">
      <c r="B216" s="565" t="s">
        <v>187</v>
      </c>
      <c r="C216" s="1299">
        <v>6.7803224344395367</v>
      </c>
      <c r="D216" s="1299">
        <v>3.960001858879699</v>
      </c>
      <c r="E216" s="1300">
        <v>2.9047383658146306</v>
      </c>
    </row>
    <row r="217" spans="1:5" ht="14.5" hidden="1" outlineLevel="1" thickBot="1">
      <c r="B217" s="571" t="s">
        <v>460</v>
      </c>
      <c r="C217" s="34">
        <f>SUM(C215:C216)</f>
        <v>10.284104633704596</v>
      </c>
      <c r="D217" s="34">
        <f>SUM(D215:D216)</f>
        <v>7.0247810065073786</v>
      </c>
      <c r="E217" s="680">
        <f>SUM(E215:E216)</f>
        <v>5.9695175134423097</v>
      </c>
    </row>
    <row r="218" spans="1:5" collapsed="1"/>
    <row r="219" spans="1:5" ht="20">
      <c r="B219" s="216" t="s">
        <v>482</v>
      </c>
    </row>
    <row r="221" spans="1:5">
      <c r="B221" s="1251" t="s">
        <v>483</v>
      </c>
    </row>
    <row r="223" spans="1:5" ht="15.5">
      <c r="B223" s="679" t="s">
        <v>484</v>
      </c>
    </row>
    <row r="225" spans="2:10" hidden="1" outlineLevel="1">
      <c r="B225" t="s">
        <v>485</v>
      </c>
    </row>
    <row r="226" spans="2:10" hidden="1" outlineLevel="1">
      <c r="B226" s="1251" t="s">
        <v>486</v>
      </c>
    </row>
    <row r="227" spans="2:10" ht="14.5" hidden="1" outlineLevel="1" thickBot="1">
      <c r="B227" s="87" t="s">
        <v>487</v>
      </c>
    </row>
    <row r="228" spans="2:10" ht="28" hidden="1" outlineLevel="1">
      <c r="B228" s="456" t="s">
        <v>488</v>
      </c>
      <c r="C228" s="404" t="s">
        <v>489</v>
      </c>
      <c r="D228" s="404" t="s">
        <v>490</v>
      </c>
      <c r="E228" s="404" t="s">
        <v>491</v>
      </c>
      <c r="F228" s="404" t="s">
        <v>492</v>
      </c>
      <c r="G228" s="405" t="s">
        <v>493</v>
      </c>
    </row>
    <row r="229" spans="2:10" hidden="1" outlineLevel="1">
      <c r="B229" s="562" t="s">
        <v>182</v>
      </c>
      <c r="C229" s="168">
        <f>AVERAGE(D229:G229)</f>
        <v>146.32</v>
      </c>
      <c r="D229" s="21">
        <v>146.32</v>
      </c>
      <c r="E229" s="21">
        <v>146.32</v>
      </c>
      <c r="F229" s="21">
        <v>146.32</v>
      </c>
      <c r="G229" s="17">
        <v>146.32</v>
      </c>
    </row>
    <row r="230" spans="2:10" hidden="1" outlineLevel="1">
      <c r="B230" s="562" t="s">
        <v>494</v>
      </c>
      <c r="C230" s="168">
        <f>AVERAGE(D230:G230)</f>
        <v>13.83</v>
      </c>
      <c r="D230" s="21">
        <v>13.83</v>
      </c>
      <c r="E230" s="21">
        <v>13.83</v>
      </c>
      <c r="F230" s="21">
        <v>13.83</v>
      </c>
      <c r="G230" s="17">
        <v>13.83</v>
      </c>
      <c r="J230" s="435"/>
    </row>
    <row r="231" spans="2:10" hidden="1" outlineLevel="1">
      <c r="B231" s="562" t="s">
        <v>495</v>
      </c>
      <c r="C231" s="168">
        <f>AVERAGE(D231:G231)</f>
        <v>23.825000000000003</v>
      </c>
      <c r="D231" s="21">
        <v>19.3</v>
      </c>
      <c r="E231" s="21">
        <v>25.32</v>
      </c>
      <c r="F231" s="21">
        <v>25.34</v>
      </c>
      <c r="G231" s="17">
        <v>25.34</v>
      </c>
    </row>
    <row r="232" spans="2:10" ht="14.5" hidden="1" outlineLevel="1" thickBot="1">
      <c r="B232" s="565" t="s">
        <v>496</v>
      </c>
      <c r="C232" s="170">
        <f>AVERAGE(D232:G232)</f>
        <v>5.1100000000000003</v>
      </c>
      <c r="D232" s="22">
        <v>5.1100000000000003</v>
      </c>
      <c r="E232" s="22">
        <v>5.1100000000000003</v>
      </c>
      <c r="F232" s="22">
        <v>5.1100000000000003</v>
      </c>
      <c r="G232" s="38">
        <v>5.1100000000000003</v>
      </c>
    </row>
    <row r="233" spans="2:10" hidden="1" outlineLevel="1"/>
    <row r="234" spans="2:10" hidden="1" outlineLevel="1">
      <c r="B234" t="s">
        <v>497</v>
      </c>
    </row>
    <row r="235" spans="2:10" hidden="1" outlineLevel="1"/>
    <row r="236" spans="2:10" ht="14.5" hidden="1" outlineLevel="1" thickBot="1">
      <c r="B236" t="s">
        <v>498</v>
      </c>
    </row>
    <row r="237" spans="2:10" ht="14.5" hidden="1" outlineLevel="1" thickBot="1">
      <c r="B237" s="571" t="s">
        <v>499</v>
      </c>
      <c r="C237" s="371">
        <v>1.5824730304037984</v>
      </c>
      <c r="D237" s="243" t="s">
        <v>500</v>
      </c>
    </row>
    <row r="238" spans="2:10" hidden="1" outlineLevel="1"/>
    <row r="239" spans="2:10" collapsed="1"/>
    <row r="240" spans="2:10" ht="15.5">
      <c r="B240" s="679" t="s">
        <v>501</v>
      </c>
    </row>
    <row r="242" spans="2:11" hidden="1" outlineLevel="1">
      <c r="B242" s="1251" t="s">
        <v>486</v>
      </c>
    </row>
    <row r="243" spans="2:11" ht="14.5" hidden="1" outlineLevel="1" thickBot="1">
      <c r="B243" s="87" t="s">
        <v>487</v>
      </c>
    </row>
    <row r="244" spans="2:11" ht="42" hidden="1" outlineLevel="1">
      <c r="B244" s="456" t="s">
        <v>488</v>
      </c>
      <c r="C244" s="404" t="s">
        <v>502</v>
      </c>
      <c r="D244" s="404" t="s">
        <v>503</v>
      </c>
      <c r="E244" s="404" t="s">
        <v>504</v>
      </c>
      <c r="F244" s="404" t="s">
        <v>505</v>
      </c>
      <c r="G244" s="404" t="s">
        <v>506</v>
      </c>
      <c r="H244" s="404" t="s">
        <v>507</v>
      </c>
      <c r="I244" s="404" t="s">
        <v>508</v>
      </c>
      <c r="J244" s="404" t="s">
        <v>509</v>
      </c>
      <c r="K244" s="405" t="s">
        <v>510</v>
      </c>
    </row>
    <row r="245" spans="2:11" hidden="1" outlineLevel="1">
      <c r="B245" s="562" t="s">
        <v>511</v>
      </c>
      <c r="C245" s="11">
        <f>SUM(D245:K245)</f>
        <v>1160.79</v>
      </c>
      <c r="D245" s="21">
        <v>11.65</v>
      </c>
      <c r="E245" s="21">
        <v>183.26</v>
      </c>
      <c r="F245" s="21">
        <v>231.8</v>
      </c>
      <c r="G245" s="21">
        <v>115.94</v>
      </c>
      <c r="H245" s="21">
        <v>36.520000000000003</v>
      </c>
      <c r="I245" s="21">
        <v>23.3</v>
      </c>
      <c r="J245" s="21">
        <v>375.06</v>
      </c>
      <c r="K245" s="17">
        <v>183.26</v>
      </c>
    </row>
    <row r="246" spans="2:11" hidden="1" outlineLevel="1">
      <c r="B246" s="562" t="s">
        <v>495</v>
      </c>
      <c r="C246" s="11">
        <f>SUM(D246:K246)</f>
        <v>203.625</v>
      </c>
      <c r="D246" s="21">
        <v>26.085000000000001</v>
      </c>
      <c r="E246" s="21">
        <v>12.64</v>
      </c>
      <c r="F246" s="21">
        <v>8.1300000000000008</v>
      </c>
      <c r="G246" s="21">
        <v>7.67</v>
      </c>
      <c r="H246" s="21">
        <v>71.62</v>
      </c>
      <c r="I246" s="21">
        <v>52.17</v>
      </c>
      <c r="J246" s="21">
        <v>12.67</v>
      </c>
      <c r="K246" s="17">
        <v>12.64</v>
      </c>
    </row>
    <row r="247" spans="2:11" ht="14.5" hidden="1" outlineLevel="1" thickBot="1">
      <c r="B247" s="565" t="s">
        <v>496</v>
      </c>
      <c r="C247" s="14">
        <f>SUM(D247:K247)</f>
        <v>109.37499999999999</v>
      </c>
      <c r="D247" s="22">
        <v>7.9450000000000003</v>
      </c>
      <c r="E247" s="22">
        <v>15.55</v>
      </c>
      <c r="F247" s="22">
        <v>12.94</v>
      </c>
      <c r="G247" s="22">
        <v>18.149999999999999</v>
      </c>
      <c r="H247" s="22">
        <v>8.69</v>
      </c>
      <c r="I247" s="22">
        <v>15.89</v>
      </c>
      <c r="J247" s="22">
        <v>14.66</v>
      </c>
      <c r="K247" s="38">
        <v>15.55</v>
      </c>
    </row>
    <row r="248" spans="2:11" hidden="1" outlineLevel="1"/>
    <row r="249" spans="2:11" hidden="1" outlineLevel="1">
      <c r="B249" t="s">
        <v>497</v>
      </c>
    </row>
    <row r="250" spans="2:11" hidden="1" outlineLevel="1"/>
    <row r="251" spans="2:11" ht="14.5" hidden="1" outlineLevel="1" thickBot="1">
      <c r="B251" t="s">
        <v>498</v>
      </c>
    </row>
    <row r="252" spans="2:11" ht="14.5" hidden="1" outlineLevel="1" thickBot="1">
      <c r="F252" s="1304" t="s">
        <v>512</v>
      </c>
      <c r="G252" s="239"/>
      <c r="H252" s="240"/>
    </row>
    <row r="253" spans="2:11" ht="14.5" hidden="1" outlineLevel="1" thickBot="1">
      <c r="B253" s="571" t="s">
        <v>499</v>
      </c>
      <c r="C253" s="371">
        <v>1.8744728713532801</v>
      </c>
      <c r="D253" s="1305" t="s">
        <v>513</v>
      </c>
      <c r="F253" s="1306" t="s">
        <v>514</v>
      </c>
      <c r="G253" s="241"/>
      <c r="H253" s="236"/>
    </row>
    <row r="254" spans="2:11" hidden="1" outlineLevel="1"/>
    <row r="255" spans="2:11" collapsed="1"/>
    <row r="256" spans="2:11" ht="20">
      <c r="B256" s="216" t="s">
        <v>515</v>
      </c>
    </row>
    <row r="258" spans="2:5" hidden="1" outlineLevel="1">
      <c r="B258" s="1488" t="s">
        <v>4936</v>
      </c>
    </row>
    <row r="259" spans="2:5" hidden="1" outlineLevel="1">
      <c r="B259" s="1251" t="s">
        <v>516</v>
      </c>
    </row>
    <row r="260" spans="2:5" hidden="1" outlineLevel="1">
      <c r="B260" s="1251" t="s">
        <v>517</v>
      </c>
    </row>
    <row r="261" spans="2:5" hidden="1" outlineLevel="1"/>
    <row r="262" spans="2:5" ht="14.5" hidden="1" outlineLevel="1" thickBot="1">
      <c r="B262" s="1251" t="s">
        <v>518</v>
      </c>
    </row>
    <row r="263" spans="2:5" ht="42" hidden="1" outlineLevel="1">
      <c r="B263" s="456" t="s">
        <v>20</v>
      </c>
      <c r="C263" s="404" t="s">
        <v>519</v>
      </c>
      <c r="D263" s="404" t="s">
        <v>520</v>
      </c>
      <c r="E263" s="405" t="s">
        <v>521</v>
      </c>
    </row>
    <row r="264" spans="2:5" hidden="1" outlineLevel="1">
      <c r="B264" s="562" t="s">
        <v>93</v>
      </c>
      <c r="C264" s="229">
        <v>7.0000000000000007E-2</v>
      </c>
      <c r="D264" s="168">
        <f>SUM('Annexe - stérilisation'!C$12:G$12)</f>
        <v>0.23395492613228319</v>
      </c>
      <c r="E264" s="682">
        <f>C264*D264</f>
        <v>1.6376844829259826E-2</v>
      </c>
    </row>
    <row r="265" spans="2:5" hidden="1" outlineLevel="1">
      <c r="B265" s="562" t="s">
        <v>198</v>
      </c>
      <c r="C265" s="229">
        <v>1</v>
      </c>
      <c r="D265" s="168">
        <f>SUM('Annexe - stérilisation'!C$12:G$12)</f>
        <v>0.23395492613228319</v>
      </c>
      <c r="E265" s="682">
        <f>C265*D265</f>
        <v>0.23395492613228319</v>
      </c>
    </row>
    <row r="266" spans="2:5" ht="14.5" hidden="1" outlineLevel="1" thickBot="1">
      <c r="B266" s="565" t="s">
        <v>360</v>
      </c>
      <c r="C266" s="376">
        <v>1</v>
      </c>
      <c r="D266" s="170">
        <f>SUM('Annexe - stérilisation'!C$12:G$12)</f>
        <v>0.23395492613228319</v>
      </c>
      <c r="E266" s="683">
        <f>C266*D266</f>
        <v>0.23395492613228319</v>
      </c>
    </row>
    <row r="267" spans="2:5" hidden="1" outlineLevel="1"/>
    <row r="268" spans="2:5" collapsed="1"/>
    <row r="269" spans="2:5" ht="20">
      <c r="B269" s="216" t="s">
        <v>522</v>
      </c>
    </row>
    <row r="271" spans="2:5" hidden="1" outlineLevel="1">
      <c r="B271" s="3" t="s">
        <v>523</v>
      </c>
    </row>
    <row r="272" spans="2:5" hidden="1" outlineLevel="1">
      <c r="B272" s="1251" t="s">
        <v>524</v>
      </c>
    </row>
    <row r="273" spans="2:17" ht="14.5" hidden="1" outlineLevel="1" thickBot="1"/>
    <row r="274" spans="2:17" ht="14.5" hidden="1" outlineLevel="1">
      <c r="B274" s="123" t="s">
        <v>525</v>
      </c>
      <c r="C274" s="155" t="s">
        <v>526</v>
      </c>
      <c r="D274" s="155" t="s">
        <v>87</v>
      </c>
      <c r="E274" s="374" t="s">
        <v>165</v>
      </c>
      <c r="F274" s="375" t="s">
        <v>175</v>
      </c>
      <c r="G274" s="375" t="s">
        <v>163</v>
      </c>
      <c r="H274" s="375" t="s">
        <v>169</v>
      </c>
      <c r="I274" s="375" t="s">
        <v>161</v>
      </c>
      <c r="J274" s="375" t="s">
        <v>153</v>
      </c>
      <c r="K274" s="375" t="s">
        <v>171</v>
      </c>
      <c r="L274" s="375" t="s">
        <v>527</v>
      </c>
      <c r="M274" s="375" t="s">
        <v>167</v>
      </c>
      <c r="N274" s="375" t="s">
        <v>173</v>
      </c>
      <c r="O274" s="375" t="s">
        <v>159</v>
      </c>
      <c r="P274" s="375" t="s">
        <v>154</v>
      </c>
      <c r="Q274" s="378" t="s">
        <v>157</v>
      </c>
    </row>
    <row r="275" spans="2:17" ht="30.5" hidden="1" customHeight="1" outlineLevel="1">
      <c r="B275" s="10" t="s">
        <v>528</v>
      </c>
      <c r="C275" s="11">
        <v>40151200</v>
      </c>
      <c r="D275" s="1307" t="s">
        <v>93</v>
      </c>
      <c r="E275" s="229">
        <v>1.3130484223649851E-5</v>
      </c>
      <c r="F275" s="297">
        <v>2.934186418692704E-7</v>
      </c>
      <c r="G275" s="297">
        <v>5.1568326308524273E-5</v>
      </c>
      <c r="H275" s="297">
        <v>7.3317983137083939E-4</v>
      </c>
      <c r="I275" s="297">
        <v>0.46082710753991279</v>
      </c>
      <c r="J275" s="297">
        <v>0.3590850737276689</v>
      </c>
      <c r="K275" s="297">
        <v>6.0965791860992328E-3</v>
      </c>
      <c r="L275" s="297">
        <v>9.6828151816859237E-6</v>
      </c>
      <c r="M275" s="297">
        <v>4.3279249675717381E-6</v>
      </c>
      <c r="N275" s="297">
        <v>4.4012796280390557E-6</v>
      </c>
      <c r="O275" s="297">
        <v>6.8968051771372012E-4</v>
      </c>
      <c r="P275" s="297">
        <v>0.1667793761024747</v>
      </c>
      <c r="Q275" s="380">
        <v>5.7055988458084303E-3</v>
      </c>
    </row>
    <row r="276" spans="2:17" ht="30.5" hidden="1" customHeight="1" outlineLevel="1">
      <c r="B276" s="10" t="s">
        <v>529</v>
      </c>
      <c r="C276" s="11">
        <v>62101092</v>
      </c>
      <c r="D276" s="1308" t="s">
        <v>182</v>
      </c>
      <c r="E276" s="229">
        <v>3.3102906350031359E-2</v>
      </c>
      <c r="F276" s="297">
        <v>1.8656041180599061E-7</v>
      </c>
      <c r="G276" s="297">
        <v>1.3156240240558457E-3</v>
      </c>
      <c r="H276" s="297">
        <v>5.7977379176947699E-3</v>
      </c>
      <c r="I276" s="297">
        <v>0.30474326115808498</v>
      </c>
      <c r="J276" s="297">
        <v>0.6330843622450979</v>
      </c>
      <c r="K276" s="297">
        <v>7.0892956486276433E-6</v>
      </c>
      <c r="L276" s="297">
        <v>1.3562941938295516E-4</v>
      </c>
      <c r="M276" s="297">
        <v>5.0930992423035436E-5</v>
      </c>
      <c r="N276" s="297">
        <v>0</v>
      </c>
      <c r="O276" s="297">
        <v>4.5955426240169668E-3</v>
      </c>
      <c r="P276" s="297">
        <v>1.17811034451365E-2</v>
      </c>
      <c r="Q276" s="380">
        <v>5.3856259680153369E-3</v>
      </c>
    </row>
    <row r="277" spans="2:17" ht="29.5" hidden="1" outlineLevel="1" thickBot="1">
      <c r="B277" s="13" t="s">
        <v>389</v>
      </c>
      <c r="C277" s="14">
        <v>63079092</v>
      </c>
      <c r="D277" s="1309" t="s">
        <v>360</v>
      </c>
      <c r="E277" s="376">
        <v>4.4246210742499466E-3</v>
      </c>
      <c r="F277" s="298">
        <v>1.9220073444705652E-5</v>
      </c>
      <c r="G277" s="298">
        <v>2.3949012348496771E-3</v>
      </c>
      <c r="H277" s="298">
        <v>1.1270971402532805E-2</v>
      </c>
      <c r="I277" s="298">
        <v>7.3774650244715578E-2</v>
      </c>
      <c r="J277" s="298">
        <v>0.79860205999145506</v>
      </c>
      <c r="K277" s="298">
        <v>6.1263984104999259E-5</v>
      </c>
      <c r="L277" s="298">
        <v>7.7280711975587297E-5</v>
      </c>
      <c r="M277" s="298">
        <v>2.8309566511264364E-4</v>
      </c>
      <c r="N277" s="298">
        <v>8.0083639352940206E-7</v>
      </c>
      <c r="O277" s="298">
        <v>1.5011678196708643E-3</v>
      </c>
      <c r="P277" s="298">
        <v>5.8972791183111641E-2</v>
      </c>
      <c r="Q277" s="381">
        <v>4.861717577838294E-2</v>
      </c>
    </row>
    <row r="278" spans="2:17" hidden="1" outlineLevel="1"/>
    <row r="279" spans="2:17" hidden="1" outlineLevel="1">
      <c r="B279" s="1251" t="s">
        <v>530</v>
      </c>
    </row>
    <row r="280" spans="2:17" hidden="1" outlineLevel="1">
      <c r="B280" s="1251"/>
    </row>
    <row r="281" spans="2:17" hidden="1" outlineLevel="1">
      <c r="B281" s="1251" t="s">
        <v>531</v>
      </c>
      <c r="C281" s="87"/>
    </row>
    <row r="282" spans="2:17" hidden="1" outlineLevel="1">
      <c r="B282" s="1251" t="s">
        <v>532</v>
      </c>
      <c r="C282" s="1310"/>
      <c r="D282" s="1251"/>
    </row>
    <row r="283" spans="2:17" hidden="1" outlineLevel="1">
      <c r="B283" s="1251"/>
      <c r="C283" s="1251"/>
      <c r="D283" s="1251"/>
    </row>
    <row r="284" spans="2:17" ht="14.5" hidden="1" outlineLevel="1" thickBot="1">
      <c r="B284" s="1251" t="s">
        <v>533</v>
      </c>
      <c r="C284" s="1251"/>
      <c r="D284" s="1251"/>
    </row>
    <row r="285" spans="2:17" ht="14.5" hidden="1" outlineLevel="1">
      <c r="B285" s="123"/>
      <c r="C285" s="379" t="s">
        <v>534</v>
      </c>
      <c r="D285" s="1251"/>
    </row>
    <row r="286" spans="2:17" ht="14.5" hidden="1" outlineLevel="1">
      <c r="B286" s="10" t="s">
        <v>93</v>
      </c>
      <c r="C286" s="311">
        <f>P275/(1+P275)/2</f>
        <v>7.1469970895263316E-2</v>
      </c>
      <c r="D286" s="1251"/>
    </row>
    <row r="287" spans="2:17" ht="14.5" hidden="1" outlineLevel="1">
      <c r="B287" s="25" t="s">
        <v>182</v>
      </c>
      <c r="C287" s="377">
        <f>P276/(1+P276)/2</f>
        <v>5.8219625791693427E-3</v>
      </c>
      <c r="D287" s="1251"/>
    </row>
    <row r="288" spans="2:17" ht="15" hidden="1" outlineLevel="1" thickBot="1">
      <c r="B288" s="13" t="s">
        <v>360</v>
      </c>
      <c r="C288" s="313">
        <f>P277/(1+P277)/2</f>
        <v>2.7844337302200994E-2</v>
      </c>
      <c r="D288" s="1251"/>
    </row>
    <row r="289" spans="2:11" hidden="1" outlineLevel="1">
      <c r="B289" s="1251"/>
      <c r="C289" s="1251"/>
      <c r="D289" s="1251"/>
      <c r="G289" s="1251"/>
      <c r="H289" s="1251"/>
    </row>
    <row r="290" spans="2:11" ht="14.5" hidden="1" outlineLevel="1" thickBot="1">
      <c r="B290" s="1251" t="s">
        <v>535</v>
      </c>
      <c r="C290" s="1251"/>
      <c r="D290" s="1251"/>
    </row>
    <row r="291" spans="2:11" ht="29" hidden="1" outlineLevel="1">
      <c r="B291" s="123" t="s">
        <v>536</v>
      </c>
      <c r="C291" s="379" t="s">
        <v>537</v>
      </c>
      <c r="D291" s="1251"/>
    </row>
    <row r="292" spans="2:11" ht="15" hidden="1" outlineLevel="1" thickBot="1">
      <c r="B292" s="13" t="s">
        <v>538</v>
      </c>
      <c r="C292" s="686">
        <v>2.3E-3</v>
      </c>
      <c r="D292" s="1251"/>
    </row>
    <row r="293" spans="2:11" hidden="1" outlineLevel="1">
      <c r="B293" s="1251"/>
      <c r="C293" s="1251"/>
      <c r="D293" s="1251"/>
    </row>
    <row r="294" spans="2:11" hidden="1" outlineLevel="1">
      <c r="B294" s="1251" t="s">
        <v>539</v>
      </c>
      <c r="C294" s="1251"/>
      <c r="D294" s="1251"/>
    </row>
    <row r="295" spans="2:11" hidden="1" outlineLevel="1">
      <c r="B295" s="1251"/>
      <c r="C295" s="1251"/>
      <c r="D295" s="1251"/>
    </row>
    <row r="296" spans="2:11" ht="14.5" hidden="1" outlineLevel="1" thickBot="1">
      <c r="B296" s="1251" t="s">
        <v>540</v>
      </c>
      <c r="G296" s="1251"/>
      <c r="H296" s="1251"/>
    </row>
    <row r="297" spans="2:11" ht="15" hidden="1" outlineLevel="1" thickBot="1">
      <c r="B297" s="1251"/>
      <c r="C297" s="1534" t="s">
        <v>357</v>
      </c>
      <c r="D297" s="1535"/>
      <c r="E297" s="1536"/>
      <c r="F297" s="1534" t="s">
        <v>358</v>
      </c>
      <c r="G297" s="1535"/>
      <c r="H297" s="1536"/>
      <c r="I297" s="1534" t="s">
        <v>359</v>
      </c>
      <c r="J297" s="1535"/>
      <c r="K297" s="1536"/>
    </row>
    <row r="298" spans="2:11" ht="58" hidden="1" outlineLevel="1">
      <c r="B298" s="123" t="s">
        <v>525</v>
      </c>
      <c r="C298" s="158" t="s">
        <v>541</v>
      </c>
      <c r="D298" s="158" t="s">
        <v>542</v>
      </c>
      <c r="E298" s="159" t="s">
        <v>543</v>
      </c>
      <c r="F298" s="158" t="s">
        <v>541</v>
      </c>
      <c r="G298" s="158" t="s">
        <v>542</v>
      </c>
      <c r="H298" s="159" t="s">
        <v>543</v>
      </c>
      <c r="I298" s="158" t="s">
        <v>541</v>
      </c>
      <c r="J298" s="158" t="s">
        <v>542</v>
      </c>
      <c r="K298" s="159" t="s">
        <v>543</v>
      </c>
    </row>
    <row r="299" spans="2:11" ht="14.5" hidden="1" outlineLevel="1">
      <c r="B299" s="10" t="s">
        <v>93</v>
      </c>
      <c r="C299" s="11">
        <f>SUMPRODUCT(E275:O275,'Annexe - Logistique'!$D$12:$N$12)/SUM(E275:O275)</f>
        <v>1000</v>
      </c>
      <c r="D299" s="11">
        <f>SUMPRODUCT(E275:O275,'Annexe - Logistique'!$D$13:$N$13)/SUM(E275:O275)</f>
        <v>17875.188289797508</v>
      </c>
      <c r="E299" s="17">
        <f>500</f>
        <v>500</v>
      </c>
      <c r="F299" s="11">
        <f>SUMPRODUCT(P275:Q275,'Annexe - Logistique'!$O$12:$P$12)/SUM(P275:Q275)</f>
        <v>1019.84728993648</v>
      </c>
      <c r="G299" s="11">
        <v>0</v>
      </c>
      <c r="H299" s="17">
        <f>500</f>
        <v>500</v>
      </c>
      <c r="I299" s="11">
        <f>'Annexe - Logistique'!Q$12</f>
        <v>500</v>
      </c>
      <c r="J299" s="11">
        <v>0</v>
      </c>
      <c r="K299" s="17">
        <f>500</f>
        <v>500</v>
      </c>
    </row>
    <row r="300" spans="2:11" ht="14.5" hidden="1" outlineLevel="1">
      <c r="B300" s="10" t="s">
        <v>182</v>
      </c>
      <c r="C300" s="11">
        <f>SUMPRODUCT(E276:O276,'Annexe - Logistique'!$D$12:$N$12)/SUM(E276:O276)</f>
        <v>999.99999999999989</v>
      </c>
      <c r="D300" s="11">
        <f>SUMPRODUCT(E276:O276,'Annexe - Logistique'!$D$13:$N$13)/SUM(E276:O276)</f>
        <v>17658.272844688967</v>
      </c>
      <c r="E300" s="17">
        <f>500</f>
        <v>500</v>
      </c>
      <c r="F300" s="11">
        <f>SUMPRODUCT(P276:Q276,'Annexe - Logistique'!$O$12:$P$12)/SUM(P276:Q276)</f>
        <v>1188.2347827031963</v>
      </c>
      <c r="G300" s="11">
        <v>0</v>
      </c>
      <c r="H300" s="17">
        <f>500</f>
        <v>500</v>
      </c>
      <c r="I300" s="11">
        <f>'Annexe - Logistique'!Q$12</f>
        <v>500</v>
      </c>
      <c r="J300" s="11">
        <v>0</v>
      </c>
      <c r="K300" s="17">
        <f>500</f>
        <v>500</v>
      </c>
    </row>
    <row r="301" spans="2:11" ht="15" hidden="1" outlineLevel="1" thickBot="1">
      <c r="B301" s="13" t="s">
        <v>360</v>
      </c>
      <c r="C301" s="14">
        <f>SUMPRODUCT(E277:O277,'Annexe - Logistique'!$D$12:$N$12)/SUM(E277:O277)</f>
        <v>1000</v>
      </c>
      <c r="D301" s="14">
        <f>SUMPRODUCT(E277:O277,'Annexe - Logistique'!$D$13:$N$13)/SUM(E277:O277)</f>
        <v>18388.267104532024</v>
      </c>
      <c r="E301" s="38">
        <f>500</f>
        <v>500</v>
      </c>
      <c r="F301" s="14">
        <f>SUMPRODUCT(P277:Q277,'Annexe - Logistique'!$O$12:$P$12)/SUM(P277:Q277)</f>
        <v>1271.1247739063765</v>
      </c>
      <c r="G301" s="14">
        <v>0</v>
      </c>
      <c r="H301" s="38">
        <f>500</f>
        <v>500</v>
      </c>
      <c r="I301" s="14">
        <f>'Annexe - Logistique'!Q$12</f>
        <v>500</v>
      </c>
      <c r="J301" s="14">
        <v>0</v>
      </c>
      <c r="K301" s="38">
        <f>500</f>
        <v>500</v>
      </c>
    </row>
    <row r="302" spans="2:11" hidden="1" outlineLevel="1">
      <c r="B302" s="1251"/>
      <c r="C302" s="1251"/>
      <c r="D302" s="1251"/>
      <c r="G302" s="1251"/>
      <c r="H302" s="1251"/>
    </row>
    <row r="303" spans="2:11" ht="14.5" hidden="1" outlineLevel="1" thickBot="1">
      <c r="B303" s="1251" t="s">
        <v>544</v>
      </c>
      <c r="C303" s="1251"/>
      <c r="D303" s="1251"/>
      <c r="G303" s="1251"/>
      <c r="H303" s="1251"/>
    </row>
    <row r="304" spans="2:11" ht="29" hidden="1" outlineLevel="1">
      <c r="B304" s="123" t="s">
        <v>525</v>
      </c>
      <c r="C304" s="159" t="s">
        <v>545</v>
      </c>
      <c r="G304" s="1251"/>
      <c r="H304" s="1251"/>
    </row>
    <row r="305" spans="2:14" ht="14.5" hidden="1" outlineLevel="1">
      <c r="B305" s="10" t="s">
        <v>93</v>
      </c>
      <c r="C305" s="131">
        <f>0</f>
        <v>0</v>
      </c>
      <c r="D305" s="74"/>
      <c r="E305" s="74"/>
      <c r="G305" s="1251"/>
      <c r="H305" s="1251"/>
    </row>
    <row r="306" spans="2:14" ht="14.5" hidden="1" outlineLevel="1">
      <c r="B306" s="10" t="s">
        <v>182</v>
      </c>
      <c r="C306" s="132">
        <f>((C230+C231+C232)/C229)</f>
        <v>0.29227036632039366</v>
      </c>
      <c r="G306" s="1251"/>
      <c r="H306" s="1251"/>
    </row>
    <row r="307" spans="2:14" ht="15" hidden="1" outlineLevel="1" thickBot="1">
      <c r="B307" s="13" t="s">
        <v>360</v>
      </c>
      <c r="C307" s="1265">
        <f>((C247+C246)/C245)</f>
        <v>0.26964394937930203</v>
      </c>
      <c r="F307" s="23"/>
      <c r="G307" s="1251"/>
    </row>
    <row r="308" spans="2:14" hidden="1" outlineLevel="1">
      <c r="B308" s="1251"/>
      <c r="C308" s="1251"/>
      <c r="D308" s="1251"/>
      <c r="G308" s="1251"/>
      <c r="H308" s="1251"/>
    </row>
    <row r="309" spans="2:14" ht="14.5" hidden="1" outlineLevel="1" thickBot="1">
      <c r="B309" s="1251" t="s">
        <v>546</v>
      </c>
      <c r="D309" s="1251"/>
      <c r="G309" s="1251"/>
      <c r="H309" s="1251"/>
    </row>
    <row r="310" spans="2:14" ht="33" hidden="1" customHeight="1" outlineLevel="1">
      <c r="B310" s="218"/>
      <c r="C310" s="1532" t="s">
        <v>547</v>
      </c>
      <c r="D310" s="1533"/>
      <c r="E310" s="1533"/>
      <c r="F310" s="1533"/>
      <c r="G310" s="1532" t="s">
        <v>548</v>
      </c>
      <c r="H310" s="1533"/>
      <c r="I310" s="1533"/>
      <c r="J310" s="1533"/>
      <c r="K310" s="1532" t="s">
        <v>549</v>
      </c>
      <c r="L310" s="1533"/>
      <c r="M310" s="1533"/>
      <c r="N310" s="1533"/>
    </row>
    <row r="311" spans="2:14" ht="44" hidden="1" outlineLevel="1" thickBot="1">
      <c r="B311" s="453"/>
      <c r="C311" s="687" t="s">
        <v>550</v>
      </c>
      <c r="D311" s="688" t="s">
        <v>551</v>
      </c>
      <c r="E311" s="689" t="s">
        <v>552</v>
      </c>
      <c r="F311" s="689" t="s">
        <v>83</v>
      </c>
      <c r="G311" s="442" t="s">
        <v>550</v>
      </c>
      <c r="H311" s="167" t="s">
        <v>551</v>
      </c>
      <c r="I311" s="303" t="s">
        <v>552</v>
      </c>
      <c r="J311" s="303" t="s">
        <v>83</v>
      </c>
      <c r="K311" s="442" t="s">
        <v>550</v>
      </c>
      <c r="L311" s="167" t="s">
        <v>551</v>
      </c>
      <c r="M311" s="303" t="s">
        <v>552</v>
      </c>
      <c r="N311" s="303" t="s">
        <v>83</v>
      </c>
    </row>
    <row r="312" spans="2:14" ht="14.5" hidden="1" outlineLevel="1">
      <c r="B312" s="28" t="s">
        <v>93</v>
      </c>
      <c r="C312" s="690">
        <f>(1+$C305)*C299*'Annexe - Logistique'!$D$29/10^3</f>
        <v>0.20300000000000001</v>
      </c>
      <c r="D312" s="554">
        <f>(1+$C305)*D299*'Annexe - Logistique'!$D$28/10^3</f>
        <v>0.80974602952782704</v>
      </c>
      <c r="E312" s="554">
        <f>(1+$C305)*E299*'Annexe - Logistique'!$D$30/10^3</f>
        <v>7.7499999999999999E-2</v>
      </c>
      <c r="F312" s="693">
        <f>SUM(C312:E312)</f>
        <v>1.0902460295278269</v>
      </c>
      <c r="G312" s="690">
        <f>(1+$C305)*F299*'Annexe - Logistique'!$D$29/10^3</f>
        <v>0.20702899985710543</v>
      </c>
      <c r="H312" s="554">
        <f>(1+$C305)*G299*'Annexe - Logistique'!$D$28/10^3</f>
        <v>0</v>
      </c>
      <c r="I312" s="554">
        <f>(1+$C305)*H299*'Annexe - Logistique'!$D$30/10^3</f>
        <v>7.7499999999999999E-2</v>
      </c>
      <c r="J312" s="693">
        <f>SUM(G312:I312)</f>
        <v>0.28452899985710545</v>
      </c>
      <c r="K312" s="690">
        <f>(1+$C305)*I299*'Annexe - Logistique'!$D$29/10^3</f>
        <v>0.10150000000000001</v>
      </c>
      <c r="L312" s="554">
        <f>(1+$C305)*J299*'Annexe - Logistique'!$D$28/10^3</f>
        <v>0</v>
      </c>
      <c r="M312" s="554">
        <f>(1+$C305)*K299*'Annexe - Logistique'!$D$30/10^3</f>
        <v>7.7499999999999999E-2</v>
      </c>
      <c r="N312" s="693">
        <f>SUM(K312:M312)</f>
        <v>0.17899999999999999</v>
      </c>
    </row>
    <row r="313" spans="2:14" ht="14.5" hidden="1" outlineLevel="1">
      <c r="B313" s="28" t="s">
        <v>182</v>
      </c>
      <c r="C313" s="691">
        <f>(1+$C306)*C300*'Annexe - Logistique'!$D$29/10^3</f>
        <v>0.26233088436303986</v>
      </c>
      <c r="D313" s="168">
        <f>(1+$C306)*D300*'Annexe - Logistique'!$D$28/10^3</f>
        <v>1.0337126011069027</v>
      </c>
      <c r="E313" s="168">
        <f>(1+$C306)*E300*'Annexe - Logistique'!$D$30/10^3</f>
        <v>0.1001509533898305</v>
      </c>
      <c r="F313" s="694">
        <f>SUM(C313:E313)</f>
        <v>1.3961944388597731</v>
      </c>
      <c r="G313" s="691">
        <f>(1+$C306)*F300*'Annexe - Logistique'!$D$29/10^3</f>
        <v>0.311710681377454</v>
      </c>
      <c r="H313" s="168">
        <f>(1+$C306)*G300*'Annexe - Logistique'!$D$28/10^3</f>
        <v>0</v>
      </c>
      <c r="I313" s="168">
        <f>(1+$C306)*H300*'Annexe - Logistique'!$D$30/10^3</f>
        <v>0.1001509533898305</v>
      </c>
      <c r="J313" s="694">
        <f>SUM(G313:I313)</f>
        <v>0.41186163476728449</v>
      </c>
      <c r="K313" s="691">
        <f>(1+$C306)*I300*'Annexe - Logistique'!$D$29/10^3</f>
        <v>0.13116544218151996</v>
      </c>
      <c r="L313" s="168">
        <f>(1+$C306)*J300*'Annexe - Logistique'!$D$28/10^3</f>
        <v>0</v>
      </c>
      <c r="M313" s="168">
        <f>(1+$C306)*K300*'Annexe - Logistique'!$D$30/10^3</f>
        <v>0.1001509533898305</v>
      </c>
      <c r="N313" s="694">
        <f>SUM(K313:M313)</f>
        <v>0.23131639557135047</v>
      </c>
    </row>
    <row r="314" spans="2:14" ht="15" hidden="1" outlineLevel="1" thickBot="1">
      <c r="B314" s="30" t="s">
        <v>360</v>
      </c>
      <c r="C314" s="692">
        <f>(1+$C307)*C301*'Annexe - Logistique'!$D$29/10^3</f>
        <v>0.25773772172399834</v>
      </c>
      <c r="D314" s="170">
        <f>(1+$C307)*D301*'Annexe - Logistique'!$D$28/10^3</f>
        <v>1.0575988087184314</v>
      </c>
      <c r="E314" s="170">
        <f>(1+$C307)*E301*'Annexe - Logistique'!$D$30/10^3</f>
        <v>9.8397406076895899E-2</v>
      </c>
      <c r="F314" s="327">
        <f>SUM(C314:E314)</f>
        <v>1.4137339365193258</v>
      </c>
      <c r="G314" s="692">
        <f>(1+$C307)*F301*'Annexe - Logistique'!$D$29/10^3</f>
        <v>0.32761680325356202</v>
      </c>
      <c r="H314" s="170">
        <f>(1+$C307)*G301*'Annexe - Logistique'!$D$28/10^3</f>
        <v>0</v>
      </c>
      <c r="I314" s="170">
        <f>(1+$C307)*H301*'Annexe - Logistique'!$D$30/10^3</f>
        <v>9.8397406076895899E-2</v>
      </c>
      <c r="J314" s="327">
        <f>SUM(G314:I314)</f>
        <v>0.42601420933045792</v>
      </c>
      <c r="K314" s="692">
        <f>(1+$C307)*I301*'Annexe - Logistique'!$D$29/10^3</f>
        <v>0.12886886086199917</v>
      </c>
      <c r="L314" s="170">
        <f>(1+$C307)*J301*'Annexe - Logistique'!$D$28/10^3</f>
        <v>0</v>
      </c>
      <c r="M314" s="170">
        <f>(1+$C307)*K301*'Annexe - Logistique'!$D$30/10^3</f>
        <v>9.8397406076895899E-2</v>
      </c>
      <c r="N314" s="327">
        <f>SUM(K314:M314)</f>
        <v>0.22726626693889507</v>
      </c>
    </row>
    <row r="315" spans="2:14" hidden="1" outlineLevel="1">
      <c r="B315" s="1251"/>
      <c r="C315" s="1251"/>
      <c r="D315" s="1251"/>
      <c r="G315" s="1251"/>
      <c r="H315" s="1251"/>
    </row>
    <row r="316" spans="2:14" collapsed="1"/>
    <row r="317" spans="2:14" ht="20">
      <c r="B317" s="216" t="s">
        <v>553</v>
      </c>
    </row>
    <row r="319" spans="2:14" hidden="1" outlineLevel="1">
      <c r="B319" s="1251" t="s">
        <v>554</v>
      </c>
    </row>
    <row r="320" spans="2:14" hidden="1" outlineLevel="1">
      <c r="B320" s="1251" t="s">
        <v>555</v>
      </c>
    </row>
    <row r="321" spans="2:5" hidden="1" outlineLevel="1">
      <c r="B321" s="87" t="s">
        <v>556</v>
      </c>
    </row>
    <row r="322" spans="2:5" hidden="1" outlineLevel="1">
      <c r="B322" s="87"/>
    </row>
    <row r="323" spans="2:5" hidden="1" outlineLevel="1">
      <c r="B323" s="1251" t="s">
        <v>469</v>
      </c>
    </row>
    <row r="324" spans="2:5" hidden="1" outlineLevel="1">
      <c r="B324" s="1251" t="s">
        <v>557</v>
      </c>
    </row>
    <row r="325" spans="2:5" hidden="1" outlineLevel="1"/>
    <row r="326" spans="2:5" hidden="1" outlineLevel="1">
      <c r="B326" s="1251" t="s">
        <v>558</v>
      </c>
    </row>
    <row r="327" spans="2:5" ht="14.5" hidden="1" outlineLevel="1" thickBot="1">
      <c r="B327" s="1251" t="s">
        <v>559</v>
      </c>
    </row>
    <row r="328" spans="2:5" ht="14.5" hidden="1" outlineLevel="1">
      <c r="B328" s="4"/>
      <c r="C328" s="5" t="s">
        <v>73</v>
      </c>
      <c r="D328" s="5" t="s">
        <v>301</v>
      </c>
      <c r="E328" s="6" t="s">
        <v>70</v>
      </c>
    </row>
    <row r="329" spans="2:5" ht="28" hidden="1" outlineLevel="1">
      <c r="B329" s="562" t="s">
        <v>560</v>
      </c>
      <c r="C329" s="21">
        <v>943</v>
      </c>
      <c r="D329" s="21" t="s">
        <v>561</v>
      </c>
      <c r="E329" s="684" t="s">
        <v>562</v>
      </c>
    </row>
    <row r="330" spans="2:5" ht="42.5" hidden="1" outlineLevel="1" thickBot="1">
      <c r="B330" s="565" t="s">
        <v>563</v>
      </c>
      <c r="C330" s="22">
        <v>386</v>
      </c>
      <c r="D330" s="22" t="s">
        <v>561</v>
      </c>
      <c r="E330" s="1311" t="s">
        <v>564</v>
      </c>
    </row>
    <row r="331" spans="2:5" hidden="1" outlineLevel="1"/>
    <row r="332" spans="2:5" ht="14.5" hidden="1" outlineLevel="1" thickBot="1">
      <c r="B332" s="1251" t="s">
        <v>565</v>
      </c>
    </row>
    <row r="333" spans="2:5" ht="29" hidden="1" outlineLevel="1">
      <c r="B333" s="4"/>
      <c r="C333" s="5" t="s">
        <v>566</v>
      </c>
      <c r="D333" s="5" t="s">
        <v>567</v>
      </c>
      <c r="E333" s="6" t="s">
        <v>568</v>
      </c>
    </row>
    <row r="334" spans="2:5" hidden="1" outlineLevel="1">
      <c r="B334" s="562" t="s">
        <v>93</v>
      </c>
      <c r="C334" s="21">
        <f>AVERAGE(C$329:C$330)</f>
        <v>664.5</v>
      </c>
      <c r="D334" s="168">
        <v>0</v>
      </c>
      <c r="E334" s="635">
        <f>SUM(C334:D334)</f>
        <v>664.5</v>
      </c>
    </row>
    <row r="335" spans="2:5" hidden="1" outlineLevel="1">
      <c r="B335" s="562" t="s">
        <v>198</v>
      </c>
      <c r="C335" s="21">
        <f>AVERAGE(C$329:C$330)</f>
        <v>664.5</v>
      </c>
      <c r="D335" s="168">
        <f>((C230+C231+C232)/C229)*C$330</f>
        <v>112.81636139967195</v>
      </c>
      <c r="E335" s="635">
        <f>SUM(C335:D335)</f>
        <v>777.31636139967191</v>
      </c>
    </row>
    <row r="336" spans="2:5" ht="14.5" hidden="1" outlineLevel="1" thickBot="1">
      <c r="B336" s="565" t="s">
        <v>360</v>
      </c>
      <c r="C336" s="22">
        <f>AVERAGE(C$329:C$330)</f>
        <v>664.5</v>
      </c>
      <c r="D336" s="170">
        <f>((C247+C246)/C245)*C$330</f>
        <v>104.08256446041058</v>
      </c>
      <c r="E336" s="685">
        <f>SUM(C336:D336)</f>
        <v>768.58256446041059</v>
      </c>
    </row>
    <row r="337" hidden="1" outlineLevel="1"/>
    <row r="338" collapsed="1"/>
  </sheetData>
  <mergeCells count="8">
    <mergeCell ref="A1:XFD2"/>
    <mergeCell ref="K310:N310"/>
    <mergeCell ref="C297:E297"/>
    <mergeCell ref="F297:H297"/>
    <mergeCell ref="I297:K297"/>
    <mergeCell ref="I56:J56"/>
    <mergeCell ref="C310:F310"/>
    <mergeCell ref="G310:J310"/>
  </mergeCells>
  <phoneticPr fontId="61" type="noConversion"/>
  <conditionalFormatting sqref="A1:XFD2">
    <cfRule type="containsBlanks" dxfId="21" priority="1">
      <formula>LEN(TRIM(A1))=0</formula>
    </cfRule>
  </conditionalFormatting>
  <conditionalFormatting sqref="D276:D277 F275:Q277">
    <cfRule type="colorScale" priority="2">
      <colorScale>
        <cfvo type="min"/>
        <cfvo type="percentile" val="50"/>
        <cfvo type="max"/>
        <color rgb="FFFCFCFF"/>
        <color rgb="FFDDF0C8"/>
        <color rgb="FF63BE7B"/>
      </colorScale>
    </cfRule>
  </conditionalFormatting>
  <hyperlinks>
    <hyperlink ref="E107" r:id="rId1" xr:uid="{519557CD-38DA-4F02-8C3E-B193C9739332}"/>
    <hyperlink ref="E108" r:id="rId2" xr:uid="{D16EEC15-6662-4E6E-BA71-2428EA9477C0}"/>
    <hyperlink ref="E100" r:id="rId3" xr:uid="{41CEDD8D-E8EB-4DAD-BAC9-AA0401D3EAEC}"/>
    <hyperlink ref="E110" r:id="rId4" display="https://www.ccpartners.fr/masques-de-protection/227-masque-chirurgical-en14683-type-1-bleu.html" xr:uid="{86A5708C-250D-4A95-A8EA-283090C4BC96}"/>
    <hyperlink ref="E102" r:id="rId5" display="https://www.ccpartners.fr/masques-de-protection/227-masque-chirurgical-en14683-type-1-bleu.html" xr:uid="{7FE5973A-34F8-4B1E-A7B2-F6D6FF4F85C9}"/>
    <hyperlink ref="B124" r:id="rId6" xr:uid="{2A373EC9-0203-4F4D-B022-9C32F6DA39D6}"/>
    <hyperlink ref="B169" r:id="rId7" display="https://odr.chalmers.se/server/api/core/bitstreams/3d5f537c-66eb-4bae-9738-a9c7a06ff288/content" xr:uid="{257C78BC-3269-44E1-AA4E-139C738C1170}"/>
    <hyperlink ref="B194" r:id="rId8" display="https://www.medicaffaires.com/champs-et-draps-steriles/911-drap-sterile-150x-200-cm.html" xr:uid="{8F3AC3A3-F681-48A5-92C6-C66C3D9B5F66}"/>
    <hyperlink ref="B193" r:id="rId9" display="https://www.consomed.fr/soin-et-pansement-champs/279-champs-de-soins-steriles-standards" xr:uid="{BF0580C0-3C23-422E-8A47-0C7855CE92FA}"/>
    <hyperlink ref="B195" r:id="rId10" display="https://www.ld-medical.fr/champ-operatoire/1489-champ-operatoire-troue-90.html" xr:uid="{707C574F-C558-4A30-A437-22CB889ECE6E}"/>
    <hyperlink ref="B227" r:id="rId11" display="https://journals.sagepub.com/doi/10.1177/01410768231166135" xr:uid="{7C045E92-9336-4C22-9016-25001F188EC0}"/>
    <hyperlink ref="B243" r:id="rId12" display="https://journals.sagepub.com/doi/10.1177/01410768231166135" xr:uid="{DA450D50-BB3A-4122-A4E7-56BB1BFAFB8A}"/>
    <hyperlink ref="E81" r:id="rId13" display="https://www.cadiffusion.com/produits/blouses" xr:uid="{5218E7B1-E298-46B8-9CF5-996630BB8855}"/>
    <hyperlink ref="E79" r:id="rId14" xr:uid="{FAAEBB73-65AA-4E7D-A9DA-F43A6ECD2939}"/>
  </hyperlinks>
  <pageMargins left="0.7" right="0.7" top="0.75" bottom="0.75" header="0.3" footer="0.3"/>
  <pageSetup paperSize="9" orientation="portrait" r:id="rId15"/>
  <drawing r:id="rId16"/>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A95B00-8597-4A63-9CDD-38CC933CB760}">
  <sheetPr>
    <tabColor theme="9"/>
  </sheetPr>
  <dimension ref="A1:Z210"/>
  <sheetViews>
    <sheetView zoomScale="60" zoomScaleNormal="60" workbookViewId="0">
      <selection sqref="A1:XFD2"/>
    </sheetView>
  </sheetViews>
  <sheetFormatPr baseColWidth="10" defaultColWidth="11" defaultRowHeight="14" outlineLevelRow="1"/>
  <cols>
    <col min="2" max="2" width="55.6640625" customWidth="1"/>
    <col min="3" max="3" width="25.83203125" customWidth="1"/>
    <col min="4" max="4" width="26" customWidth="1"/>
    <col min="5" max="5" width="17.83203125" customWidth="1"/>
    <col min="6" max="6" width="24.5" customWidth="1"/>
    <col min="7" max="7" width="21.1640625" customWidth="1"/>
    <col min="8" max="8" width="20" customWidth="1"/>
    <col min="9" max="9" width="21.1640625" customWidth="1"/>
    <col min="10" max="10" width="15.83203125" customWidth="1"/>
    <col min="11" max="11" width="19.5" customWidth="1"/>
    <col min="12" max="12" width="18" customWidth="1"/>
    <col min="13" max="13" width="11.5" customWidth="1"/>
    <col min="14" max="14" width="13.6640625" customWidth="1"/>
  </cols>
  <sheetData>
    <row r="1" spans="1:3" s="1505" customFormat="1">
      <c r="A1" s="1505" t="s">
        <v>95</v>
      </c>
    </row>
    <row r="2" spans="1:3" s="1505" customFormat="1"/>
    <row r="5" spans="1:3">
      <c r="B5" s="1251" t="s">
        <v>23</v>
      </c>
    </row>
    <row r="6" spans="1:3">
      <c r="B6" s="1251" t="s">
        <v>569</v>
      </c>
    </row>
    <row r="7" spans="1:3">
      <c r="B7" s="1251"/>
    </row>
    <row r="8" spans="1:3" ht="18">
      <c r="B8" s="766" t="s">
        <v>180</v>
      </c>
    </row>
    <row r="10" spans="1:3" ht="14.5" hidden="1" outlineLevel="1" thickBot="1">
      <c r="B10" s="1251" t="s">
        <v>351</v>
      </c>
    </row>
    <row r="11" spans="1:3" s="1" customFormat="1" ht="24.5" hidden="1" customHeight="1" outlineLevel="1">
      <c r="B11" s="456" t="s">
        <v>82</v>
      </c>
      <c r="C11" s="700"/>
    </row>
    <row r="12" spans="1:3" hidden="1" outlineLevel="1">
      <c r="B12" s="562" t="s">
        <v>84</v>
      </c>
      <c r="C12" s="131">
        <f>D79</f>
        <v>323.32956217725342</v>
      </c>
    </row>
    <row r="13" spans="1:3" hidden="1" outlineLevel="1">
      <c r="B13" s="562" t="s">
        <v>187</v>
      </c>
      <c r="C13" s="131">
        <f>H79</f>
        <v>114.87273229575442</v>
      </c>
    </row>
    <row r="14" spans="1:3" hidden="1" outlineLevel="1">
      <c r="B14" s="562" t="s">
        <v>86</v>
      </c>
      <c r="C14" s="131">
        <f>E125</f>
        <v>36.046153152592858</v>
      </c>
    </row>
    <row r="15" spans="1:3" hidden="1" outlineLevel="1">
      <c r="B15" s="562" t="s">
        <v>201</v>
      </c>
      <c r="C15" s="131">
        <f>E134</f>
        <v>15.657864080402906</v>
      </c>
    </row>
    <row r="16" spans="1:3" hidden="1" outlineLevel="1">
      <c r="B16" s="562" t="s">
        <v>88</v>
      </c>
      <c r="C16" s="131">
        <f>C180</f>
        <v>76.557282112498044</v>
      </c>
    </row>
    <row r="17" spans="2:3" hidden="1" outlineLevel="1">
      <c r="B17" s="644" t="s">
        <v>196</v>
      </c>
      <c r="C17" s="184">
        <f>C186</f>
        <v>21.849692572222153</v>
      </c>
    </row>
    <row r="18" spans="2:3" ht="14.5" hidden="1" outlineLevel="1" thickBot="1">
      <c r="B18" s="565" t="s">
        <v>89</v>
      </c>
      <c r="C18" s="19">
        <f>E208</f>
        <v>53.766907427819092</v>
      </c>
    </row>
    <row r="19" spans="2:3" ht="14.5" hidden="1" outlineLevel="1" thickBot="1">
      <c r="B19" s="568" t="s">
        <v>83</v>
      </c>
      <c r="C19" s="711">
        <f>SUM(C12:C18)</f>
        <v>642.08019381854285</v>
      </c>
    </row>
    <row r="20" spans="2:3" hidden="1" outlineLevel="1"/>
    <row r="21" spans="2:3" hidden="1" outlineLevel="1"/>
    <row r="22" spans="2:3" hidden="1" outlineLevel="1"/>
    <row r="23" spans="2:3" hidden="1" outlineLevel="1"/>
    <row r="24" spans="2:3" hidden="1" outlineLevel="1"/>
    <row r="25" spans="2:3" hidden="1" outlineLevel="1"/>
    <row r="26" spans="2:3" hidden="1" outlineLevel="1"/>
    <row r="27" spans="2:3" hidden="1" outlineLevel="1"/>
    <row r="28" spans="2:3" hidden="1" outlineLevel="1"/>
    <row r="29" spans="2:3" hidden="1" outlineLevel="1"/>
    <row r="30" spans="2:3" hidden="1" outlineLevel="1"/>
    <row r="31" spans="2:3" collapsed="1"/>
    <row r="32" spans="2:3" ht="23.5">
      <c r="B32" s="2" t="s">
        <v>370</v>
      </c>
    </row>
    <row r="34" spans="2:9" ht="20">
      <c r="B34" s="216" t="s">
        <v>371</v>
      </c>
    </row>
    <row r="36" spans="2:9" ht="14.5" hidden="1" outlineLevel="1" thickBot="1">
      <c r="B36" s="1251" t="s">
        <v>570</v>
      </c>
    </row>
    <row r="37" spans="2:9" ht="28" hidden="1" outlineLevel="1">
      <c r="B37" s="456"/>
      <c r="C37" s="405" t="s">
        <v>372</v>
      </c>
    </row>
    <row r="38" spans="2:9" hidden="1" outlineLevel="1">
      <c r="B38" s="562" t="s">
        <v>340</v>
      </c>
      <c r="C38" s="564">
        <f>'Consommables - consos hôpital'!C114</f>
        <v>11487.278250000001</v>
      </c>
    </row>
    <row r="39" spans="2:9" hidden="1" outlineLevel="1">
      <c r="B39" s="562" t="s">
        <v>342</v>
      </c>
      <c r="C39" s="564">
        <f>'Consommables - consos hôpital'!C115</f>
        <v>11487.278250000001</v>
      </c>
    </row>
    <row r="40" spans="2:9" hidden="1" outlineLevel="1">
      <c r="B40" s="562" t="s">
        <v>571</v>
      </c>
      <c r="C40" s="564">
        <f>'Consommables - consos hôpital'!C116</f>
        <v>9189.8225999999995</v>
      </c>
      <c r="D40" s="76"/>
      <c r="E40" s="76"/>
      <c r="F40" s="76"/>
      <c r="G40" s="76"/>
    </row>
    <row r="41" spans="2:9" hidden="1" outlineLevel="1">
      <c r="B41" s="562" t="s">
        <v>282</v>
      </c>
      <c r="C41" s="564">
        <f>'Consommables - consos hôpital'!C117</f>
        <v>6892.3669499999996</v>
      </c>
    </row>
    <row r="42" spans="2:9" hidden="1" outlineLevel="1">
      <c r="B42" s="562" t="s">
        <v>285</v>
      </c>
      <c r="C42" s="564">
        <f>'Consommables - consos hôpital'!C118</f>
        <v>4594.9112999999998</v>
      </c>
    </row>
    <row r="43" spans="2:9" hidden="1" outlineLevel="1">
      <c r="B43" s="562" t="s">
        <v>345</v>
      </c>
      <c r="C43" s="564">
        <f>'Consommables - consos hôpital'!C119</f>
        <v>4594.9112999999998</v>
      </c>
    </row>
    <row r="44" spans="2:9" ht="14.5" hidden="1" customHeight="1" outlineLevel="1" thickBot="1">
      <c r="B44" s="565" t="s">
        <v>49</v>
      </c>
      <c r="C44" s="567">
        <f>'Consommables - consos hôpital'!C120</f>
        <v>26053.147070999985</v>
      </c>
    </row>
    <row r="45" spans="2:9" ht="14.5" hidden="1" outlineLevel="1" thickBot="1"/>
    <row r="46" spans="2:9" s="1" customFormat="1" ht="42" hidden="1" outlineLevel="1">
      <c r="B46" s="456"/>
      <c r="C46" s="404" t="s">
        <v>340</v>
      </c>
      <c r="D46" s="404" t="s">
        <v>342</v>
      </c>
      <c r="E46" s="404" t="s">
        <v>571</v>
      </c>
      <c r="F46" s="404" t="s">
        <v>282</v>
      </c>
      <c r="G46" s="404" t="s">
        <v>285</v>
      </c>
      <c r="H46" s="404" t="s">
        <v>345</v>
      </c>
      <c r="I46" s="405" t="s">
        <v>49</v>
      </c>
    </row>
    <row r="47" spans="2:9" ht="118" hidden="1" customHeight="1" outlineLevel="1" thickBot="1">
      <c r="B47" s="656" t="s">
        <v>572</v>
      </c>
      <c r="C47" s="22"/>
      <c r="D47" s="22"/>
      <c r="E47" s="22"/>
      <c r="F47" s="22"/>
      <c r="G47" s="22"/>
      <c r="H47" s="22"/>
      <c r="I47" s="38"/>
    </row>
    <row r="48" spans="2:9" hidden="1" outlineLevel="1"/>
    <row r="49" spans="2:15" collapsed="1">
      <c r="D49" s="1274"/>
    </row>
    <row r="50" spans="2:15" ht="23.5">
      <c r="B50" s="2" t="s">
        <v>406</v>
      </c>
      <c r="O50" s="1"/>
    </row>
    <row r="52" spans="2:15">
      <c r="B52" s="1251" t="s">
        <v>407</v>
      </c>
    </row>
    <row r="54" spans="2:15" ht="20">
      <c r="B54" s="216" t="s">
        <v>573</v>
      </c>
    </row>
    <row r="56" spans="2:15" hidden="1" outlineLevel="1">
      <c r="B56" s="1251" t="s">
        <v>574</v>
      </c>
    </row>
    <row r="57" spans="2:15" ht="14.5" hidden="1" outlineLevel="1" thickBot="1">
      <c r="B57" s="87" t="s">
        <v>575</v>
      </c>
    </row>
    <row r="58" spans="2:15" s="1" customFormat="1" ht="28" hidden="1" outlineLevel="1">
      <c r="B58" s="657" t="s">
        <v>290</v>
      </c>
      <c r="C58" s="658" t="s">
        <v>576</v>
      </c>
      <c r="D58" s="658" t="s">
        <v>577</v>
      </c>
      <c r="E58" s="658" t="s">
        <v>578</v>
      </c>
      <c r="F58" s="658" t="s">
        <v>579</v>
      </c>
      <c r="G58" s="658" t="s">
        <v>580</v>
      </c>
      <c r="H58" s="658" t="s">
        <v>581</v>
      </c>
      <c r="I58" s="658" t="s">
        <v>582</v>
      </c>
      <c r="J58" s="658" t="s">
        <v>583</v>
      </c>
      <c r="K58" s="659" t="s">
        <v>584</v>
      </c>
    </row>
    <row r="59" spans="2:15" ht="42" hidden="1" outlineLevel="1">
      <c r="B59" s="660" t="s">
        <v>585</v>
      </c>
      <c r="C59" s="21">
        <v>125</v>
      </c>
      <c r="D59" s="582">
        <v>0.28100000000000003</v>
      </c>
      <c r="E59" s="1312">
        <v>6.9999999999999993E-3</v>
      </c>
      <c r="F59" s="1312">
        <v>0.217</v>
      </c>
      <c r="G59" s="1312">
        <v>0.01</v>
      </c>
      <c r="H59" s="1312">
        <v>0.40299999999999997</v>
      </c>
      <c r="I59" s="1312">
        <v>6.9999999999999993E-3</v>
      </c>
      <c r="J59" s="1312">
        <v>2.7000000000000003E-2</v>
      </c>
      <c r="K59" s="1313">
        <v>4.5999999999999999E-2</v>
      </c>
    </row>
    <row r="60" spans="2:15" hidden="1" outlineLevel="1">
      <c r="B60" s="660" t="s">
        <v>586</v>
      </c>
      <c r="C60" s="21">
        <v>11</v>
      </c>
      <c r="D60" s="582">
        <v>0.26600000000000001</v>
      </c>
      <c r="E60" s="1312">
        <v>0</v>
      </c>
      <c r="F60" s="1312">
        <v>1.4999999999999999E-2</v>
      </c>
      <c r="G60" s="1312">
        <v>0</v>
      </c>
      <c r="H60" s="1312">
        <v>0.47700000000000004</v>
      </c>
      <c r="I60" s="1312">
        <v>0</v>
      </c>
      <c r="J60" s="1312">
        <v>3.7000000000000005E-2</v>
      </c>
      <c r="K60" s="1313">
        <v>0.20499999999999999</v>
      </c>
    </row>
    <row r="61" spans="2:15" ht="14.5" hidden="1" outlineLevel="1" thickBot="1">
      <c r="B61" s="661" t="s">
        <v>49</v>
      </c>
      <c r="C61" s="22">
        <v>37</v>
      </c>
      <c r="D61" s="662">
        <v>0.82299999999999995</v>
      </c>
      <c r="E61" s="1314">
        <v>1E-3</v>
      </c>
      <c r="F61" s="1314">
        <v>0.17</v>
      </c>
      <c r="G61" s="1314">
        <v>3.0000000000000001E-3</v>
      </c>
      <c r="H61" s="1314">
        <v>0</v>
      </c>
      <c r="I61" s="1314">
        <v>0</v>
      </c>
      <c r="J61" s="1314">
        <v>0</v>
      </c>
      <c r="K61" s="1315">
        <v>2E-3</v>
      </c>
    </row>
    <row r="62" spans="2:15" hidden="1" outlineLevel="1"/>
    <row r="63" spans="2:15" ht="14.5" hidden="1" outlineLevel="1" thickBot="1">
      <c r="B63" s="1251" t="s">
        <v>565</v>
      </c>
      <c r="D63" s="39"/>
      <c r="E63" s="39"/>
      <c r="F63" s="39"/>
      <c r="G63" s="1316" t="s">
        <v>587</v>
      </c>
      <c r="H63" s="39"/>
      <c r="I63" s="39"/>
      <c r="J63" s="39"/>
    </row>
    <row r="64" spans="2:15" ht="14.5" hidden="1" outlineLevel="1" thickBot="1">
      <c r="B64" s="657"/>
      <c r="C64" s="659" t="s">
        <v>588</v>
      </c>
      <c r="D64" s="39"/>
      <c r="E64" s="39"/>
      <c r="F64" s="39"/>
      <c r="G64" s="87" t="s">
        <v>589</v>
      </c>
      <c r="H64" s="39"/>
      <c r="I64" s="39"/>
      <c r="J64" s="39"/>
      <c r="K64" s="1251"/>
      <c r="M64" s="39"/>
      <c r="N64" s="39"/>
      <c r="O64" s="39"/>
    </row>
    <row r="65" spans="2:15" hidden="1" outlineLevel="1">
      <c r="B65" s="660" t="s">
        <v>577</v>
      </c>
      <c r="C65" s="161">
        <f t="shared" ref="C65:C71" si="0">(C$59*HLOOKUP(B65, $D$58:$K$61,2,FALSE)+C$60*HLOOKUP(B65, $D$58:$K$61,3,FALSE)+C$61*HLOOKUP(B65, $D$58:$K$61,4,FALSE))/SUM($C$59:$C$61)</f>
        <v>0.39596531791907513</v>
      </c>
      <c r="D65" s="39"/>
      <c r="E65" s="39"/>
      <c r="F65" s="39"/>
      <c r="H65" s="39"/>
      <c r="I65" s="39"/>
      <c r="J65" s="39"/>
      <c r="K65" s="657"/>
      <c r="L65" s="659" t="s">
        <v>588</v>
      </c>
      <c r="M65" s="39"/>
      <c r="N65" s="39"/>
      <c r="O65" s="39"/>
    </row>
    <row r="66" spans="2:15" hidden="1" outlineLevel="1">
      <c r="B66" s="660" t="s">
        <v>581</v>
      </c>
      <c r="C66" s="161">
        <f t="shared" si="0"/>
        <v>0.32151445086705199</v>
      </c>
      <c r="K66" s="660" t="s">
        <v>577</v>
      </c>
      <c r="L66" s="161">
        <f>C65</f>
        <v>0.39596531791907513</v>
      </c>
      <c r="M66" s="39"/>
      <c r="N66" s="39"/>
      <c r="O66" s="39"/>
    </row>
    <row r="67" spans="2:15" hidden="1" outlineLevel="1">
      <c r="B67" s="660" t="s">
        <v>579</v>
      </c>
      <c r="C67" s="161">
        <f t="shared" si="0"/>
        <v>0.19410404624277455</v>
      </c>
      <c r="K67" s="660" t="s">
        <v>581</v>
      </c>
      <c r="L67" s="161">
        <f>C66</f>
        <v>0.32151445086705199</v>
      </c>
    </row>
    <row r="68" spans="2:15" hidden="1" outlineLevel="1">
      <c r="B68" s="660" t="s">
        <v>583</v>
      </c>
      <c r="C68" s="161">
        <f t="shared" si="0"/>
        <v>2.186127167630058E-2</v>
      </c>
      <c r="K68" s="660" t="s">
        <v>579</v>
      </c>
      <c r="L68" s="161">
        <f>C67</f>
        <v>0.19410404624277455</v>
      </c>
    </row>
    <row r="69" spans="2:15" hidden="1" outlineLevel="1">
      <c r="B69" s="660" t="s">
        <v>580</v>
      </c>
      <c r="C69" s="161">
        <f t="shared" si="0"/>
        <v>7.8670520231213879E-3</v>
      </c>
      <c r="K69" s="660" t="s">
        <v>590</v>
      </c>
      <c r="L69" s="161">
        <f>C69+C70+C71</f>
        <v>1.8196531791907514E-2</v>
      </c>
    </row>
    <row r="70" spans="2:15" ht="14.5" hidden="1" outlineLevel="1" thickBot="1">
      <c r="B70" s="660" t="s">
        <v>578</v>
      </c>
      <c r="C70" s="161">
        <f t="shared" si="0"/>
        <v>5.2716763005780341E-3</v>
      </c>
      <c r="K70" s="661" t="s">
        <v>591</v>
      </c>
      <c r="L70" s="162">
        <f>C72+C68</f>
        <v>7.0219653179190766E-2</v>
      </c>
    </row>
    <row r="71" spans="2:15" hidden="1" outlineLevel="1">
      <c r="B71" s="660" t="s">
        <v>582</v>
      </c>
      <c r="C71" s="161">
        <f t="shared" si="0"/>
        <v>5.0578034682080917E-3</v>
      </c>
    </row>
    <row r="72" spans="2:15" ht="14.5" hidden="1" outlineLevel="1" thickBot="1">
      <c r="B72" s="661" t="s">
        <v>591</v>
      </c>
      <c r="C72" s="162">
        <f>100%-SUM(C65:C71)</f>
        <v>4.835838150289018E-2</v>
      </c>
    </row>
    <row r="73" spans="2:15" hidden="1" outlineLevel="1"/>
    <row r="74" spans="2:15" hidden="1" outlineLevel="1"/>
    <row r="75" spans="2:15" hidden="1" outlineLevel="1"/>
    <row r="76" spans="2:15" ht="14.5" hidden="1" outlineLevel="1" thickBot="1"/>
    <row r="77" spans="2:15" ht="14.5" hidden="1" outlineLevel="1" thickBot="1">
      <c r="B77" s="1251" t="s">
        <v>592</v>
      </c>
      <c r="E77" s="1538" t="s">
        <v>593</v>
      </c>
      <c r="F77" s="1539"/>
      <c r="G77" s="1539"/>
      <c r="H77" s="1540"/>
    </row>
    <row r="78" spans="2:15" ht="28.5" hidden="1" outlineLevel="1" thickBot="1">
      <c r="B78" s="402"/>
      <c r="C78" s="404" t="s">
        <v>594</v>
      </c>
      <c r="D78" s="404" t="s">
        <v>595</v>
      </c>
      <c r="E78" s="610" t="s">
        <v>596</v>
      </c>
      <c r="F78" s="610" t="s">
        <v>597</v>
      </c>
      <c r="G78" s="610" t="s">
        <v>598</v>
      </c>
      <c r="H78" s="610" t="s">
        <v>599</v>
      </c>
      <c r="I78" s="405" t="s">
        <v>83</v>
      </c>
      <c r="J78" s="1317" t="s">
        <v>600</v>
      </c>
    </row>
    <row r="79" spans="2:15" ht="14.5" hidden="1" outlineLevel="1" thickBot="1">
      <c r="B79" s="665" t="s">
        <v>83</v>
      </c>
      <c r="C79" s="663">
        <v>74299.715720999971</v>
      </c>
      <c r="D79" s="633">
        <v>323.32956217725342</v>
      </c>
      <c r="E79" s="664">
        <v>65.383749834479985</v>
      </c>
      <c r="F79" s="664">
        <v>37.469743774127792</v>
      </c>
      <c r="G79" s="664">
        <v>12.019238687146629</v>
      </c>
      <c r="H79" s="633">
        <v>114.87273229575442</v>
      </c>
      <c r="I79" s="208">
        <v>438.20229447300778</v>
      </c>
    </row>
    <row r="80" spans="2:15" hidden="1" outlineLevel="1">
      <c r="B80" s="1251"/>
    </row>
    <row r="81" spans="2:5" collapsed="1">
      <c r="B81" s="1251"/>
    </row>
    <row r="82" spans="2:5" ht="20">
      <c r="B82" s="216" t="s">
        <v>482</v>
      </c>
    </row>
    <row r="83" spans="2:5">
      <c r="B83" s="1251"/>
    </row>
    <row r="84" spans="2:5" hidden="1" outlineLevel="1">
      <c r="B84" s="1251" t="s">
        <v>601</v>
      </c>
    </row>
    <row r="85" spans="2:5" hidden="1" outlineLevel="1">
      <c r="B85" s="87" t="s">
        <v>602</v>
      </c>
    </row>
    <row r="86" spans="2:5" ht="14.5" hidden="1" outlineLevel="1" thickBot="1">
      <c r="B86" s="1251"/>
    </row>
    <row r="87" spans="2:5" ht="28" hidden="1" outlineLevel="1">
      <c r="B87" s="456"/>
      <c r="C87" s="404" t="s">
        <v>603</v>
      </c>
      <c r="D87" s="404" t="s">
        <v>604</v>
      </c>
      <c r="E87" s="405" t="s">
        <v>605</v>
      </c>
    </row>
    <row r="88" spans="2:5" hidden="1" outlineLevel="1">
      <c r="B88" s="562" t="s">
        <v>606</v>
      </c>
      <c r="C88" s="1318">
        <f t="shared" ref="C88:C93" si="1">1-D88</f>
        <v>3.0000000000000027E-2</v>
      </c>
      <c r="D88" s="1318">
        <v>0.97</v>
      </c>
      <c r="E88" s="311">
        <f t="shared" ref="E88:E93" si="2">C88/D88</f>
        <v>3.0927835051546421E-2</v>
      </c>
    </row>
    <row r="89" spans="2:5" hidden="1" outlineLevel="1">
      <c r="B89" s="562" t="s">
        <v>607</v>
      </c>
      <c r="C89" s="1318">
        <f t="shared" si="1"/>
        <v>2.0000000000000018E-2</v>
      </c>
      <c r="D89" s="229">
        <v>0.98</v>
      </c>
      <c r="E89" s="311">
        <f t="shared" si="2"/>
        <v>2.0408163265306142E-2</v>
      </c>
    </row>
    <row r="90" spans="2:5" hidden="1" outlineLevel="1">
      <c r="B90" s="562" t="s">
        <v>608</v>
      </c>
      <c r="C90" s="1318">
        <f t="shared" si="1"/>
        <v>0.13</v>
      </c>
      <c r="D90" s="229">
        <v>0.87</v>
      </c>
      <c r="E90" s="311">
        <f t="shared" si="2"/>
        <v>0.14942528735632185</v>
      </c>
    </row>
    <row r="91" spans="2:5" hidden="1" outlineLevel="1">
      <c r="B91" s="562" t="s">
        <v>609</v>
      </c>
      <c r="C91" s="1318">
        <f t="shared" si="1"/>
        <v>8.9999999999999969E-2</v>
      </c>
      <c r="D91" s="1318">
        <v>0.91</v>
      </c>
      <c r="E91" s="311">
        <f t="shared" si="2"/>
        <v>9.8901098901098869E-2</v>
      </c>
    </row>
    <row r="92" spans="2:5" hidden="1" outlineLevel="1">
      <c r="B92" s="562" t="s">
        <v>610</v>
      </c>
      <c r="C92" s="229">
        <f t="shared" si="1"/>
        <v>5.0000000000000044E-2</v>
      </c>
      <c r="D92" s="229">
        <v>0.95</v>
      </c>
      <c r="E92" s="311">
        <f t="shared" si="2"/>
        <v>5.2631578947368474E-2</v>
      </c>
    </row>
    <row r="93" spans="2:5" ht="14.5" hidden="1" outlineLevel="1" thickBot="1">
      <c r="B93" s="565" t="s">
        <v>611</v>
      </c>
      <c r="C93" s="376">
        <f t="shared" si="1"/>
        <v>0.36</v>
      </c>
      <c r="D93" s="376">
        <v>0.64</v>
      </c>
      <c r="E93" s="313">
        <f t="shared" si="2"/>
        <v>0.5625</v>
      </c>
    </row>
    <row r="94" spans="2:5" hidden="1" outlineLevel="1"/>
    <row r="95" spans="2:5" hidden="1" outlineLevel="1">
      <c r="B95" s="1251" t="s">
        <v>612</v>
      </c>
    </row>
    <row r="96" spans="2:5" ht="14.5" hidden="1" outlineLevel="1" thickBot="1">
      <c r="B96" s="87" t="s">
        <v>487</v>
      </c>
    </row>
    <row r="97" spans="2:8" hidden="1" outlineLevel="1">
      <c r="B97" s="456" t="s">
        <v>613</v>
      </c>
      <c r="C97" s="404" t="s">
        <v>614</v>
      </c>
      <c r="D97" s="404" t="s">
        <v>615</v>
      </c>
      <c r="E97" s="404" t="s">
        <v>616</v>
      </c>
      <c r="F97" s="404" t="s">
        <v>614</v>
      </c>
      <c r="G97" s="404" t="s">
        <v>617</v>
      </c>
      <c r="H97" s="405" t="s">
        <v>615</v>
      </c>
    </row>
    <row r="98" spans="2:8" hidden="1" outlineLevel="1">
      <c r="B98" s="562" t="s">
        <v>618</v>
      </c>
      <c r="C98" s="1266">
        <v>18.68</v>
      </c>
      <c r="D98" s="21">
        <v>121.21</v>
      </c>
      <c r="E98" s="21">
        <f>283.76+39.67+25.96+14.5</f>
        <v>363.89</v>
      </c>
      <c r="F98" s="21">
        <v>2.87</v>
      </c>
      <c r="G98" s="21">
        <f>2*72.62</f>
        <v>145.24</v>
      </c>
      <c r="H98" s="17">
        <v>121.21</v>
      </c>
    </row>
    <row r="99" spans="2:8" hidden="1" outlineLevel="1">
      <c r="B99" s="562" t="s">
        <v>619</v>
      </c>
      <c r="C99" s="1266">
        <v>2.19</v>
      </c>
      <c r="D99" s="21">
        <v>5.4</v>
      </c>
      <c r="E99" s="21">
        <v>28.3</v>
      </c>
      <c r="F99" s="21">
        <v>1.49</v>
      </c>
      <c r="G99" s="1266" t="s">
        <v>620</v>
      </c>
      <c r="H99" s="1283">
        <v>3.31</v>
      </c>
    </row>
    <row r="100" spans="2:8" hidden="1" outlineLevel="1">
      <c r="B100" s="562" t="s">
        <v>621</v>
      </c>
      <c r="C100" s="1266">
        <v>2.17</v>
      </c>
      <c r="D100" s="21">
        <v>3.31</v>
      </c>
      <c r="E100" s="21">
        <v>20.67</v>
      </c>
      <c r="F100" s="21">
        <v>1.2</v>
      </c>
      <c r="G100" s="1266" t="s">
        <v>620</v>
      </c>
      <c r="H100" s="17">
        <f>3.08+2.32</f>
        <v>5.4</v>
      </c>
    </row>
    <row r="101" spans="2:8" ht="14.5" hidden="1" outlineLevel="1" thickBot="1">
      <c r="B101" s="565" t="s">
        <v>622</v>
      </c>
      <c r="C101" s="157">
        <f>(C100+C99)/C98</f>
        <v>0.23340471092077086</v>
      </c>
      <c r="D101" s="157">
        <f>(D100+D99)/D98</f>
        <v>7.1858757528256753E-2</v>
      </c>
      <c r="E101" s="707">
        <f>(E100+E99)/E98</f>
        <v>0.13457363488966445</v>
      </c>
      <c r="F101" s="157">
        <f>(F100+F99)/F98</f>
        <v>0.93728222996515675</v>
      </c>
      <c r="G101" s="157"/>
      <c r="H101" s="162">
        <f>(H100+H99)/H98</f>
        <v>7.1858757528256753E-2</v>
      </c>
    </row>
    <row r="102" spans="2:8" hidden="1" outlineLevel="1">
      <c r="B102" s="1251"/>
    </row>
    <row r="103" spans="2:8" ht="14.5" hidden="1" outlineLevel="1" thickBot="1">
      <c r="B103" s="1251" t="s">
        <v>623</v>
      </c>
    </row>
    <row r="104" spans="2:8" ht="28" hidden="1" outlineLevel="1">
      <c r="B104" s="456"/>
      <c r="C104" s="404" t="s">
        <v>624</v>
      </c>
      <c r="D104" s="405" t="s">
        <v>625</v>
      </c>
    </row>
    <row r="105" spans="2:8" hidden="1" outlineLevel="1">
      <c r="B105" s="562" t="s">
        <v>340</v>
      </c>
      <c r="C105" s="1266" t="s">
        <v>607</v>
      </c>
      <c r="D105" s="320">
        <f>E89</f>
        <v>2.0408163265306142E-2</v>
      </c>
      <c r="E105" s="1251"/>
    </row>
    <row r="106" spans="2:8" hidden="1" outlineLevel="1">
      <c r="B106" s="562" t="s">
        <v>342</v>
      </c>
      <c r="C106" s="1266" t="s">
        <v>609</v>
      </c>
      <c r="D106" s="320">
        <f>E91</f>
        <v>9.8901098901098869E-2</v>
      </c>
    </row>
    <row r="107" spans="2:8" hidden="1" outlineLevel="1">
      <c r="B107" s="562" t="s">
        <v>571</v>
      </c>
      <c r="D107" s="708">
        <f>E101</f>
        <v>0.13457363488966445</v>
      </c>
    </row>
    <row r="108" spans="2:8" hidden="1" outlineLevel="1">
      <c r="B108" s="562" t="s">
        <v>282</v>
      </c>
      <c r="C108" s="1266" t="s">
        <v>611</v>
      </c>
      <c r="D108" s="320">
        <f>E93</f>
        <v>0.5625</v>
      </c>
    </row>
    <row r="109" spans="2:8" hidden="1" outlineLevel="1">
      <c r="B109" s="562" t="s">
        <v>285</v>
      </c>
      <c r="C109" s="1266" t="s">
        <v>609</v>
      </c>
      <c r="D109" s="320">
        <f>E91</f>
        <v>9.8901098901098869E-2</v>
      </c>
    </row>
    <row r="110" spans="2:8" hidden="1" outlineLevel="1">
      <c r="B110" s="562" t="s">
        <v>345</v>
      </c>
      <c r="C110" s="1266" t="s">
        <v>609</v>
      </c>
      <c r="D110" s="320">
        <f>E91</f>
        <v>9.8901098901098869E-2</v>
      </c>
    </row>
    <row r="111" spans="2:8" ht="14.5" hidden="1" outlineLevel="1" thickBot="1">
      <c r="B111" s="565" t="s">
        <v>49</v>
      </c>
      <c r="C111" s="1267" t="s">
        <v>626</v>
      </c>
      <c r="D111" s="313">
        <f>SUMPRODUCT(D105:D110,C38:C43)/SUM(C38:C43)</f>
        <v>0.15323548790452754</v>
      </c>
    </row>
    <row r="112" spans="2:8" hidden="1" outlineLevel="1">
      <c r="B112" s="1251"/>
    </row>
    <row r="113" spans="2:5" hidden="1" outlineLevel="1">
      <c r="B113" s="1251" t="s">
        <v>627</v>
      </c>
    </row>
    <row r="114" spans="2:5" hidden="1" outlineLevel="1">
      <c r="B114" s="1251" t="s">
        <v>628</v>
      </c>
    </row>
    <row r="115" spans="2:5" hidden="1" outlineLevel="1">
      <c r="B115" s="1251"/>
    </row>
    <row r="116" spans="2:5" ht="14.5" hidden="1" outlineLevel="1" thickBot="1">
      <c r="B116" s="1251" t="s">
        <v>629</v>
      </c>
    </row>
    <row r="117" spans="2:5" ht="42" hidden="1" outlineLevel="1">
      <c r="B117" s="456"/>
      <c r="C117" s="404" t="s">
        <v>630</v>
      </c>
      <c r="D117" s="404" t="s">
        <v>631</v>
      </c>
      <c r="E117" s="405" t="s">
        <v>632</v>
      </c>
    </row>
    <row r="118" spans="2:5" hidden="1" outlineLevel="1">
      <c r="B118" s="562" t="s">
        <v>340</v>
      </c>
      <c r="C118" s="1307">
        <f t="shared" ref="C118:C124" si="3">C38</f>
        <v>11487.278250000001</v>
      </c>
      <c r="D118" s="11">
        <f t="shared" ref="D118:D124" si="4">C118*D105</f>
        <v>234.43425000000025</v>
      </c>
      <c r="E118" s="131">
        <v>0.74222140841239703</v>
      </c>
    </row>
    <row r="119" spans="2:5" hidden="1" outlineLevel="1">
      <c r="B119" s="562" t="s">
        <v>342</v>
      </c>
      <c r="C119" s="1307">
        <f t="shared" si="3"/>
        <v>11487.278250000001</v>
      </c>
      <c r="D119" s="11">
        <f t="shared" si="4"/>
        <v>1136.1044423076921</v>
      </c>
      <c r="E119" s="131">
        <v>3.5969191330754584</v>
      </c>
    </row>
    <row r="120" spans="2:5" hidden="1" outlineLevel="1">
      <c r="B120" s="562" t="s">
        <v>571</v>
      </c>
      <c r="C120" s="11">
        <f t="shared" si="3"/>
        <v>9189.8225999999995</v>
      </c>
      <c r="D120" s="11">
        <f t="shared" si="4"/>
        <v>1236.7078312731869</v>
      </c>
      <c r="E120" s="131">
        <v>3.9154305666609077</v>
      </c>
    </row>
    <row r="121" spans="2:5" hidden="1" outlineLevel="1">
      <c r="B121" s="562" t="s">
        <v>282</v>
      </c>
      <c r="C121" s="1307">
        <f t="shared" si="3"/>
        <v>6892.3669499999996</v>
      </c>
      <c r="D121" s="11">
        <f t="shared" si="4"/>
        <v>3876.9564093749996</v>
      </c>
      <c r="E121" s="131">
        <v>12.274486541620002</v>
      </c>
    </row>
    <row r="122" spans="2:5" hidden="1" outlineLevel="1">
      <c r="B122" s="562" t="s">
        <v>285</v>
      </c>
      <c r="C122" s="1307">
        <f t="shared" si="3"/>
        <v>4594.9112999999998</v>
      </c>
      <c r="D122" s="11">
        <f t="shared" si="4"/>
        <v>454.44177692307676</v>
      </c>
      <c r="E122" s="131">
        <v>1.438767653230183</v>
      </c>
    </row>
    <row r="123" spans="2:5" hidden="1" outlineLevel="1">
      <c r="B123" s="562" t="s">
        <v>345</v>
      </c>
      <c r="C123" s="1307">
        <f t="shared" si="3"/>
        <v>4594.9112999999998</v>
      </c>
      <c r="D123" s="11">
        <f t="shared" si="4"/>
        <v>454.44177692307676</v>
      </c>
      <c r="E123" s="131">
        <v>1.438767653230183</v>
      </c>
    </row>
    <row r="124" spans="2:5" ht="14.5" hidden="1" outlineLevel="1" thickBot="1">
      <c r="B124" s="644" t="s">
        <v>49</v>
      </c>
      <c r="C124" s="1319">
        <f t="shared" si="3"/>
        <v>26053.147070999985</v>
      </c>
      <c r="D124" s="355">
        <f t="shared" si="4"/>
        <v>3992.2667028730953</v>
      </c>
      <c r="E124" s="184">
        <v>12.639560196363723</v>
      </c>
    </row>
    <row r="125" spans="2:5" ht="14.5" hidden="1" outlineLevel="1" thickBot="1">
      <c r="B125" s="571" t="s">
        <v>83</v>
      </c>
      <c r="C125" s="664">
        <f>SUM(C118:C124)</f>
        <v>74299.715720999986</v>
      </c>
      <c r="D125" s="664">
        <f>SUM(D118:D124)</f>
        <v>11385.353189675128</v>
      </c>
      <c r="E125" s="187">
        <f>SUM(E118:E124)</f>
        <v>36.046153152592858</v>
      </c>
    </row>
    <row r="126" spans="2:5" hidden="1" outlineLevel="1"/>
    <row r="127" spans="2:5" collapsed="1">
      <c r="B127" s="1251"/>
    </row>
    <row r="128" spans="2:5" ht="20">
      <c r="B128" s="216" t="s">
        <v>515</v>
      </c>
    </row>
    <row r="129" spans="2:17">
      <c r="B129" s="1251"/>
    </row>
    <row r="130" spans="2:17" hidden="1" outlineLevel="1">
      <c r="B130" s="1251" t="s">
        <v>633</v>
      </c>
    </row>
    <row r="131" spans="2:17" hidden="1" outlineLevel="1"/>
    <row r="132" spans="2:17" ht="14.5" hidden="1" outlineLevel="1" thickBot="1">
      <c r="B132" s="1251" t="s">
        <v>518</v>
      </c>
    </row>
    <row r="133" spans="2:17" ht="42" hidden="1" outlineLevel="1">
      <c r="B133" s="456"/>
      <c r="C133" s="404" t="s">
        <v>634</v>
      </c>
      <c r="D133" s="404" t="s">
        <v>520</v>
      </c>
      <c r="E133" s="405" t="s">
        <v>635</v>
      </c>
    </row>
    <row r="134" spans="2:17" ht="14.5" hidden="1" outlineLevel="1" thickBot="1">
      <c r="B134" s="565" t="s">
        <v>636</v>
      </c>
      <c r="C134" s="712">
        <f>C125+D125</f>
        <v>85685.068910675109</v>
      </c>
      <c r="D134" s="170">
        <f>'Annexe - stérilisation'!C26</f>
        <v>0.18273736929272824</v>
      </c>
      <c r="E134" s="683">
        <f>C134*D134/1000</f>
        <v>15.657864080402906</v>
      </c>
    </row>
    <row r="135" spans="2:17" hidden="1" outlineLevel="1"/>
    <row r="136" spans="2:17" collapsed="1">
      <c r="B136" s="1251"/>
    </row>
    <row r="137" spans="2:17" ht="20">
      <c r="B137" s="216" t="s">
        <v>522</v>
      </c>
    </row>
    <row r="138" spans="2:17">
      <c r="B138" s="1251"/>
    </row>
    <row r="139" spans="2:17" hidden="1" outlineLevel="1">
      <c r="B139" s="3" t="s">
        <v>523</v>
      </c>
    </row>
    <row r="140" spans="2:17" hidden="1" outlineLevel="1">
      <c r="B140" s="1251" t="s">
        <v>524</v>
      </c>
    </row>
    <row r="141" spans="2:17" ht="14.5" hidden="1" outlineLevel="1" thickBot="1"/>
    <row r="142" spans="2:17" ht="29" hidden="1" outlineLevel="1">
      <c r="B142" s="123" t="s">
        <v>525</v>
      </c>
      <c r="C142" s="155" t="s">
        <v>526</v>
      </c>
      <c r="D142" s="158" t="s">
        <v>637</v>
      </c>
      <c r="E142" s="374" t="s">
        <v>165</v>
      </c>
      <c r="F142" s="375" t="s">
        <v>175</v>
      </c>
      <c r="G142" s="375" t="s">
        <v>163</v>
      </c>
      <c r="H142" s="375" t="s">
        <v>169</v>
      </c>
      <c r="I142" s="375" t="s">
        <v>161</v>
      </c>
      <c r="J142" s="375" t="s">
        <v>153</v>
      </c>
      <c r="K142" s="375" t="s">
        <v>171</v>
      </c>
      <c r="L142" s="375" t="s">
        <v>527</v>
      </c>
      <c r="M142" s="375" t="s">
        <v>167</v>
      </c>
      <c r="N142" s="375" t="s">
        <v>173</v>
      </c>
      <c r="O142" s="375" t="s">
        <v>159</v>
      </c>
      <c r="P142" s="375" t="s">
        <v>154</v>
      </c>
      <c r="Q142" s="378" t="s">
        <v>157</v>
      </c>
    </row>
    <row r="143" spans="2:17" ht="30.5" hidden="1" customHeight="1" outlineLevel="1">
      <c r="B143" s="10" t="s">
        <v>638</v>
      </c>
      <c r="C143" s="11">
        <v>90183290</v>
      </c>
      <c r="D143" s="11">
        <v>52.118000000000002</v>
      </c>
      <c r="E143" s="229">
        <v>0</v>
      </c>
      <c r="F143" s="297">
        <v>0</v>
      </c>
      <c r="G143" s="297">
        <v>4.2307839901761388E-2</v>
      </c>
      <c r="H143" s="297">
        <v>1.7076633792547681E-3</v>
      </c>
      <c r="I143" s="297">
        <v>0.33318623124448365</v>
      </c>
      <c r="J143" s="297">
        <v>0.2154917686787674</v>
      </c>
      <c r="K143" s="297">
        <v>6.0094401166583523E-2</v>
      </c>
      <c r="L143" s="297">
        <v>6.235849418626962E-3</v>
      </c>
      <c r="M143" s="297">
        <v>3.6340611688859895E-2</v>
      </c>
      <c r="N143" s="297">
        <v>3.6455735062742239E-4</v>
      </c>
      <c r="O143" s="297">
        <v>9.9063663225756937E-2</v>
      </c>
      <c r="P143" s="297">
        <v>0.20520741394527803</v>
      </c>
      <c r="Q143" s="380">
        <v>0</v>
      </c>
    </row>
    <row r="144" spans="2:17" ht="30.5" hidden="1" customHeight="1" outlineLevel="1">
      <c r="B144" s="10" t="s">
        <v>639</v>
      </c>
      <c r="C144" s="11">
        <v>90183210</v>
      </c>
      <c r="D144" s="11">
        <v>2757.9879999999998</v>
      </c>
      <c r="E144" s="229">
        <v>0</v>
      </c>
      <c r="F144" s="297">
        <v>3.8071231636975939E-5</v>
      </c>
      <c r="G144" s="297">
        <v>1.4546836316909283E-3</v>
      </c>
      <c r="H144" s="297">
        <v>3.6874707214099554E-4</v>
      </c>
      <c r="I144" s="297">
        <v>8.3142131147778742E-2</v>
      </c>
      <c r="J144" s="297">
        <v>0.13883780495056541</v>
      </c>
      <c r="K144" s="297">
        <v>2.0333663525729626E-3</v>
      </c>
      <c r="L144" s="297">
        <v>3.7618002688916703E-3</v>
      </c>
      <c r="M144" s="297">
        <v>0.1178707086470282</v>
      </c>
      <c r="N144" s="297">
        <v>7.6142463273951882E-6</v>
      </c>
      <c r="O144" s="297">
        <v>6.9387539032077006E-2</v>
      </c>
      <c r="P144" s="297">
        <v>0.57317617045469382</v>
      </c>
      <c r="Q144" s="380">
        <v>9.9213629645959305E-3</v>
      </c>
    </row>
    <row r="145" spans="2:17" ht="29" hidden="1" outlineLevel="1">
      <c r="B145" s="10" t="s">
        <v>640</v>
      </c>
      <c r="C145" s="11">
        <v>90183900</v>
      </c>
      <c r="D145" s="11">
        <v>20143.499</v>
      </c>
      <c r="E145" s="229">
        <v>8.1139825806827298E-2</v>
      </c>
      <c r="F145" s="297">
        <v>4.701268632624352E-3</v>
      </c>
      <c r="G145" s="297">
        <v>5.2332070014251247E-2</v>
      </c>
      <c r="H145" s="297">
        <v>1.819877470145579E-2</v>
      </c>
      <c r="I145" s="297">
        <v>4.524437387963233E-2</v>
      </c>
      <c r="J145" s="297">
        <v>9.2753796150311318E-2</v>
      </c>
      <c r="K145" s="297">
        <v>3.8598606925241738E-2</v>
      </c>
      <c r="L145" s="297">
        <v>2.43483021494925E-3</v>
      </c>
      <c r="M145" s="297">
        <v>6.4540276741394328E-2</v>
      </c>
      <c r="N145" s="297">
        <v>4.7260905367036778E-5</v>
      </c>
      <c r="O145" s="297">
        <v>6.9473034451462481E-2</v>
      </c>
      <c r="P145" s="297">
        <v>0.45815416676119675</v>
      </c>
      <c r="Q145" s="380">
        <v>7.2381714815286061E-2</v>
      </c>
    </row>
    <row r="146" spans="2:17" ht="29" hidden="1" outlineLevel="1">
      <c r="B146" s="10" t="s">
        <v>641</v>
      </c>
      <c r="C146" s="11">
        <v>90183110</v>
      </c>
      <c r="D146" s="11">
        <v>12197.619000000001</v>
      </c>
      <c r="E146" s="229">
        <v>0</v>
      </c>
      <c r="F146" s="297">
        <v>1.3937146257806545E-6</v>
      </c>
      <c r="G146" s="297">
        <v>0.38557738194642743</v>
      </c>
      <c r="H146" s="297">
        <v>1.353542851272859E-4</v>
      </c>
      <c r="I146" s="297">
        <v>1.2191723647049478E-3</v>
      </c>
      <c r="J146" s="297">
        <v>3.5731399710058169E-2</v>
      </c>
      <c r="K146" s="297">
        <v>7.3178216174812482E-4</v>
      </c>
      <c r="L146" s="297">
        <v>1.9277532770944888E-3</v>
      </c>
      <c r="M146" s="297">
        <v>3.0694515052486883E-3</v>
      </c>
      <c r="N146" s="297">
        <v>1.1658012928588769E-3</v>
      </c>
      <c r="O146" s="297">
        <v>8.5802155322280527E-2</v>
      </c>
      <c r="P146" s="297">
        <v>0.19910639937187741</v>
      </c>
      <c r="Q146" s="380">
        <v>0.28553195504794832</v>
      </c>
    </row>
    <row r="147" spans="2:17" ht="29.5" hidden="1" outlineLevel="1" thickBot="1">
      <c r="B147" s="13" t="s">
        <v>642</v>
      </c>
      <c r="C147" s="14">
        <v>90183190</v>
      </c>
      <c r="D147" s="14">
        <v>19247.197</v>
      </c>
      <c r="E147" s="376">
        <v>7.3809188943200401E-3</v>
      </c>
      <c r="F147" s="298">
        <v>1.558668516771559E-7</v>
      </c>
      <c r="G147" s="298">
        <v>2.0379590856788132E-3</v>
      </c>
      <c r="H147" s="298">
        <v>6.6627883530261578E-4</v>
      </c>
      <c r="I147" s="298">
        <v>1.8484769496566176E-3</v>
      </c>
      <c r="J147" s="298">
        <v>5.9840765385214274E-2</v>
      </c>
      <c r="K147" s="298">
        <v>1.2808098758484157E-3</v>
      </c>
      <c r="L147" s="298">
        <v>2.3965048001534975E-3</v>
      </c>
      <c r="M147" s="298">
        <v>8.8501198382289121E-4</v>
      </c>
      <c r="N147" s="298">
        <v>3.2783994469428458E-5</v>
      </c>
      <c r="O147" s="298">
        <v>0.20957264582474008</v>
      </c>
      <c r="P147" s="298">
        <v>0.70460135052392303</v>
      </c>
      <c r="Q147" s="381">
        <v>9.4563379800185962E-3</v>
      </c>
    </row>
    <row r="148" spans="2:17" ht="15" hidden="1" outlineLevel="1" thickBot="1">
      <c r="B148" s="1545" t="s">
        <v>643</v>
      </c>
      <c r="C148" s="1546"/>
      <c r="D148" s="1547"/>
      <c r="E148" s="701">
        <f>SUMPRODUCT(E143:E147,$D143:$D147)/SUM($D143:$D147)</f>
        <v>3.2657234664954696E-2</v>
      </c>
      <c r="F148" s="298">
        <f t="shared" ref="F148:Q148" si="5">SUMPRODUCT(F143:F147,$D143:$D147)/SUM($D143:$D147)</f>
        <v>1.7431572140669304E-3</v>
      </c>
      <c r="G148" s="298">
        <f t="shared" si="5"/>
        <v>0.10667072487269438</v>
      </c>
      <c r="H148" s="298">
        <f t="shared" si="5"/>
        <v>7.0253509748012723E-3</v>
      </c>
      <c r="I148" s="298">
        <f t="shared" si="5"/>
        <v>2.2215699974085644E-2</v>
      </c>
      <c r="J148" s="298">
        <f t="shared" si="5"/>
        <v>7.0776594783881694E-2</v>
      </c>
      <c r="K148" s="298">
        <f t="shared" si="5"/>
        <v>1.5070823471144502E-2</v>
      </c>
      <c r="L148" s="298">
        <f t="shared" si="5"/>
        <v>2.3784881550146463E-3</v>
      </c>
      <c r="M148" s="298">
        <f t="shared" si="5"/>
        <v>3.0911209720590974E-2</v>
      </c>
      <c r="N148" s="298">
        <f t="shared" si="5"/>
        <v>2.9124007110426973E-4</v>
      </c>
      <c r="O148" s="298">
        <f t="shared" si="5"/>
        <v>0.12272839684078329</v>
      </c>
      <c r="P148" s="298">
        <f t="shared" si="5"/>
        <v>0.49285550034623249</v>
      </c>
      <c r="Q148" s="381">
        <f t="shared" si="5"/>
        <v>9.4675578910645222E-2</v>
      </c>
    </row>
    <row r="149" spans="2:17" hidden="1" outlineLevel="1">
      <c r="B149" s="1251"/>
    </row>
    <row r="150" spans="2:17" hidden="1" outlineLevel="1">
      <c r="B150" s="1251" t="s">
        <v>644</v>
      </c>
    </row>
    <row r="151" spans="2:17" hidden="1" outlineLevel="1">
      <c r="B151" s="1251"/>
    </row>
    <row r="152" spans="2:17" hidden="1" outlineLevel="1">
      <c r="B152" s="1251" t="s">
        <v>531</v>
      </c>
      <c r="C152" s="87"/>
    </row>
    <row r="153" spans="2:17" hidden="1" outlineLevel="1">
      <c r="B153" s="1251" t="s">
        <v>645</v>
      </c>
      <c r="C153" s="1310"/>
      <c r="D153" s="1251"/>
    </row>
    <row r="154" spans="2:17" hidden="1" outlineLevel="1">
      <c r="B154" s="1251"/>
      <c r="C154" s="1251"/>
      <c r="D154" s="1251"/>
    </row>
    <row r="155" spans="2:17" ht="14.5" hidden="1" outlineLevel="1" thickBot="1">
      <c r="B155" s="1251" t="s">
        <v>533</v>
      </c>
      <c r="C155" s="1251"/>
      <c r="D155" s="1251"/>
    </row>
    <row r="156" spans="2:17" ht="14.5" hidden="1" outlineLevel="1">
      <c r="B156" s="123"/>
      <c r="C156" s="379" t="s">
        <v>534</v>
      </c>
      <c r="D156" s="1251"/>
    </row>
    <row r="157" spans="2:17" ht="15" hidden="1" outlineLevel="1" thickBot="1">
      <c r="B157" s="13" t="s">
        <v>646</v>
      </c>
      <c r="C157" s="313">
        <f>P148/(1+P148)</f>
        <v>0.33014280366179199</v>
      </c>
      <c r="D157" s="1251"/>
    </row>
    <row r="158" spans="2:17" hidden="1" outlineLevel="1">
      <c r="B158" s="1251"/>
      <c r="C158" s="1251"/>
      <c r="D158" s="1251"/>
      <c r="G158" s="1251"/>
      <c r="H158" s="1251"/>
    </row>
    <row r="159" spans="2:17" ht="14.5" hidden="1" outlineLevel="1" thickBot="1">
      <c r="B159" s="1251" t="s">
        <v>647</v>
      </c>
      <c r="C159" s="1251"/>
      <c r="D159" s="1251"/>
    </row>
    <row r="160" spans="2:17" ht="29" hidden="1" outlineLevel="1">
      <c r="B160" s="123" t="s">
        <v>536</v>
      </c>
      <c r="C160" s="379" t="s">
        <v>537</v>
      </c>
      <c r="D160" s="1251"/>
    </row>
    <row r="161" spans="2:26" ht="29.5" hidden="1" outlineLevel="1" thickBot="1">
      <c r="B161" s="13" t="s">
        <v>648</v>
      </c>
      <c r="C161" s="686">
        <v>0.25</v>
      </c>
      <c r="D161" s="1251"/>
    </row>
    <row r="162" spans="2:26" hidden="1" outlineLevel="1">
      <c r="B162" s="1251"/>
      <c r="C162" s="1251"/>
      <c r="D162" s="1251"/>
    </row>
    <row r="163" spans="2:26" hidden="1" outlineLevel="1">
      <c r="B163" s="1251"/>
      <c r="C163" s="1251"/>
      <c r="D163" s="1251"/>
    </row>
    <row r="164" spans="2:26" hidden="1" outlineLevel="1">
      <c r="B164" s="1251" t="s">
        <v>540</v>
      </c>
      <c r="G164" s="1251"/>
      <c r="H164" s="1251"/>
    </row>
    <row r="165" spans="2:26" ht="15" hidden="1" customHeight="1" outlineLevel="1" thickBot="1">
      <c r="B165" s="1251"/>
      <c r="C165" s="1548" t="s">
        <v>357</v>
      </c>
      <c r="D165" s="1549"/>
      <c r="E165" s="1549"/>
      <c r="F165" s="1550"/>
      <c r="G165" s="1548" t="s">
        <v>358</v>
      </c>
      <c r="H165" s="1549"/>
      <c r="I165" s="1549"/>
      <c r="J165" s="1550"/>
      <c r="K165" s="1548" t="s">
        <v>359</v>
      </c>
      <c r="L165" s="1549"/>
      <c r="M165" s="1549"/>
      <c r="N165" s="1549"/>
    </row>
    <row r="166" spans="2:26" s="1" customFormat="1" ht="43.5" hidden="1" outlineLevel="1">
      <c r="B166" s="4"/>
      <c r="C166" s="158" t="s">
        <v>541</v>
      </c>
      <c r="D166" s="158" t="s">
        <v>542</v>
      </c>
      <c r="E166" s="158" t="s">
        <v>649</v>
      </c>
      <c r="F166" s="159" t="s">
        <v>543</v>
      </c>
      <c r="G166" s="158" t="s">
        <v>541</v>
      </c>
      <c r="H166" s="158" t="s">
        <v>542</v>
      </c>
      <c r="I166" s="158" t="s">
        <v>649</v>
      </c>
      <c r="J166" s="159" t="s">
        <v>543</v>
      </c>
      <c r="K166" s="158" t="s">
        <v>541</v>
      </c>
      <c r="L166" s="158" t="s">
        <v>542</v>
      </c>
      <c r="M166" s="158" t="s">
        <v>650</v>
      </c>
      <c r="N166" s="159" t="s">
        <v>543</v>
      </c>
    </row>
    <row r="167" spans="2:26" ht="15" hidden="1" outlineLevel="1" thickBot="1">
      <c r="B167" s="13" t="s">
        <v>646</v>
      </c>
      <c r="C167" s="14">
        <f>SUMPRODUCT(E148:Q148,'Annexe - Logistique'!$D$12:$P$12)/SUM(E148:Q148)/(1+C157)</f>
        <v>794.5051797724833</v>
      </c>
      <c r="D167" s="14">
        <f>(1-C161)*SUMPRODUCT(E148:O148,'Annexe - Logistique'!$D$13:$N$13)/SUM(E148:O148)/(1+C157)</f>
        <v>6583.6674456102819</v>
      </c>
      <c r="E167" s="14">
        <f>C161*SUMPRODUCT(E148:O148,'Annexe - Logistique'!$D$16:$N$16)/SUM(E148:O148)/(1+C157)</f>
        <v>1528.5462829254693</v>
      </c>
      <c r="F167" s="38">
        <f>500</f>
        <v>500</v>
      </c>
      <c r="G167" s="14">
        <f>SUMPRODUCT(P148:Q148,'Annexe - Logistique'!$O$12:$P$12)/SUM(P148:Q148)</f>
        <v>1096.684838218662</v>
      </c>
      <c r="H167" s="14">
        <v>0</v>
      </c>
      <c r="I167" s="14">
        <v>0</v>
      </c>
      <c r="J167" s="38">
        <f>500</f>
        <v>500</v>
      </c>
      <c r="K167" s="14">
        <v>0</v>
      </c>
      <c r="L167" s="14">
        <v>0</v>
      </c>
      <c r="M167" s="14">
        <v>0</v>
      </c>
      <c r="N167" s="38">
        <f>500</f>
        <v>500</v>
      </c>
    </row>
    <row r="168" spans="2:26" hidden="1" outlineLevel="1">
      <c r="B168" s="1251"/>
      <c r="C168" s="1251"/>
      <c r="D168" s="1251"/>
      <c r="G168" s="1251"/>
      <c r="H168" s="1251"/>
    </row>
    <row r="169" spans="2:26" ht="14.5" hidden="1" outlineLevel="1" thickBot="1">
      <c r="B169" s="1251" t="s">
        <v>544</v>
      </c>
      <c r="C169" s="1251"/>
      <c r="D169" s="1251"/>
      <c r="G169" s="1251"/>
      <c r="H169" s="1251"/>
    </row>
    <row r="170" spans="2:26" ht="29" hidden="1" outlineLevel="1">
      <c r="B170" s="123"/>
      <c r="C170" s="159" t="s">
        <v>545</v>
      </c>
      <c r="G170" s="1251"/>
      <c r="H170" s="1251"/>
    </row>
    <row r="171" spans="2:26" ht="15" hidden="1" outlineLevel="1" thickBot="1">
      <c r="B171" s="13" t="s">
        <v>646</v>
      </c>
      <c r="C171" s="709">
        <f>D125/C125</f>
        <v>0.15323548790452754</v>
      </c>
      <c r="E171" s="74"/>
      <c r="G171" s="1251"/>
      <c r="H171" s="1251"/>
    </row>
    <row r="172" spans="2:26" hidden="1" outlineLevel="1">
      <c r="B172" s="1251"/>
      <c r="C172" s="1251"/>
      <c r="G172" s="1251"/>
      <c r="H172" s="1251"/>
    </row>
    <row r="173" spans="2:26" ht="14.5" hidden="1" outlineLevel="1" thickBot="1">
      <c r="B173" s="1251" t="s">
        <v>546</v>
      </c>
      <c r="D173" s="1251"/>
      <c r="G173" s="1251"/>
      <c r="H173" s="1251"/>
    </row>
    <row r="174" spans="2:26" ht="17.5" hidden="1" customHeight="1" outlineLevel="1">
      <c r="B174" s="1551"/>
      <c r="C174" s="1541" t="s">
        <v>357</v>
      </c>
      <c r="D174" s="1542"/>
      <c r="E174" s="1542"/>
      <c r="F174" s="1542"/>
      <c r="G174" s="1543"/>
      <c r="H174" s="1541" t="s">
        <v>358</v>
      </c>
      <c r="I174" s="1542"/>
      <c r="J174" s="1542"/>
      <c r="K174" s="1543"/>
      <c r="L174" s="1541" t="s">
        <v>359</v>
      </c>
      <c r="M174" s="1542"/>
      <c r="N174" s="1542"/>
      <c r="O174" s="1544"/>
      <c r="P174" s="303" t="s">
        <v>196</v>
      </c>
      <c r="U174" s="169" t="s">
        <v>651</v>
      </c>
      <c r="V174" s="158" t="s">
        <v>550</v>
      </c>
      <c r="W174" s="158" t="s">
        <v>551</v>
      </c>
      <c r="X174" s="158" t="s">
        <v>652</v>
      </c>
      <c r="Y174" s="158" t="s">
        <v>552</v>
      </c>
      <c r="Z174" s="159" t="s">
        <v>196</v>
      </c>
    </row>
    <row r="175" spans="2:26" s="1" customFormat="1" ht="29" hidden="1" outlineLevel="1">
      <c r="B175" s="1552"/>
      <c r="C175" s="167" t="s">
        <v>550</v>
      </c>
      <c r="D175" s="167" t="s">
        <v>551</v>
      </c>
      <c r="E175" s="167" t="s">
        <v>653</v>
      </c>
      <c r="F175" s="167" t="s">
        <v>552</v>
      </c>
      <c r="G175" s="167" t="s">
        <v>83</v>
      </c>
      <c r="H175" s="167" t="s">
        <v>550</v>
      </c>
      <c r="I175" s="167" t="s">
        <v>654</v>
      </c>
      <c r="J175" s="167" t="s">
        <v>552</v>
      </c>
      <c r="K175" s="167" t="s">
        <v>83</v>
      </c>
      <c r="L175" s="167" t="s">
        <v>550</v>
      </c>
      <c r="M175" s="167" t="s">
        <v>654</v>
      </c>
      <c r="N175" s="167" t="s">
        <v>552</v>
      </c>
      <c r="O175" s="303" t="s">
        <v>83</v>
      </c>
      <c r="U175" s="10" t="s">
        <v>359</v>
      </c>
      <c r="V175" s="36"/>
      <c r="W175" s="36"/>
      <c r="X175" s="36"/>
      <c r="Y175" s="714">
        <f>N176</f>
        <v>8.9375750312600866E-2</v>
      </c>
      <c r="Z175" s="1137">
        <f>P$176</f>
        <v>0.29407504941565449</v>
      </c>
    </row>
    <row r="176" spans="2:26" ht="44" hidden="1" outlineLevel="1" thickBot="1">
      <c r="B176" s="13" t="s">
        <v>646</v>
      </c>
      <c r="C176" s="992">
        <f>(1+$C171)*C167*'Annexe - Logistique'!$D$29/10^3</f>
        <v>0.18599906843343164</v>
      </c>
      <c r="D176" s="992">
        <f>(1+$C171)*D167*'Annexe - Logistique'!$D$28/10^3</f>
        <v>0.34394110792943061</v>
      </c>
      <c r="E176" s="992">
        <f>(1+$C171)*E167*'Annexe - Logistique'!D26/10^3</f>
        <v>2.1153285820490466</v>
      </c>
      <c r="F176" s="992">
        <f>(1+$C171)*F167*'Annexe - Logistique'!$D$30/10^3</f>
        <v>8.9375750312600866E-2</v>
      </c>
      <c r="G176" s="993">
        <f>SUM(C176:F176)</f>
        <v>2.7346445087245099</v>
      </c>
      <c r="H176" s="992">
        <f>(1+$C171)*G167*'Annexe - Logistique'!$D$29/10^3</f>
        <v>0.25674138251956113</v>
      </c>
      <c r="I176" s="992">
        <f>(1+$C171)*H167*'Annexe - Logistique'!$D$28/10^3</f>
        <v>0</v>
      </c>
      <c r="J176" s="992">
        <f>(1+$C171)*J167*'Annexe - Logistique'!$D$30/10^3</f>
        <v>8.9375750312600866E-2</v>
      </c>
      <c r="K176" s="993">
        <f>SUM(H176:J176)</f>
        <v>0.346117132832162</v>
      </c>
      <c r="L176" s="992">
        <f>(1+$C171)*K167*'Annexe - Logistique'!$D$29/10^3</f>
        <v>0</v>
      </c>
      <c r="M176" s="992">
        <f>(1+$C171)*L167*'Annexe - Logistique'!$D$28/10^3</f>
        <v>0</v>
      </c>
      <c r="N176" s="992">
        <f>(1+$C171)*N167*'Annexe - Logistique'!$D$30/10^3</f>
        <v>8.9375750312600866E-2</v>
      </c>
      <c r="O176" s="994">
        <f>SUM(L176:N176)</f>
        <v>8.9375750312600866E-2</v>
      </c>
      <c r="P176" s="706">
        <f>C185</f>
        <v>0.29407504941565449</v>
      </c>
      <c r="U176" s="10" t="s">
        <v>655</v>
      </c>
      <c r="V176" s="247">
        <f>H176</f>
        <v>0.25674138251956113</v>
      </c>
      <c r="W176" s="21"/>
      <c r="X176" s="21"/>
      <c r="Y176" s="247">
        <f>J176</f>
        <v>8.9375750312600866E-2</v>
      </c>
      <c r="Z176" s="1137">
        <f>P$176</f>
        <v>0.29407504941565449</v>
      </c>
    </row>
    <row r="177" spans="2:26" ht="29.5" hidden="1" outlineLevel="1" thickBot="1">
      <c r="B177" s="1251"/>
      <c r="C177" s="1251"/>
      <c r="D177" s="1251"/>
      <c r="G177" s="1251"/>
      <c r="H177" s="1251"/>
      <c r="U177" s="13" t="s">
        <v>656</v>
      </c>
      <c r="V177" s="127">
        <f>C176</f>
        <v>0.18599906843343164</v>
      </c>
      <c r="W177" s="127">
        <f>D176</f>
        <v>0.34394110792943061</v>
      </c>
      <c r="X177" s="127">
        <f>E176</f>
        <v>2.1153285820490466</v>
      </c>
      <c r="Y177" s="127">
        <f>F176</f>
        <v>8.9375750312600866E-2</v>
      </c>
      <c r="Z177" s="1138">
        <f>P$176</f>
        <v>0.29407504941565449</v>
      </c>
    </row>
    <row r="178" spans="2:26" ht="14.5" hidden="1" outlineLevel="1" thickBot="1">
      <c r="B178" s="1251" t="s">
        <v>657</v>
      </c>
      <c r="C178" s="1251"/>
      <c r="D178" s="1251"/>
      <c r="G178" s="1251"/>
      <c r="H178" s="1251"/>
    </row>
    <row r="179" spans="2:26" ht="15" hidden="1" outlineLevel="1" thickBot="1">
      <c r="B179" s="20" t="s">
        <v>658</v>
      </c>
      <c r="C179" s="710">
        <f>O176*C157+K176*SUM(P148:Q148)/(1+C157)+G176*SUM(E148:O148)/(1+C157)</f>
        <v>1.0303845898950053</v>
      </c>
      <c r="D179" s="1320" t="s">
        <v>659</v>
      </c>
      <c r="F179" s="581"/>
      <c r="G179" s="1251"/>
      <c r="H179" s="1251"/>
    </row>
    <row r="180" spans="2:26" ht="15" hidden="1" outlineLevel="1" thickBot="1">
      <c r="B180" s="1010" t="s">
        <v>660</v>
      </c>
      <c r="C180" s="1011">
        <f>C179* SUM(C38:C44)/1000</f>
        <v>76.557282112498044</v>
      </c>
      <c r="D180" s="1320" t="s">
        <v>661</v>
      </c>
      <c r="G180" s="1251"/>
      <c r="H180" s="1251"/>
    </row>
    <row r="181" spans="2:26" ht="14.5" hidden="1" outlineLevel="1">
      <c r="B181" s="182" t="s">
        <v>662</v>
      </c>
      <c r="C181" s="1012">
        <f>(L176+N176)*C157+(H176+J176)*SUM(P148:Q148)/(1+C157)+(C176+F176)*SUM(E148:O148)/(1+C157)</f>
        <v>0.26778052058064439</v>
      </c>
      <c r="D181" s="1251"/>
      <c r="G181" s="1251"/>
      <c r="H181" s="1251"/>
    </row>
    <row r="182" spans="2:26" ht="15" hidden="1" outlineLevel="1" thickBot="1">
      <c r="B182" s="13" t="s">
        <v>663</v>
      </c>
      <c r="C182" s="1013">
        <f>1-C181</f>
        <v>0.73221947941935561</v>
      </c>
      <c r="D182" s="1251"/>
      <c r="G182" s="1251"/>
      <c r="H182" s="1251"/>
    </row>
    <row r="183" spans="2:26" hidden="1" outlineLevel="1">
      <c r="B183" s="1251"/>
      <c r="C183" s="1251"/>
      <c r="D183" s="1251"/>
      <c r="G183" s="1251"/>
      <c r="H183" s="1251"/>
    </row>
    <row r="184" spans="2:26" ht="14.5" hidden="1" outlineLevel="1" thickBot="1">
      <c r="B184" s="1251" t="s">
        <v>664</v>
      </c>
      <c r="C184" s="1251"/>
      <c r="D184" s="1251"/>
      <c r="G184" s="1251"/>
      <c r="H184" s="1251"/>
    </row>
    <row r="185" spans="2:26" ht="15" hidden="1" outlineLevel="1" thickBot="1">
      <c r="B185" s="20" t="s">
        <v>658</v>
      </c>
      <c r="C185" s="710">
        <f>'Annexe - Logistique'!C42*(1+C171)</f>
        <v>0.29407504941565449</v>
      </c>
      <c r="D185" s="1320" t="s">
        <v>659</v>
      </c>
      <c r="G185" s="1251"/>
      <c r="H185" s="1251"/>
    </row>
    <row r="186" spans="2:26" ht="15" hidden="1" outlineLevel="1" thickBot="1">
      <c r="B186" s="20" t="s">
        <v>665</v>
      </c>
      <c r="C186" s="710">
        <f>C185* SUM(C38:C44)/1000</f>
        <v>21.849692572222153</v>
      </c>
      <c r="D186" s="1320" t="s">
        <v>661</v>
      </c>
      <c r="G186" s="1251"/>
      <c r="H186" s="1251"/>
    </row>
    <row r="187" spans="2:26" hidden="1" outlineLevel="1">
      <c r="B187" s="1251"/>
      <c r="C187" s="1251"/>
      <c r="D187" s="1251"/>
      <c r="G187" s="1251"/>
      <c r="H187" s="1251"/>
    </row>
    <row r="188" spans="2:26" collapsed="1">
      <c r="B188" s="1251"/>
    </row>
    <row r="189" spans="2:26" ht="20">
      <c r="B189" s="216" t="s">
        <v>553</v>
      </c>
    </row>
    <row r="190" spans="2:26">
      <c r="B190" s="1251"/>
    </row>
    <row r="191" spans="2:26" hidden="1" outlineLevel="1">
      <c r="B191" s="1251" t="s">
        <v>666</v>
      </c>
    </row>
    <row r="192" spans="2:26" hidden="1" outlineLevel="1">
      <c r="B192" s="1251" t="s">
        <v>555</v>
      </c>
    </row>
    <row r="193" spans="2:5" hidden="1" outlineLevel="1">
      <c r="B193" s="87" t="s">
        <v>556</v>
      </c>
    </row>
    <row r="194" spans="2:5" hidden="1" outlineLevel="1">
      <c r="B194" s="87"/>
    </row>
    <row r="195" spans="2:5" hidden="1" outlineLevel="1">
      <c r="B195" s="1251" t="s">
        <v>469</v>
      </c>
    </row>
    <row r="196" spans="2:5" hidden="1" outlineLevel="1">
      <c r="B196" s="1251" t="s">
        <v>667</v>
      </c>
    </row>
    <row r="197" spans="2:5" hidden="1" outlineLevel="1"/>
    <row r="198" spans="2:5" hidden="1" outlineLevel="1">
      <c r="B198" s="1251" t="s">
        <v>558</v>
      </c>
    </row>
    <row r="199" spans="2:5" ht="14.5" hidden="1" outlineLevel="1" thickBot="1">
      <c r="B199" s="1251" t="s">
        <v>559</v>
      </c>
    </row>
    <row r="200" spans="2:5" ht="14.5" hidden="1" outlineLevel="1">
      <c r="B200" s="4"/>
      <c r="C200" s="5" t="s">
        <v>73</v>
      </c>
      <c r="D200" s="5" t="s">
        <v>301</v>
      </c>
      <c r="E200" s="6" t="s">
        <v>70</v>
      </c>
    </row>
    <row r="201" spans="2:5" ht="42" hidden="1" outlineLevel="1">
      <c r="B201" s="562" t="s">
        <v>560</v>
      </c>
      <c r="C201" s="21">
        <v>943</v>
      </c>
      <c r="D201" s="21" t="s">
        <v>561</v>
      </c>
      <c r="E201" s="684" t="s">
        <v>562</v>
      </c>
    </row>
    <row r="202" spans="2:5" ht="56.5" hidden="1" outlineLevel="1" thickBot="1">
      <c r="B202" s="565" t="s">
        <v>563</v>
      </c>
      <c r="C202" s="22">
        <v>386</v>
      </c>
      <c r="D202" s="22" t="s">
        <v>561</v>
      </c>
      <c r="E202" s="1311" t="s">
        <v>564</v>
      </c>
    </row>
    <row r="203" spans="2:5" hidden="1" outlineLevel="1"/>
    <row r="204" spans="2:5" ht="14.5" hidden="1" outlineLevel="1" thickBot="1">
      <c r="B204" s="1251" t="s">
        <v>565</v>
      </c>
    </row>
    <row r="205" spans="2:5" ht="29" hidden="1" outlineLevel="1">
      <c r="B205" s="4"/>
      <c r="C205" s="5" t="s">
        <v>668</v>
      </c>
      <c r="D205" s="5" t="s">
        <v>669</v>
      </c>
      <c r="E205" s="6" t="s">
        <v>670</v>
      </c>
    </row>
    <row r="206" spans="2:5" hidden="1" outlineLevel="1">
      <c r="B206" s="562" t="s">
        <v>671</v>
      </c>
      <c r="C206" s="168">
        <f>AVERAGE(C201:C202)/1000</f>
        <v>0.66449999999999998</v>
      </c>
      <c r="D206" s="11">
        <f>C125</f>
        <v>74299.715720999986</v>
      </c>
      <c r="E206" s="635">
        <f>C206*D206/1000</f>
        <v>49.372161096604493</v>
      </c>
    </row>
    <row r="207" spans="2:5" hidden="1" outlineLevel="1">
      <c r="B207" s="562" t="s">
        <v>86</v>
      </c>
      <c r="C207" s="168">
        <f>C202/1000</f>
        <v>0.38600000000000001</v>
      </c>
      <c r="D207" s="11">
        <f>D125</f>
        <v>11385.353189675128</v>
      </c>
      <c r="E207" s="635">
        <f>C207*D207/1000</f>
        <v>4.3947463312145993</v>
      </c>
    </row>
    <row r="208" spans="2:5" ht="14.5" hidden="1" outlineLevel="1" thickBot="1">
      <c r="B208" s="565" t="s">
        <v>83</v>
      </c>
      <c r="C208" s="22"/>
      <c r="D208" s="170"/>
      <c r="E208" s="685">
        <f>E206+E207</f>
        <v>53.766907427819092</v>
      </c>
    </row>
    <row r="209" spans="5:5" hidden="1" outlineLevel="1"/>
    <row r="210" spans="5:5" collapsed="1">
      <c r="E210" s="39"/>
    </row>
  </sheetData>
  <sortState xmlns:xlrd2="http://schemas.microsoft.com/office/spreadsheetml/2017/richdata2" ref="B65:C71">
    <sortCondition descending="1" ref="C65:C71"/>
  </sortState>
  <mergeCells count="10">
    <mergeCell ref="A1:XFD2"/>
    <mergeCell ref="E77:H77"/>
    <mergeCell ref="H174:K174"/>
    <mergeCell ref="L174:O174"/>
    <mergeCell ref="B148:D148"/>
    <mergeCell ref="K165:N165"/>
    <mergeCell ref="G165:J165"/>
    <mergeCell ref="C165:F165"/>
    <mergeCell ref="C174:G174"/>
    <mergeCell ref="B174:B175"/>
  </mergeCells>
  <phoneticPr fontId="61" type="noConversion"/>
  <conditionalFormatting sqref="A1:XFD2">
    <cfRule type="containsBlanks" dxfId="20" priority="1">
      <formula>LEN(TRIM(A1))=0</formula>
    </cfRule>
  </conditionalFormatting>
  <conditionalFormatting sqref="F143:Q145">
    <cfRule type="colorScale" priority="6">
      <colorScale>
        <cfvo type="min"/>
        <cfvo type="percentile" val="50"/>
        <cfvo type="max"/>
        <color rgb="FFFCFCFF"/>
        <color rgb="FFDDF0C8"/>
        <color rgb="FF63BE7B"/>
      </colorScale>
    </cfRule>
  </conditionalFormatting>
  <conditionalFormatting sqref="F146:Q146">
    <cfRule type="colorScale" priority="5">
      <colorScale>
        <cfvo type="min"/>
        <cfvo type="percentile" val="50"/>
        <cfvo type="max"/>
        <color rgb="FFFCFCFF"/>
        <color rgb="FFDDF0C8"/>
        <color rgb="FF63BE7B"/>
      </colorScale>
    </cfRule>
  </conditionalFormatting>
  <conditionalFormatting sqref="F147:Q147">
    <cfRule type="colorScale" priority="4">
      <colorScale>
        <cfvo type="min"/>
        <cfvo type="percentile" val="50"/>
        <cfvo type="max"/>
        <color rgb="FFFCFCFF"/>
        <color rgb="FFDDF0C8"/>
        <color rgb="FF63BE7B"/>
      </colorScale>
    </cfRule>
  </conditionalFormatting>
  <conditionalFormatting sqref="F148:Q148">
    <cfRule type="colorScale" priority="2">
      <colorScale>
        <cfvo type="min"/>
        <cfvo type="percentile" val="50"/>
        <cfvo type="max"/>
        <color rgb="FFFCFCFF"/>
        <color rgb="FFDDF0C8"/>
        <color rgb="FF63BE7B"/>
      </colorScale>
    </cfRule>
  </conditionalFormatting>
  <hyperlinks>
    <hyperlink ref="B57" r:id="rId1" xr:uid="{379424E0-692D-406E-8EFC-A32E004B3AF3}"/>
    <hyperlink ref="G64" r:id="rId2" display="https://pvcmed.org/healthcare/facts-figures/" xr:uid="{1448A869-8EE7-499E-81ED-9A2869107377}"/>
    <hyperlink ref="B96" r:id="rId3" display="https://journals.sagepub.com/doi/10.1177/01410768231166135" xr:uid="{F844BD8B-643F-4520-8F7D-16395F880A7D}"/>
    <hyperlink ref="B85" r:id="rId4" xr:uid="{C1F4C52E-5063-462F-BE13-7CF4920003D8}"/>
  </hyperlinks>
  <pageMargins left="0.7" right="0.7" top="0.75" bottom="0.75" header="0.3" footer="0.3"/>
  <pageSetup paperSize="9" orientation="portrait" r:id="rId5"/>
  <drawing r:id="rId6"/>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B2F292-0CED-4668-A590-F06A1DF376CE}">
  <sheetPr>
    <tabColor theme="9"/>
  </sheetPr>
  <dimension ref="A1:P404"/>
  <sheetViews>
    <sheetView zoomScale="60" zoomScaleNormal="60" workbookViewId="0">
      <selection sqref="A1:XFD2"/>
    </sheetView>
  </sheetViews>
  <sheetFormatPr baseColWidth="10" defaultColWidth="10.6640625" defaultRowHeight="14" outlineLevelRow="2"/>
  <cols>
    <col min="2" max="2" width="90.5" customWidth="1"/>
    <col min="3" max="3" width="17.6640625" customWidth="1"/>
    <col min="4" max="4" width="21.1640625" customWidth="1"/>
    <col min="5" max="5" width="14.5" customWidth="1"/>
    <col min="6" max="6" width="11.5" customWidth="1"/>
    <col min="7" max="8" width="12.83203125" bestFit="1" customWidth="1"/>
  </cols>
  <sheetData>
    <row r="1" spans="1:9" s="1505" customFormat="1">
      <c r="A1" s="1505" t="s">
        <v>672</v>
      </c>
    </row>
    <row r="2" spans="1:9" s="1505" customFormat="1"/>
    <row r="5" spans="1:9">
      <c r="B5" s="1251" t="s">
        <v>25</v>
      </c>
    </row>
    <row r="6" spans="1:9">
      <c r="B6" s="1251"/>
    </row>
    <row r="7" spans="1:9">
      <c r="B7" s="1251"/>
    </row>
    <row r="8" spans="1:9" ht="23.5">
      <c r="B8" s="2" t="s">
        <v>180</v>
      </c>
    </row>
    <row r="10" spans="1:9" ht="14.5" hidden="1" outlineLevel="1" thickBot="1">
      <c r="B10" t="s">
        <v>673</v>
      </c>
    </row>
    <row r="11" spans="1:9" ht="29" hidden="1" outlineLevel="1">
      <c r="B11" s="4"/>
      <c r="C11" s="979" t="s">
        <v>674</v>
      </c>
      <c r="D11" s="4" t="s">
        <v>84</v>
      </c>
      <c r="E11" s="5" t="s">
        <v>187</v>
      </c>
      <c r="F11" s="5" t="s">
        <v>86</v>
      </c>
      <c r="G11" s="5" t="s">
        <v>201</v>
      </c>
      <c r="H11" s="5" t="s">
        <v>349</v>
      </c>
      <c r="I11" s="6" t="s">
        <v>89</v>
      </c>
    </row>
    <row r="12" spans="1:9" ht="14.5" hidden="1" outlineLevel="1">
      <c r="B12" s="10" t="s">
        <v>675</v>
      </c>
      <c r="C12" s="980">
        <f>SUM(D12:K12)</f>
        <v>11.829036281768559</v>
      </c>
      <c r="D12" s="982">
        <f>F298</f>
        <v>7.3269418742638264</v>
      </c>
      <c r="E12" s="466">
        <f>H298</f>
        <v>1.7959140944113561</v>
      </c>
      <c r="F12" s="466">
        <f>D326</f>
        <v>0.75594588080399572</v>
      </c>
      <c r="G12" s="466">
        <f>F344</f>
        <v>0.2529056538072218</v>
      </c>
      <c r="H12" s="981">
        <f>M375</f>
        <v>1.1363999335239772</v>
      </c>
      <c r="I12" s="211">
        <f>E395</f>
        <v>0.56092884495818296</v>
      </c>
    </row>
    <row r="13" spans="1:9" ht="14.5" hidden="1" outlineLevel="1">
      <c r="B13" s="10" t="s">
        <v>676</v>
      </c>
      <c r="C13" s="980">
        <f t="shared" ref="C13:C18" si="0">SUM(D13:K13)</f>
        <v>6.8984254807253382</v>
      </c>
      <c r="D13" s="982">
        <f t="shared" ref="D13:D18" si="1">F299</f>
        <v>3.9087609307599873</v>
      </c>
      <c r="E13" s="466">
        <f t="shared" ref="E13:E18" si="2">H299</f>
        <v>1.1422593694261343</v>
      </c>
      <c r="F13" s="466">
        <f t="shared" ref="F13:F18" si="3">D327</f>
        <v>0.51605516810822905</v>
      </c>
      <c r="G13" s="466">
        <f t="shared" ref="G13:G18" si="4">F345</f>
        <v>0.17264895940989636</v>
      </c>
      <c r="H13" s="981">
        <f t="shared" ref="H13:H18" si="5">M376</f>
        <v>0.7757765120820227</v>
      </c>
      <c r="I13" s="211">
        <f t="shared" ref="I13:I18" si="6">E396</f>
        <v>0.38292454093906847</v>
      </c>
    </row>
    <row r="14" spans="1:9" ht="14.5" hidden="1" outlineLevel="1">
      <c r="B14" s="10" t="s">
        <v>677</v>
      </c>
      <c r="C14" s="980">
        <f t="shared" si="0"/>
        <v>5.4206967023249071</v>
      </c>
      <c r="D14" s="982">
        <f t="shared" si="1"/>
        <v>2.728437289703125</v>
      </c>
      <c r="E14" s="466">
        <f t="shared" si="2"/>
        <v>1.0737306099024466</v>
      </c>
      <c r="F14" s="466">
        <f t="shared" si="3"/>
        <v>0.48603321586831905</v>
      </c>
      <c r="G14" s="466">
        <f t="shared" si="4"/>
        <v>4.1202961889377797E-2</v>
      </c>
      <c r="H14" s="981">
        <f t="shared" si="5"/>
        <v>0.73064504778538764</v>
      </c>
      <c r="I14" s="211">
        <f t="shared" si="6"/>
        <v>0.36064757717624996</v>
      </c>
    </row>
    <row r="15" spans="1:9" ht="14.5" hidden="1" outlineLevel="1">
      <c r="B15" s="10" t="s">
        <v>678</v>
      </c>
      <c r="C15" s="980">
        <f t="shared" si="0"/>
        <v>45.704645121306918</v>
      </c>
      <c r="D15" s="982">
        <f t="shared" si="1"/>
        <v>25.176569413318791</v>
      </c>
      <c r="E15" s="466">
        <f t="shared" si="2"/>
        <v>8.0795775337301983</v>
      </c>
      <c r="F15" s="466">
        <f t="shared" si="3"/>
        <v>3.8069886975855143</v>
      </c>
      <c r="G15" s="466">
        <f t="shared" si="4"/>
        <v>9.3660166486639454E-2</v>
      </c>
      <c r="H15" s="981">
        <f t="shared" si="5"/>
        <v>5.7229780765012697</v>
      </c>
      <c r="I15" s="211">
        <f t="shared" si="6"/>
        <v>2.8248712336845001</v>
      </c>
    </row>
    <row r="16" spans="1:9" ht="14.5" hidden="1" outlineLevel="1">
      <c r="B16" s="10" t="s">
        <v>679</v>
      </c>
      <c r="C16" s="980">
        <f t="shared" si="0"/>
        <v>0.81978644204933082</v>
      </c>
      <c r="D16" s="982">
        <f t="shared" si="1"/>
        <v>0.38223029250000001</v>
      </c>
      <c r="E16" s="466">
        <f t="shared" si="2"/>
        <v>0.17944260304467707</v>
      </c>
      <c r="F16" s="466">
        <f t="shared" si="3"/>
        <v>7.9534458777917164E-2</v>
      </c>
      <c r="G16" s="466">
        <f t="shared" si="4"/>
        <v>0</v>
      </c>
      <c r="H16" s="981">
        <f t="shared" si="5"/>
        <v>0.11956273056473651</v>
      </c>
      <c r="I16" s="211">
        <f t="shared" si="6"/>
        <v>5.9016357162000002E-2</v>
      </c>
    </row>
    <row r="17" spans="2:9" ht="14.5" hidden="1" outlineLevel="1">
      <c r="B17" s="10" t="s">
        <v>680</v>
      </c>
      <c r="C17" s="980">
        <f t="shared" si="0"/>
        <v>3.278812157071838</v>
      </c>
      <c r="D17" s="982">
        <f t="shared" si="1"/>
        <v>1.5939952559999999</v>
      </c>
      <c r="E17" s="466">
        <f t="shared" si="2"/>
        <v>0.64473946765431467</v>
      </c>
      <c r="F17" s="466">
        <f t="shared" si="3"/>
        <v>0.32048684338424083</v>
      </c>
      <c r="G17" s="466">
        <f t="shared" si="4"/>
        <v>0</v>
      </c>
      <c r="H17" s="981">
        <f t="shared" si="5"/>
        <v>0.48178214441728251</v>
      </c>
      <c r="I17" s="211">
        <f t="shared" si="6"/>
        <v>0.23780844561600006</v>
      </c>
    </row>
    <row r="18" spans="2:9" ht="15" hidden="1" outlineLevel="1" thickBot="1">
      <c r="B18" s="25" t="s">
        <v>681</v>
      </c>
      <c r="C18" s="983">
        <f t="shared" si="0"/>
        <v>4.9637327196898635</v>
      </c>
      <c r="D18" s="984">
        <f t="shared" si="1"/>
        <v>2.7474395111999996</v>
      </c>
      <c r="E18" s="666">
        <f t="shared" si="2"/>
        <v>1.0497880521964065</v>
      </c>
      <c r="F18" s="666">
        <f t="shared" si="3"/>
        <v>0.35944396380519705</v>
      </c>
      <c r="G18" s="666">
        <f t="shared" si="4"/>
        <v>0</v>
      </c>
      <c r="H18" s="985">
        <f t="shared" si="5"/>
        <v>0.54034568736505983</v>
      </c>
      <c r="I18" s="986">
        <f t="shared" si="6"/>
        <v>0.26671550512320003</v>
      </c>
    </row>
    <row r="19" spans="2:9" ht="15" hidden="1" outlineLevel="1" thickBot="1">
      <c r="B19" s="20" t="s">
        <v>83</v>
      </c>
      <c r="C19" s="988">
        <f t="shared" ref="C19:I19" si="7">SUM(C12:C18)</f>
        <v>78.91513490493675</v>
      </c>
      <c r="D19" s="755">
        <f t="shared" si="7"/>
        <v>43.864374567745728</v>
      </c>
      <c r="E19" s="755">
        <f t="shared" si="7"/>
        <v>13.965451730365533</v>
      </c>
      <c r="F19" s="755">
        <f t="shared" si="7"/>
        <v>6.3244882283334123</v>
      </c>
      <c r="G19" s="755">
        <f t="shared" si="7"/>
        <v>0.5604177415931354</v>
      </c>
      <c r="H19" s="755">
        <f t="shared" si="7"/>
        <v>9.5074901322397345</v>
      </c>
      <c r="I19" s="987">
        <f t="shared" si="7"/>
        <v>4.6929125046592022</v>
      </c>
    </row>
    <row r="20" spans="2:9" hidden="1" outlineLevel="1"/>
    <row r="21" spans="2:9" hidden="1" outlineLevel="1">
      <c r="G21" s="989"/>
    </row>
    <row r="22" spans="2:9" hidden="1" outlineLevel="1"/>
    <row r="23" spans="2:9" hidden="1" outlineLevel="1"/>
    <row r="24" spans="2:9" hidden="1" outlineLevel="1"/>
    <row r="25" spans="2:9" hidden="1" outlineLevel="1"/>
    <row r="26" spans="2:9" hidden="1" outlineLevel="1"/>
    <row r="27" spans="2:9" hidden="1" outlineLevel="1"/>
    <row r="28" spans="2:9" hidden="1" outlineLevel="1"/>
    <row r="29" spans="2:9" hidden="1" outlineLevel="1"/>
    <row r="30" spans="2:9" hidden="1" outlineLevel="1"/>
    <row r="31" spans="2:9" hidden="1" outlineLevel="1"/>
    <row r="32" spans="2:9" hidden="1" outlineLevel="1"/>
    <row r="33" spans="2:4" hidden="1" outlineLevel="1"/>
    <row r="34" spans="2:4" hidden="1" outlineLevel="1"/>
    <row r="35" spans="2:4" hidden="1" outlineLevel="1"/>
    <row r="36" spans="2:4" hidden="1" outlineLevel="1"/>
    <row r="37" spans="2:4" hidden="1" outlineLevel="1"/>
    <row r="38" spans="2:4" hidden="1" outlineLevel="1"/>
    <row r="39" spans="2:4" hidden="1" outlineLevel="1"/>
    <row r="40" spans="2:4" collapsed="1"/>
    <row r="41" spans="2:4" ht="23.5">
      <c r="B41" s="2" t="s">
        <v>370</v>
      </c>
    </row>
    <row r="43" spans="2:4" ht="20" hidden="1" outlineLevel="1">
      <c r="B43" s="216" t="s">
        <v>682</v>
      </c>
    </row>
    <row r="44" spans="2:4" hidden="1" outlineLevel="1"/>
    <row r="45" spans="2:4" ht="14.5" hidden="1" outlineLevel="1" thickBot="1">
      <c r="B45" t="s">
        <v>683</v>
      </c>
    </row>
    <row r="46" spans="2:4" ht="28" hidden="1" outlineLevel="1">
      <c r="B46" s="670" t="s">
        <v>684</v>
      </c>
      <c r="C46" s="671" t="s">
        <v>685</v>
      </c>
      <c r="D46" s="672" t="s">
        <v>686</v>
      </c>
    </row>
    <row r="47" spans="2:4" hidden="1" outlineLevel="2">
      <c r="B47" s="276" t="s">
        <v>687</v>
      </c>
      <c r="C47" s="81">
        <v>349167</v>
      </c>
      <c r="D47" s="17">
        <v>20</v>
      </c>
    </row>
    <row r="48" spans="2:4" hidden="1" outlineLevel="2">
      <c r="B48" s="276" t="s">
        <v>688</v>
      </c>
      <c r="C48" s="81">
        <v>93750</v>
      </c>
      <c r="D48" s="17">
        <v>30</v>
      </c>
    </row>
    <row r="49" spans="2:6" hidden="1" outlineLevel="2">
      <c r="B49" s="276" t="s">
        <v>689</v>
      </c>
      <c r="C49" s="81">
        <v>80484</v>
      </c>
      <c r="D49" s="17">
        <v>30</v>
      </c>
    </row>
    <row r="50" spans="2:6" hidden="1" outlineLevel="2">
      <c r="B50" s="276" t="s">
        <v>690</v>
      </c>
      <c r="C50" s="81">
        <v>106563</v>
      </c>
      <c r="D50" s="17">
        <v>30</v>
      </c>
    </row>
    <row r="51" spans="2:6" hidden="1" outlineLevel="2">
      <c r="B51" s="276" t="s">
        <v>691</v>
      </c>
      <c r="C51" s="81">
        <v>283403</v>
      </c>
      <c r="D51" s="17">
        <v>30</v>
      </c>
    </row>
    <row r="52" spans="2:6" hidden="1" outlineLevel="2">
      <c r="B52" s="276" t="s">
        <v>692</v>
      </c>
      <c r="C52" s="81">
        <v>26486</v>
      </c>
      <c r="D52" s="17">
        <v>30</v>
      </c>
    </row>
    <row r="53" spans="2:6" hidden="1" outlineLevel="2">
      <c r="B53" s="276" t="s">
        <v>693</v>
      </c>
      <c r="C53" s="81">
        <v>3751</v>
      </c>
      <c r="D53" s="17">
        <v>30</v>
      </c>
    </row>
    <row r="54" spans="2:6" hidden="1" outlineLevel="1" collapsed="1">
      <c r="B54" s="276" t="s">
        <v>694</v>
      </c>
      <c r="C54" s="21"/>
      <c r="D54" s="810">
        <f>SUMPRODUCT(C47:C53,D47:D53)</f>
        <v>24816450</v>
      </c>
    </row>
    <row r="55" spans="2:6" hidden="1" outlineLevel="2">
      <c r="B55" s="276" t="s">
        <v>695</v>
      </c>
      <c r="C55" s="81">
        <v>12467</v>
      </c>
      <c r="D55" s="17">
        <v>1</v>
      </c>
    </row>
    <row r="56" spans="2:6" hidden="1" outlineLevel="2">
      <c r="B56" s="276" t="s">
        <v>696</v>
      </c>
      <c r="C56" s="81">
        <v>7707</v>
      </c>
      <c r="D56" s="17">
        <v>1</v>
      </c>
    </row>
    <row r="57" spans="2:6" hidden="1" outlineLevel="2">
      <c r="B57" s="276" t="s">
        <v>697</v>
      </c>
      <c r="C57" s="81">
        <v>20850</v>
      </c>
      <c r="D57" s="17">
        <v>20</v>
      </c>
    </row>
    <row r="58" spans="2:6" hidden="1" outlineLevel="2">
      <c r="B58" s="276" t="s">
        <v>698</v>
      </c>
      <c r="C58" s="81">
        <v>7565</v>
      </c>
      <c r="D58" s="17">
        <v>20</v>
      </c>
    </row>
    <row r="59" spans="2:6" hidden="1" outlineLevel="2">
      <c r="B59" s="276" t="s">
        <v>699</v>
      </c>
      <c r="C59" s="81">
        <v>6485</v>
      </c>
      <c r="D59" s="17">
        <v>20</v>
      </c>
    </row>
    <row r="60" spans="2:6" hidden="1" outlineLevel="2">
      <c r="B60" s="276" t="s">
        <v>700</v>
      </c>
      <c r="C60" s="81">
        <v>757484</v>
      </c>
      <c r="D60" s="17">
        <v>30</v>
      </c>
      <c r="E60" s="76"/>
    </row>
    <row r="61" spans="2:6" hidden="1" outlineLevel="2">
      <c r="B61" s="276" t="s">
        <v>701</v>
      </c>
      <c r="C61" s="81">
        <v>1075</v>
      </c>
      <c r="D61" s="17">
        <v>1</v>
      </c>
    </row>
    <row r="62" spans="2:6" hidden="1" outlineLevel="2">
      <c r="B62" s="276" t="s">
        <v>702</v>
      </c>
      <c r="C62" s="81">
        <v>2878</v>
      </c>
      <c r="D62" s="17">
        <v>20</v>
      </c>
    </row>
    <row r="63" spans="2:6" hidden="1" outlineLevel="2">
      <c r="B63" s="276" t="s">
        <v>703</v>
      </c>
      <c r="C63" s="81">
        <v>1064</v>
      </c>
      <c r="D63" s="17">
        <v>30</v>
      </c>
      <c r="F63" s="87"/>
    </row>
    <row r="64" spans="2:6" hidden="1" outlineLevel="2">
      <c r="B64" s="276" t="s">
        <v>704</v>
      </c>
      <c r="C64" s="81">
        <v>65412</v>
      </c>
      <c r="D64" s="17">
        <v>30</v>
      </c>
    </row>
    <row r="65" spans="2:4" hidden="1" outlineLevel="2">
      <c r="B65" s="276" t="s">
        <v>705</v>
      </c>
      <c r="C65" s="81">
        <v>3349</v>
      </c>
      <c r="D65" s="17">
        <v>30</v>
      </c>
    </row>
    <row r="66" spans="2:4" hidden="1" outlineLevel="2">
      <c r="B66" s="276" t="s">
        <v>706</v>
      </c>
      <c r="C66" s="81">
        <v>453551</v>
      </c>
      <c r="D66" s="17">
        <v>30</v>
      </c>
    </row>
    <row r="67" spans="2:4" hidden="1" outlineLevel="2">
      <c r="B67" s="276" t="s">
        <v>707</v>
      </c>
      <c r="C67" s="81">
        <v>317835</v>
      </c>
      <c r="D67" s="17">
        <v>30</v>
      </c>
    </row>
    <row r="68" spans="2:4" hidden="1" outlineLevel="2">
      <c r="B68" s="276" t="s">
        <v>708</v>
      </c>
      <c r="C68" s="81">
        <v>341405</v>
      </c>
      <c r="D68" s="17">
        <v>30</v>
      </c>
    </row>
    <row r="69" spans="2:4" hidden="1" outlineLevel="2">
      <c r="B69" s="276" t="s">
        <v>709</v>
      </c>
      <c r="C69" s="81">
        <v>34669</v>
      </c>
      <c r="D69" s="17">
        <v>30</v>
      </c>
    </row>
    <row r="70" spans="2:4" hidden="1" outlineLevel="2">
      <c r="B70" s="276" t="s">
        <v>710</v>
      </c>
      <c r="C70" s="81">
        <v>141305</v>
      </c>
      <c r="D70" s="17">
        <v>30</v>
      </c>
    </row>
    <row r="71" spans="2:4" hidden="1" outlineLevel="2">
      <c r="B71" s="276" t="s">
        <v>711</v>
      </c>
      <c r="C71" s="81">
        <v>43712</v>
      </c>
      <c r="D71" s="17">
        <v>30</v>
      </c>
    </row>
    <row r="72" spans="2:4" ht="14.5" hidden="1" outlineLevel="1" collapsed="1" thickBot="1">
      <c r="B72" s="281" t="s">
        <v>712</v>
      </c>
      <c r="C72" s="22"/>
      <c r="D72" s="845">
        <f>SUMPRODUCT(C55:C71,D55:D71)</f>
        <v>65570389</v>
      </c>
    </row>
    <row r="73" spans="2:4" hidden="1" outlineLevel="1"/>
    <row r="74" spans="2:4" hidden="1" outlineLevel="1"/>
    <row r="75" spans="2:4" ht="20" hidden="1" outlineLevel="1">
      <c r="B75" s="216" t="s">
        <v>713</v>
      </c>
    </row>
    <row r="76" spans="2:4" hidden="1" outlineLevel="1"/>
    <row r="77" spans="2:4" ht="14.5" hidden="1" outlineLevel="1" thickBot="1">
      <c r="B77" t="s">
        <v>683</v>
      </c>
    </row>
    <row r="78" spans="2:4" ht="28" hidden="1" outlineLevel="1">
      <c r="B78" s="670" t="s">
        <v>684</v>
      </c>
      <c r="C78" s="671" t="s">
        <v>685</v>
      </c>
      <c r="D78" s="672" t="s">
        <v>686</v>
      </c>
    </row>
    <row r="79" spans="2:4" hidden="1" outlineLevel="2">
      <c r="B79" s="276" t="s">
        <v>714</v>
      </c>
      <c r="C79" s="81">
        <v>9192</v>
      </c>
      <c r="D79" s="270">
        <v>30</v>
      </c>
    </row>
    <row r="80" spans="2:4" hidden="1" outlineLevel="2">
      <c r="B80" s="276" t="s">
        <v>715</v>
      </c>
      <c r="C80" s="81">
        <v>166124</v>
      </c>
      <c r="D80" s="270">
        <v>30</v>
      </c>
    </row>
    <row r="81" spans="2:5" hidden="1" outlineLevel="2">
      <c r="B81" s="276" t="s">
        <v>716</v>
      </c>
      <c r="C81" s="81">
        <v>97</v>
      </c>
      <c r="D81" s="270">
        <v>30</v>
      </c>
    </row>
    <row r="82" spans="2:5" hidden="1" outlineLevel="2">
      <c r="B82" s="276" t="s">
        <v>717</v>
      </c>
      <c r="C82" s="81">
        <v>872</v>
      </c>
      <c r="D82" s="270">
        <v>10</v>
      </c>
    </row>
    <row r="83" spans="2:5" hidden="1" outlineLevel="2">
      <c r="B83" s="276" t="s">
        <v>718</v>
      </c>
      <c r="C83" s="81">
        <v>343</v>
      </c>
      <c r="D83" s="270">
        <v>10</v>
      </c>
    </row>
    <row r="84" spans="2:5" hidden="1" outlineLevel="2">
      <c r="B84" s="276" t="s">
        <v>719</v>
      </c>
      <c r="C84" s="81">
        <v>1983</v>
      </c>
      <c r="D84" s="270">
        <v>10</v>
      </c>
    </row>
    <row r="85" spans="2:5" hidden="1" outlineLevel="2">
      <c r="B85" s="276" t="s">
        <v>720</v>
      </c>
      <c r="C85" s="81">
        <v>21</v>
      </c>
      <c r="D85" s="270">
        <v>10</v>
      </c>
    </row>
    <row r="86" spans="2:5" hidden="1" outlineLevel="2">
      <c r="B86" s="276" t="s">
        <v>721</v>
      </c>
      <c r="C86" s="81">
        <v>16597</v>
      </c>
      <c r="D86" s="270">
        <v>30</v>
      </c>
    </row>
    <row r="87" spans="2:5" hidden="1" outlineLevel="2">
      <c r="B87" s="276" t="s">
        <v>722</v>
      </c>
      <c r="C87" s="81">
        <v>897</v>
      </c>
      <c r="D87" s="270">
        <v>30</v>
      </c>
    </row>
    <row r="88" spans="2:5" hidden="1" outlineLevel="2">
      <c r="B88" s="276" t="s">
        <v>723</v>
      </c>
      <c r="C88" s="81">
        <v>55</v>
      </c>
      <c r="D88" s="270">
        <v>30</v>
      </c>
    </row>
    <row r="89" spans="2:5" hidden="1" outlineLevel="2">
      <c r="B89" s="276" t="s">
        <v>724</v>
      </c>
      <c r="C89" s="81">
        <v>380</v>
      </c>
      <c r="D89" s="270">
        <v>30</v>
      </c>
    </row>
    <row r="90" spans="2:5" hidden="1" outlineLevel="2">
      <c r="B90" s="276" t="s">
        <v>725</v>
      </c>
      <c r="C90" s="81">
        <v>267</v>
      </c>
      <c r="D90" s="270">
        <v>30</v>
      </c>
    </row>
    <row r="91" spans="2:5" hidden="1" outlineLevel="2">
      <c r="B91" s="276" t="s">
        <v>726</v>
      </c>
      <c r="C91" s="81">
        <v>116965</v>
      </c>
      <c r="D91" s="270">
        <v>10</v>
      </c>
    </row>
    <row r="92" spans="2:5" hidden="1" outlineLevel="2">
      <c r="B92" s="276" t="s">
        <v>727</v>
      </c>
      <c r="C92" s="81">
        <v>2536</v>
      </c>
      <c r="D92" s="270">
        <v>10</v>
      </c>
    </row>
    <row r="93" spans="2:5" hidden="1" outlineLevel="2">
      <c r="B93" s="276" t="s">
        <v>728</v>
      </c>
      <c r="C93" s="81">
        <v>77268</v>
      </c>
      <c r="D93" s="270">
        <v>10</v>
      </c>
    </row>
    <row r="94" spans="2:5" hidden="1" outlineLevel="2">
      <c r="B94" s="276" t="s">
        <v>729</v>
      </c>
      <c r="C94" s="81">
        <v>1452</v>
      </c>
      <c r="D94" s="270">
        <v>10</v>
      </c>
    </row>
    <row r="95" spans="2:5" hidden="1" outlineLevel="1" collapsed="1">
      <c r="B95" s="276" t="s">
        <v>730</v>
      </c>
      <c r="C95" s="21"/>
      <c r="D95" s="810">
        <f>SUMPRODUCT(C79:C94,D79:D94)</f>
        <v>7822670</v>
      </c>
      <c r="E95" s="76"/>
    </row>
    <row r="96" spans="2:5" hidden="1" outlineLevel="2">
      <c r="B96" s="276" t="s">
        <v>731</v>
      </c>
      <c r="C96" s="81">
        <v>19272</v>
      </c>
      <c r="D96" s="17">
        <v>10</v>
      </c>
    </row>
    <row r="97" spans="2:4" hidden="1" outlineLevel="2">
      <c r="B97" s="276" t="s">
        <v>732</v>
      </c>
      <c r="C97" s="81">
        <v>1170</v>
      </c>
      <c r="D97" s="17">
        <v>10</v>
      </c>
    </row>
    <row r="98" spans="2:4" hidden="1" outlineLevel="2">
      <c r="B98" s="276" t="s">
        <v>733</v>
      </c>
      <c r="C98" s="81">
        <v>34836</v>
      </c>
      <c r="D98" s="17">
        <v>10</v>
      </c>
    </row>
    <row r="99" spans="2:4" hidden="1" outlineLevel="2">
      <c r="B99" s="276" t="s">
        <v>734</v>
      </c>
      <c r="C99" s="81">
        <v>154176</v>
      </c>
      <c r="D99" s="17">
        <v>10</v>
      </c>
    </row>
    <row r="100" spans="2:4" hidden="1" outlineLevel="2">
      <c r="B100" s="276" t="s">
        <v>735</v>
      </c>
      <c r="C100" s="81">
        <v>5685</v>
      </c>
      <c r="D100" s="17">
        <v>10</v>
      </c>
    </row>
    <row r="101" spans="2:4" hidden="1" outlineLevel="2">
      <c r="B101" s="276" t="s">
        <v>736</v>
      </c>
      <c r="C101" s="81">
        <v>1540</v>
      </c>
      <c r="D101" s="17">
        <v>10</v>
      </c>
    </row>
    <row r="102" spans="2:4" hidden="1" outlineLevel="2">
      <c r="B102" s="276" t="s">
        <v>737</v>
      </c>
      <c r="C102" s="81">
        <v>1908</v>
      </c>
      <c r="D102" s="17">
        <v>10</v>
      </c>
    </row>
    <row r="103" spans="2:4" hidden="1" outlineLevel="2">
      <c r="B103" s="276" t="s">
        <v>738</v>
      </c>
      <c r="C103" s="81">
        <v>46599</v>
      </c>
      <c r="D103" s="17">
        <v>30</v>
      </c>
    </row>
    <row r="104" spans="2:4" hidden="1" outlineLevel="2">
      <c r="B104" s="276" t="s">
        <v>739</v>
      </c>
      <c r="C104" s="81">
        <v>1343</v>
      </c>
      <c r="D104" s="17">
        <v>30</v>
      </c>
    </row>
    <row r="105" spans="2:4" hidden="1" outlineLevel="2">
      <c r="B105" s="276" t="s">
        <v>740</v>
      </c>
      <c r="C105" s="81">
        <v>412132</v>
      </c>
      <c r="D105" s="17">
        <v>30</v>
      </c>
    </row>
    <row r="106" spans="2:4" hidden="1" outlineLevel="2">
      <c r="B106" s="276" t="s">
        <v>741</v>
      </c>
      <c r="C106" s="81">
        <v>40939</v>
      </c>
      <c r="D106" s="17">
        <v>30</v>
      </c>
    </row>
    <row r="107" spans="2:4" hidden="1" outlineLevel="2">
      <c r="B107" s="276" t="s">
        <v>742</v>
      </c>
      <c r="C107" s="81">
        <v>17016</v>
      </c>
      <c r="D107" s="17">
        <v>30</v>
      </c>
    </row>
    <row r="108" spans="2:4" hidden="1" outlineLevel="2">
      <c r="B108" s="276" t="s">
        <v>743</v>
      </c>
      <c r="C108" s="81">
        <v>248</v>
      </c>
      <c r="D108" s="17">
        <v>30</v>
      </c>
    </row>
    <row r="109" spans="2:4" hidden="1" outlineLevel="2">
      <c r="B109" s="276" t="s">
        <v>744</v>
      </c>
      <c r="C109" s="81">
        <v>13766</v>
      </c>
      <c r="D109" s="17">
        <v>30</v>
      </c>
    </row>
    <row r="110" spans="2:4" hidden="1" outlineLevel="2">
      <c r="B110" s="276" t="s">
        <v>745</v>
      </c>
      <c r="C110" s="81">
        <v>41683</v>
      </c>
      <c r="D110" s="17">
        <v>30</v>
      </c>
    </row>
    <row r="111" spans="2:4" hidden="1" outlineLevel="2">
      <c r="B111" s="276" t="s">
        <v>746</v>
      </c>
      <c r="C111" s="81">
        <v>17414</v>
      </c>
      <c r="D111" s="17">
        <v>30</v>
      </c>
    </row>
    <row r="112" spans="2:4" hidden="1" outlineLevel="2">
      <c r="B112" s="276" t="s">
        <v>747</v>
      </c>
      <c r="C112" s="81">
        <v>5408</v>
      </c>
      <c r="D112" s="17">
        <v>30</v>
      </c>
    </row>
    <row r="113" spans="2:4" hidden="1" outlineLevel="2">
      <c r="B113" s="276" t="s">
        <v>748</v>
      </c>
      <c r="C113" s="81">
        <v>398</v>
      </c>
      <c r="D113" s="17">
        <v>30</v>
      </c>
    </row>
    <row r="114" spans="2:4" hidden="1" outlineLevel="2">
      <c r="B114" s="276" t="s">
        <v>749</v>
      </c>
      <c r="C114" s="81">
        <v>4988</v>
      </c>
      <c r="D114" s="17">
        <v>30</v>
      </c>
    </row>
    <row r="115" spans="2:4" hidden="1" outlineLevel="2">
      <c r="B115" s="276" t="s">
        <v>750</v>
      </c>
      <c r="C115" s="81">
        <v>3017</v>
      </c>
      <c r="D115" s="17">
        <v>10</v>
      </c>
    </row>
    <row r="116" spans="2:4" hidden="1" outlineLevel="2">
      <c r="B116" s="276" t="s">
        <v>751</v>
      </c>
      <c r="C116" s="81">
        <v>2097</v>
      </c>
      <c r="D116" s="17">
        <v>10</v>
      </c>
    </row>
    <row r="117" spans="2:4" hidden="1" outlineLevel="2">
      <c r="B117" s="276" t="s">
        <v>752</v>
      </c>
      <c r="C117" s="81">
        <v>48690</v>
      </c>
      <c r="D117" s="17">
        <v>10</v>
      </c>
    </row>
    <row r="118" spans="2:4" hidden="1" outlineLevel="2">
      <c r="B118" s="276" t="s">
        <v>753</v>
      </c>
      <c r="C118" s="81">
        <v>1065</v>
      </c>
      <c r="D118" s="17">
        <v>30</v>
      </c>
    </row>
    <row r="119" spans="2:4" hidden="1" outlineLevel="2">
      <c r="B119" s="276" t="s">
        <v>754</v>
      </c>
      <c r="C119" s="81">
        <v>35607</v>
      </c>
      <c r="D119" s="17">
        <v>30</v>
      </c>
    </row>
    <row r="120" spans="2:4" hidden="1" outlineLevel="2">
      <c r="B120" s="276" t="s">
        <v>755</v>
      </c>
      <c r="C120" s="81">
        <v>40</v>
      </c>
      <c r="D120" s="17">
        <v>30</v>
      </c>
    </row>
    <row r="121" spans="2:4" ht="14.5" hidden="1" outlineLevel="1" collapsed="1" thickBot="1">
      <c r="B121" s="281" t="s">
        <v>756</v>
      </c>
      <c r="C121" s="22"/>
      <c r="D121" s="845">
        <f>SUMPRODUCT(C96:C120,D96:D120)</f>
        <v>21883290</v>
      </c>
    </row>
    <row r="122" spans="2:4" hidden="1" outlineLevel="1"/>
    <row r="123" spans="2:4" ht="20" hidden="1" outlineLevel="1">
      <c r="B123" s="216" t="s">
        <v>757</v>
      </c>
    </row>
    <row r="124" spans="2:4" hidden="1" outlineLevel="1"/>
    <row r="125" spans="2:4" ht="14.5" hidden="1" outlineLevel="1" thickBot="1">
      <c r="B125" t="s">
        <v>683</v>
      </c>
    </row>
    <row r="126" spans="2:4" ht="28" hidden="1" outlineLevel="1">
      <c r="B126" s="670" t="s">
        <v>684</v>
      </c>
      <c r="C126" s="671" t="s">
        <v>685</v>
      </c>
      <c r="D126" s="672" t="s">
        <v>686</v>
      </c>
    </row>
    <row r="127" spans="2:4" hidden="1" outlineLevel="2">
      <c r="B127" s="276" t="s">
        <v>758</v>
      </c>
      <c r="C127" s="81">
        <v>681</v>
      </c>
      <c r="D127" s="270">
        <f>15</f>
        <v>15</v>
      </c>
    </row>
    <row r="128" spans="2:4" hidden="1" outlineLevel="2">
      <c r="B128" s="276" t="s">
        <v>759</v>
      </c>
      <c r="C128" s="81">
        <v>178</v>
      </c>
      <c r="D128" s="270">
        <v>15</v>
      </c>
    </row>
    <row r="129" spans="2:8" hidden="1" outlineLevel="2">
      <c r="B129" s="276" t="s">
        <v>760</v>
      </c>
      <c r="C129" s="81">
        <v>21560</v>
      </c>
      <c r="D129" s="270">
        <v>15</v>
      </c>
    </row>
    <row r="130" spans="2:8" hidden="1" outlineLevel="2">
      <c r="B130" s="276" t="s">
        <v>761</v>
      </c>
      <c r="C130" s="81">
        <v>39122</v>
      </c>
      <c r="D130" s="270">
        <v>30</v>
      </c>
    </row>
    <row r="131" spans="2:8" hidden="1" outlineLevel="2">
      <c r="B131" s="276" t="s">
        <v>762</v>
      </c>
      <c r="C131" s="81">
        <v>10321</v>
      </c>
      <c r="D131" s="270">
        <v>30</v>
      </c>
    </row>
    <row r="132" spans="2:8" hidden="1" outlineLevel="2">
      <c r="B132" s="276" t="s">
        <v>763</v>
      </c>
      <c r="C132" s="81">
        <v>246448</v>
      </c>
      <c r="D132" s="270">
        <v>30</v>
      </c>
    </row>
    <row r="133" spans="2:8" hidden="1" outlineLevel="2">
      <c r="B133" s="276" t="s">
        <v>764</v>
      </c>
      <c r="C133" s="81">
        <v>53769</v>
      </c>
      <c r="D133" s="270">
        <v>30</v>
      </c>
    </row>
    <row r="134" spans="2:8" hidden="1" outlineLevel="2">
      <c r="B134" s="276" t="s">
        <v>765</v>
      </c>
      <c r="C134" s="81">
        <v>1506</v>
      </c>
      <c r="D134" s="270">
        <v>30</v>
      </c>
    </row>
    <row r="135" spans="2:8" hidden="1" outlineLevel="2">
      <c r="B135" s="276" t="s">
        <v>766</v>
      </c>
      <c r="C135" s="81">
        <v>31756</v>
      </c>
      <c r="D135" s="270">
        <v>30</v>
      </c>
    </row>
    <row r="136" spans="2:8" hidden="1" outlineLevel="2">
      <c r="B136" s="276" t="s">
        <v>767</v>
      </c>
      <c r="C136" s="81">
        <v>10345</v>
      </c>
      <c r="D136" s="270">
        <v>30</v>
      </c>
    </row>
    <row r="137" spans="2:8" ht="14.5" hidden="1" outlineLevel="1" collapsed="1" thickBot="1">
      <c r="B137" s="281" t="s">
        <v>768</v>
      </c>
      <c r="C137" s="22"/>
      <c r="D137" s="845">
        <f>SUMPRODUCT(C127:C136,D127:D136)</f>
        <v>12134295</v>
      </c>
    </row>
    <row r="138" spans="2:8" hidden="1" outlineLevel="1"/>
    <row r="139" spans="2:8" ht="20" hidden="1" outlineLevel="1">
      <c r="B139" s="216" t="s">
        <v>769</v>
      </c>
    </row>
    <row r="140" spans="2:8" hidden="1" outlineLevel="1"/>
    <row r="141" spans="2:8" ht="14.5" hidden="1" outlineLevel="1" thickBot="1">
      <c r="B141" t="s">
        <v>683</v>
      </c>
    </row>
    <row r="142" spans="2:8" ht="28" hidden="1" outlineLevel="1">
      <c r="B142" s="670" t="s">
        <v>684</v>
      </c>
      <c r="C142" s="671" t="s">
        <v>685</v>
      </c>
      <c r="D142" s="671" t="s">
        <v>770</v>
      </c>
      <c r="E142" s="671" t="s">
        <v>771</v>
      </c>
      <c r="F142" s="671" t="s">
        <v>772</v>
      </c>
      <c r="G142" s="671" t="s">
        <v>773</v>
      </c>
      <c r="H142" s="672" t="s">
        <v>774</v>
      </c>
    </row>
    <row r="143" spans="2:8" hidden="1" outlineLevel="2">
      <c r="B143" s="276" t="s">
        <v>775</v>
      </c>
      <c r="C143" s="81">
        <v>651</v>
      </c>
      <c r="D143" s="81">
        <v>30</v>
      </c>
      <c r="E143" s="21">
        <v>1</v>
      </c>
      <c r="F143" s="21">
        <v>1</v>
      </c>
      <c r="G143" s="190">
        <f>D143*C143*F143</f>
        <v>19530</v>
      </c>
      <c r="H143" s="810">
        <f>E143*D143*C143</f>
        <v>19530</v>
      </c>
    </row>
    <row r="144" spans="2:8" hidden="1" outlineLevel="2">
      <c r="B144" s="276" t="s">
        <v>776</v>
      </c>
      <c r="C144" s="81">
        <v>22546</v>
      </c>
      <c r="D144" s="81">
        <v>30</v>
      </c>
      <c r="E144" s="21">
        <v>0</v>
      </c>
      <c r="F144" s="21">
        <v>1</v>
      </c>
      <c r="G144" s="190">
        <f t="shared" ref="G144:G207" si="8">D144*C144*F144</f>
        <v>676380</v>
      </c>
      <c r="H144" s="810">
        <f t="shared" ref="H144:H207" si="9">E144*D144*C144</f>
        <v>0</v>
      </c>
    </row>
    <row r="145" spans="2:8" hidden="1" outlineLevel="2">
      <c r="B145" s="276" t="s">
        <v>777</v>
      </c>
      <c r="C145" s="81">
        <v>58491</v>
      </c>
      <c r="D145" s="81">
        <v>30</v>
      </c>
      <c r="E145" s="21">
        <v>0</v>
      </c>
      <c r="F145" s="21">
        <v>1</v>
      </c>
      <c r="G145" s="190">
        <f t="shared" si="8"/>
        <v>1754730</v>
      </c>
      <c r="H145" s="810">
        <f t="shared" si="9"/>
        <v>0</v>
      </c>
    </row>
    <row r="146" spans="2:8" hidden="1" outlineLevel="2">
      <c r="B146" s="276" t="s">
        <v>778</v>
      </c>
      <c r="C146" s="81">
        <v>36128</v>
      </c>
      <c r="D146" s="81">
        <v>30</v>
      </c>
      <c r="E146" s="21">
        <v>0</v>
      </c>
      <c r="F146" s="21">
        <v>1</v>
      </c>
      <c r="G146" s="190">
        <f t="shared" si="8"/>
        <v>1083840</v>
      </c>
      <c r="H146" s="810">
        <f t="shared" si="9"/>
        <v>0</v>
      </c>
    </row>
    <row r="147" spans="2:8" hidden="1" outlineLevel="2">
      <c r="B147" s="276" t="s">
        <v>779</v>
      </c>
      <c r="C147" s="81">
        <v>15700</v>
      </c>
      <c r="D147" s="81">
        <v>30</v>
      </c>
      <c r="E147" s="21">
        <v>0</v>
      </c>
      <c r="F147" s="21">
        <v>1</v>
      </c>
      <c r="G147" s="190">
        <f t="shared" si="8"/>
        <v>471000</v>
      </c>
      <c r="H147" s="810">
        <f t="shared" si="9"/>
        <v>0</v>
      </c>
    </row>
    <row r="148" spans="2:8" hidden="1" outlineLevel="2">
      <c r="B148" s="276" t="s">
        <v>780</v>
      </c>
      <c r="C148" s="81">
        <v>82</v>
      </c>
      <c r="D148" s="81">
        <v>30</v>
      </c>
      <c r="E148" s="21">
        <v>0</v>
      </c>
      <c r="F148" s="21">
        <v>1</v>
      </c>
      <c r="G148" s="190">
        <f t="shared" si="8"/>
        <v>2460</v>
      </c>
      <c r="H148" s="810">
        <f t="shared" si="9"/>
        <v>0</v>
      </c>
    </row>
    <row r="149" spans="2:8" hidden="1" outlineLevel="2">
      <c r="B149" s="276" t="s">
        <v>781</v>
      </c>
      <c r="C149" s="81">
        <v>1257</v>
      </c>
      <c r="D149" s="81">
        <v>30</v>
      </c>
      <c r="E149" s="21">
        <v>0</v>
      </c>
      <c r="F149" s="21">
        <v>1</v>
      </c>
      <c r="G149" s="190">
        <f t="shared" si="8"/>
        <v>37710</v>
      </c>
      <c r="H149" s="810">
        <f t="shared" si="9"/>
        <v>0</v>
      </c>
    </row>
    <row r="150" spans="2:8" hidden="1" outlineLevel="2">
      <c r="B150" s="276" t="s">
        <v>782</v>
      </c>
      <c r="C150" s="81">
        <v>2983</v>
      </c>
      <c r="D150" s="81">
        <v>30</v>
      </c>
      <c r="E150" s="21">
        <v>1</v>
      </c>
      <c r="F150" s="21">
        <v>1</v>
      </c>
      <c r="G150" s="190">
        <f t="shared" si="8"/>
        <v>89490</v>
      </c>
      <c r="H150" s="810">
        <f t="shared" si="9"/>
        <v>89490</v>
      </c>
    </row>
    <row r="151" spans="2:8" hidden="1" outlineLevel="2">
      <c r="B151" s="276" t="s">
        <v>783</v>
      </c>
      <c r="C151" s="81">
        <v>5068</v>
      </c>
      <c r="D151" s="81">
        <v>30</v>
      </c>
      <c r="E151" s="21">
        <v>1</v>
      </c>
      <c r="F151" s="21">
        <v>1</v>
      </c>
      <c r="G151" s="190">
        <f t="shared" si="8"/>
        <v>152040</v>
      </c>
      <c r="H151" s="810">
        <f t="shared" si="9"/>
        <v>152040</v>
      </c>
    </row>
    <row r="152" spans="2:8" hidden="1" outlineLevel="2">
      <c r="B152" s="276" t="s">
        <v>784</v>
      </c>
      <c r="C152" s="81">
        <v>1152</v>
      </c>
      <c r="D152" s="81">
        <v>30</v>
      </c>
      <c r="E152" s="21">
        <v>1</v>
      </c>
      <c r="F152" s="21">
        <v>1</v>
      </c>
      <c r="G152" s="190">
        <f t="shared" si="8"/>
        <v>34560</v>
      </c>
      <c r="H152" s="810">
        <f t="shared" si="9"/>
        <v>34560</v>
      </c>
    </row>
    <row r="153" spans="2:8" hidden="1" outlineLevel="2">
      <c r="B153" s="276" t="s">
        <v>785</v>
      </c>
      <c r="C153" s="81">
        <v>65261</v>
      </c>
      <c r="D153" s="81">
        <v>10</v>
      </c>
      <c r="E153" s="21">
        <v>0</v>
      </c>
      <c r="F153" s="21">
        <v>1</v>
      </c>
      <c r="G153" s="190">
        <f t="shared" si="8"/>
        <v>652610</v>
      </c>
      <c r="H153" s="810">
        <f t="shared" si="9"/>
        <v>0</v>
      </c>
    </row>
    <row r="154" spans="2:8" hidden="1" outlineLevel="2">
      <c r="B154" s="276" t="s">
        <v>786</v>
      </c>
      <c r="C154" s="81">
        <v>1005</v>
      </c>
      <c r="D154" s="81">
        <v>10</v>
      </c>
      <c r="E154" s="21">
        <v>0</v>
      </c>
      <c r="F154" s="21">
        <v>1</v>
      </c>
      <c r="G154" s="190">
        <f t="shared" si="8"/>
        <v>10050</v>
      </c>
      <c r="H154" s="810">
        <f t="shared" si="9"/>
        <v>0</v>
      </c>
    </row>
    <row r="155" spans="2:8" hidden="1" outlineLevel="2">
      <c r="B155" s="276" t="s">
        <v>787</v>
      </c>
      <c r="C155" s="81">
        <v>8232</v>
      </c>
      <c r="D155" s="81">
        <v>10</v>
      </c>
      <c r="E155" s="21">
        <v>0</v>
      </c>
      <c r="F155" s="21">
        <v>1</v>
      </c>
      <c r="G155" s="190">
        <f t="shared" si="8"/>
        <v>82320</v>
      </c>
      <c r="H155" s="810">
        <f t="shared" si="9"/>
        <v>0</v>
      </c>
    </row>
    <row r="156" spans="2:8" hidden="1" outlineLevel="2">
      <c r="B156" s="276" t="s">
        <v>788</v>
      </c>
      <c r="C156" s="81">
        <v>672</v>
      </c>
      <c r="D156" s="81">
        <v>10</v>
      </c>
      <c r="E156" s="21">
        <v>0</v>
      </c>
      <c r="F156" s="21">
        <v>1</v>
      </c>
      <c r="G156" s="190">
        <f t="shared" si="8"/>
        <v>6720</v>
      </c>
      <c r="H156" s="810">
        <f t="shared" si="9"/>
        <v>0</v>
      </c>
    </row>
    <row r="157" spans="2:8" hidden="1" outlineLevel="2">
      <c r="B157" s="276" t="s">
        <v>789</v>
      </c>
      <c r="C157" s="81">
        <v>40013</v>
      </c>
      <c r="D157" s="81">
        <v>30</v>
      </c>
      <c r="E157" s="21">
        <v>0</v>
      </c>
      <c r="F157" s="21">
        <v>1</v>
      </c>
      <c r="G157" s="190">
        <f t="shared" si="8"/>
        <v>1200390</v>
      </c>
      <c r="H157" s="810">
        <f t="shared" si="9"/>
        <v>0</v>
      </c>
    </row>
    <row r="158" spans="2:8" hidden="1" outlineLevel="2">
      <c r="B158" s="276" t="s">
        <v>790</v>
      </c>
      <c r="C158" s="81">
        <v>175507</v>
      </c>
      <c r="D158" s="81">
        <v>30</v>
      </c>
      <c r="E158" s="21">
        <v>0</v>
      </c>
      <c r="F158" s="21">
        <v>1</v>
      </c>
      <c r="G158" s="190">
        <f t="shared" si="8"/>
        <v>5265210</v>
      </c>
      <c r="H158" s="810">
        <f t="shared" si="9"/>
        <v>0</v>
      </c>
    </row>
    <row r="159" spans="2:8" hidden="1" outlineLevel="2">
      <c r="B159" s="276" t="s">
        <v>791</v>
      </c>
      <c r="C159" s="81">
        <v>5119</v>
      </c>
      <c r="D159" s="81">
        <v>30</v>
      </c>
      <c r="E159" s="21">
        <v>0</v>
      </c>
      <c r="F159" s="21">
        <v>1</v>
      </c>
      <c r="G159" s="190">
        <f t="shared" si="8"/>
        <v>153570</v>
      </c>
      <c r="H159" s="810">
        <f t="shared" si="9"/>
        <v>0</v>
      </c>
    </row>
    <row r="160" spans="2:8" hidden="1" outlineLevel="2">
      <c r="B160" s="276" t="s">
        <v>792</v>
      </c>
      <c r="C160" s="81">
        <v>91113</v>
      </c>
      <c r="D160" s="81">
        <v>30</v>
      </c>
      <c r="E160" s="21">
        <v>0</v>
      </c>
      <c r="F160" s="21">
        <v>1</v>
      </c>
      <c r="G160" s="190">
        <f t="shared" si="8"/>
        <v>2733390</v>
      </c>
      <c r="H160" s="810">
        <f t="shared" si="9"/>
        <v>0</v>
      </c>
    </row>
    <row r="161" spans="2:8" hidden="1" outlineLevel="2">
      <c r="B161" s="276" t="s">
        <v>793</v>
      </c>
      <c r="C161" s="81">
        <v>21770</v>
      </c>
      <c r="D161" s="81">
        <v>30</v>
      </c>
      <c r="E161" s="21">
        <v>0</v>
      </c>
      <c r="F161" s="21">
        <v>1</v>
      </c>
      <c r="G161" s="190">
        <f t="shared" si="8"/>
        <v>653100</v>
      </c>
      <c r="H161" s="810">
        <f t="shared" si="9"/>
        <v>0</v>
      </c>
    </row>
    <row r="162" spans="2:8" hidden="1" outlineLevel="2">
      <c r="B162" s="276" t="s">
        <v>794</v>
      </c>
      <c r="C162" s="81">
        <v>697</v>
      </c>
      <c r="D162" s="81">
        <v>30</v>
      </c>
      <c r="E162" s="21">
        <v>0</v>
      </c>
      <c r="F162" s="21">
        <v>1</v>
      </c>
      <c r="G162" s="190">
        <f t="shared" si="8"/>
        <v>20910</v>
      </c>
      <c r="H162" s="810">
        <f t="shared" si="9"/>
        <v>0</v>
      </c>
    </row>
    <row r="163" spans="2:8" hidden="1" outlineLevel="2">
      <c r="B163" s="276" t="s">
        <v>795</v>
      </c>
      <c r="C163" s="81">
        <v>4179</v>
      </c>
      <c r="D163" s="81">
        <v>30</v>
      </c>
      <c r="E163" s="21">
        <v>0</v>
      </c>
      <c r="F163" s="21">
        <v>1</v>
      </c>
      <c r="G163" s="190">
        <f t="shared" si="8"/>
        <v>125370</v>
      </c>
      <c r="H163" s="810">
        <f t="shared" si="9"/>
        <v>0</v>
      </c>
    </row>
    <row r="164" spans="2:8" hidden="1" outlineLevel="2">
      <c r="B164" s="276" t="s">
        <v>796</v>
      </c>
      <c r="C164" s="81">
        <v>28678</v>
      </c>
      <c r="D164" s="81">
        <v>10</v>
      </c>
      <c r="E164" s="21">
        <v>1</v>
      </c>
      <c r="F164" s="21">
        <v>1</v>
      </c>
      <c r="G164" s="190">
        <f t="shared" si="8"/>
        <v>286780</v>
      </c>
      <c r="H164" s="810">
        <f t="shared" si="9"/>
        <v>286780</v>
      </c>
    </row>
    <row r="165" spans="2:8" hidden="1" outlineLevel="2">
      <c r="B165" s="276" t="s">
        <v>797</v>
      </c>
      <c r="C165" s="81">
        <v>7684</v>
      </c>
      <c r="D165" s="81">
        <v>10</v>
      </c>
      <c r="E165" s="21">
        <v>1</v>
      </c>
      <c r="F165" s="21">
        <v>1</v>
      </c>
      <c r="G165" s="190">
        <f t="shared" si="8"/>
        <v>76840</v>
      </c>
      <c r="H165" s="810">
        <f t="shared" si="9"/>
        <v>76840</v>
      </c>
    </row>
    <row r="166" spans="2:8" hidden="1" outlineLevel="2">
      <c r="B166" s="276" t="s">
        <v>798</v>
      </c>
      <c r="C166" s="81">
        <v>13449</v>
      </c>
      <c r="D166" s="81">
        <v>10</v>
      </c>
      <c r="E166" s="21">
        <v>1</v>
      </c>
      <c r="F166" s="21">
        <v>1</v>
      </c>
      <c r="G166" s="190">
        <f t="shared" si="8"/>
        <v>134490</v>
      </c>
      <c r="H166" s="810">
        <f t="shared" si="9"/>
        <v>134490</v>
      </c>
    </row>
    <row r="167" spans="2:8" hidden="1" outlineLevel="2">
      <c r="B167" s="276" t="s">
        <v>799</v>
      </c>
      <c r="C167" s="81">
        <v>2601</v>
      </c>
      <c r="D167" s="81">
        <v>10</v>
      </c>
      <c r="E167" s="21">
        <v>1</v>
      </c>
      <c r="F167" s="21">
        <v>1</v>
      </c>
      <c r="G167" s="190">
        <f t="shared" si="8"/>
        <v>26010</v>
      </c>
      <c r="H167" s="810">
        <f t="shared" si="9"/>
        <v>26010</v>
      </c>
    </row>
    <row r="168" spans="2:8" hidden="1" outlineLevel="2">
      <c r="B168" s="276" t="s">
        <v>800</v>
      </c>
      <c r="C168" s="81">
        <v>6606</v>
      </c>
      <c r="D168" s="81">
        <v>10</v>
      </c>
      <c r="E168" s="21">
        <v>1</v>
      </c>
      <c r="F168" s="21">
        <v>1</v>
      </c>
      <c r="G168" s="190">
        <f t="shared" si="8"/>
        <v>66060</v>
      </c>
      <c r="H168" s="810">
        <f t="shared" si="9"/>
        <v>66060</v>
      </c>
    </row>
    <row r="169" spans="2:8" hidden="1" outlineLevel="2">
      <c r="B169" s="276" t="s">
        <v>801</v>
      </c>
      <c r="C169" s="81">
        <v>8551</v>
      </c>
      <c r="D169" s="81">
        <v>30</v>
      </c>
      <c r="E169" s="21">
        <v>1</v>
      </c>
      <c r="F169" s="21">
        <v>1</v>
      </c>
      <c r="G169" s="190">
        <f t="shared" si="8"/>
        <v>256530</v>
      </c>
      <c r="H169" s="810">
        <f t="shared" si="9"/>
        <v>256530</v>
      </c>
    </row>
    <row r="170" spans="2:8" hidden="1" outlineLevel="2">
      <c r="B170" s="276" t="s">
        <v>802</v>
      </c>
      <c r="C170" s="81">
        <v>52199</v>
      </c>
      <c r="D170" s="81">
        <v>30</v>
      </c>
      <c r="E170" s="21">
        <v>1</v>
      </c>
      <c r="F170" s="21">
        <v>1</v>
      </c>
      <c r="G170" s="190">
        <f t="shared" si="8"/>
        <v>1565970</v>
      </c>
      <c r="H170" s="810">
        <f t="shared" si="9"/>
        <v>1565970</v>
      </c>
    </row>
    <row r="171" spans="2:8" hidden="1" outlineLevel="2">
      <c r="B171" s="276" t="s">
        <v>803</v>
      </c>
      <c r="C171" s="81">
        <v>2046</v>
      </c>
      <c r="D171" s="81">
        <v>30</v>
      </c>
      <c r="E171" s="21">
        <v>1</v>
      </c>
      <c r="F171" s="21">
        <v>1</v>
      </c>
      <c r="G171" s="190">
        <f t="shared" si="8"/>
        <v>61380</v>
      </c>
      <c r="H171" s="810">
        <f t="shared" si="9"/>
        <v>61380</v>
      </c>
    </row>
    <row r="172" spans="2:8" hidden="1" outlineLevel="2">
      <c r="B172" s="276" t="s">
        <v>804</v>
      </c>
      <c r="C172" s="81">
        <v>23373</v>
      </c>
      <c r="D172" s="81">
        <v>30</v>
      </c>
      <c r="E172" s="21">
        <v>1</v>
      </c>
      <c r="F172" s="21">
        <v>1</v>
      </c>
      <c r="G172" s="190">
        <f t="shared" si="8"/>
        <v>701190</v>
      </c>
      <c r="H172" s="810">
        <f t="shared" si="9"/>
        <v>701190</v>
      </c>
    </row>
    <row r="173" spans="2:8" hidden="1" outlineLevel="2">
      <c r="B173" s="276" t="s">
        <v>805</v>
      </c>
      <c r="C173" s="81">
        <v>10913</v>
      </c>
      <c r="D173" s="81">
        <v>30</v>
      </c>
      <c r="E173" s="21">
        <v>1</v>
      </c>
      <c r="F173" s="21">
        <v>1</v>
      </c>
      <c r="G173" s="190">
        <f t="shared" si="8"/>
        <v>327390</v>
      </c>
      <c r="H173" s="810">
        <f t="shared" si="9"/>
        <v>327390</v>
      </c>
    </row>
    <row r="174" spans="2:8" hidden="1" outlineLevel="2">
      <c r="B174" s="276" t="s">
        <v>806</v>
      </c>
      <c r="C174" s="81">
        <v>1522</v>
      </c>
      <c r="D174" s="81">
        <v>30</v>
      </c>
      <c r="E174" s="21">
        <v>1</v>
      </c>
      <c r="F174" s="21">
        <v>1</v>
      </c>
      <c r="G174" s="190">
        <f t="shared" si="8"/>
        <v>45660</v>
      </c>
      <c r="H174" s="810">
        <f t="shared" si="9"/>
        <v>45660</v>
      </c>
    </row>
    <row r="175" spans="2:8" hidden="1" outlineLevel="2">
      <c r="B175" s="276" t="s">
        <v>807</v>
      </c>
      <c r="C175" s="81">
        <v>1769</v>
      </c>
      <c r="D175" s="81">
        <v>30</v>
      </c>
      <c r="E175" s="21">
        <v>1</v>
      </c>
      <c r="F175" s="21">
        <v>1</v>
      </c>
      <c r="G175" s="190">
        <f t="shared" si="8"/>
        <v>53070</v>
      </c>
      <c r="H175" s="810">
        <f t="shared" si="9"/>
        <v>53070</v>
      </c>
    </row>
    <row r="176" spans="2:8" hidden="1" outlineLevel="2">
      <c r="B176" s="276" t="s">
        <v>808</v>
      </c>
      <c r="C176" s="81">
        <v>73482</v>
      </c>
      <c r="D176" s="81">
        <v>10</v>
      </c>
      <c r="E176" s="21">
        <v>0</v>
      </c>
      <c r="F176" s="21">
        <v>1</v>
      </c>
      <c r="G176" s="190">
        <f t="shared" si="8"/>
        <v>734820</v>
      </c>
      <c r="H176" s="810">
        <f t="shared" si="9"/>
        <v>0</v>
      </c>
    </row>
    <row r="177" spans="2:8" hidden="1" outlineLevel="2">
      <c r="B177" s="276" t="s">
        <v>809</v>
      </c>
      <c r="C177" s="81">
        <v>27902</v>
      </c>
      <c r="D177" s="81">
        <v>30</v>
      </c>
      <c r="E177" s="21">
        <v>0</v>
      </c>
      <c r="F177" s="21">
        <v>1</v>
      </c>
      <c r="G177" s="190">
        <f t="shared" si="8"/>
        <v>837060</v>
      </c>
      <c r="H177" s="810">
        <f t="shared" si="9"/>
        <v>0</v>
      </c>
    </row>
    <row r="178" spans="2:8" hidden="1" outlineLevel="2">
      <c r="B178" s="276" t="s">
        <v>810</v>
      </c>
      <c r="C178" s="81">
        <v>291</v>
      </c>
      <c r="D178" s="81">
        <v>30</v>
      </c>
      <c r="E178" s="21">
        <v>1</v>
      </c>
      <c r="F178" s="21">
        <v>1</v>
      </c>
      <c r="G178" s="190">
        <f t="shared" si="8"/>
        <v>8730</v>
      </c>
      <c r="H178" s="810">
        <f t="shared" si="9"/>
        <v>8730</v>
      </c>
    </row>
    <row r="179" spans="2:8" hidden="1" outlineLevel="2">
      <c r="B179" s="276" t="s">
        <v>811</v>
      </c>
      <c r="C179" s="81">
        <v>3206</v>
      </c>
      <c r="D179" s="81">
        <v>30</v>
      </c>
      <c r="E179" s="21">
        <v>1</v>
      </c>
      <c r="F179" s="21">
        <v>1</v>
      </c>
      <c r="G179" s="190">
        <f t="shared" si="8"/>
        <v>96180</v>
      </c>
      <c r="H179" s="810">
        <f t="shared" si="9"/>
        <v>96180</v>
      </c>
    </row>
    <row r="180" spans="2:8" hidden="1" outlineLevel="2">
      <c r="B180" s="276" t="s">
        <v>812</v>
      </c>
      <c r="C180" s="81">
        <v>15498</v>
      </c>
      <c r="D180" s="81">
        <v>30</v>
      </c>
      <c r="E180" s="21">
        <v>1</v>
      </c>
      <c r="F180" s="21">
        <v>1</v>
      </c>
      <c r="G180" s="190">
        <f t="shared" si="8"/>
        <v>464940</v>
      </c>
      <c r="H180" s="810">
        <f t="shared" si="9"/>
        <v>464940</v>
      </c>
    </row>
    <row r="181" spans="2:8" hidden="1" outlineLevel="2">
      <c r="B181" s="276" t="s">
        <v>813</v>
      </c>
      <c r="C181" s="81">
        <v>89144</v>
      </c>
      <c r="D181" s="81">
        <v>30</v>
      </c>
      <c r="E181" s="21">
        <v>1</v>
      </c>
      <c r="F181" s="21">
        <v>1</v>
      </c>
      <c r="G181" s="190">
        <f t="shared" si="8"/>
        <v>2674320</v>
      </c>
      <c r="H181" s="810">
        <f t="shared" si="9"/>
        <v>2674320</v>
      </c>
    </row>
    <row r="182" spans="2:8" hidden="1" outlineLevel="2">
      <c r="B182" s="276" t="s">
        <v>814</v>
      </c>
      <c r="C182" s="81">
        <v>31505</v>
      </c>
      <c r="D182" s="81">
        <v>30</v>
      </c>
      <c r="E182" s="21">
        <v>1</v>
      </c>
      <c r="F182" s="21">
        <v>1</v>
      </c>
      <c r="G182" s="190">
        <f t="shared" si="8"/>
        <v>945150</v>
      </c>
      <c r="H182" s="810">
        <f t="shared" si="9"/>
        <v>945150</v>
      </c>
    </row>
    <row r="183" spans="2:8" hidden="1" outlineLevel="2">
      <c r="B183" s="276" t="s">
        <v>815</v>
      </c>
      <c r="C183" s="81">
        <v>26640</v>
      </c>
      <c r="D183" s="81">
        <v>30</v>
      </c>
      <c r="E183" s="21">
        <v>1</v>
      </c>
      <c r="F183" s="21">
        <v>1</v>
      </c>
      <c r="G183" s="190">
        <f t="shared" si="8"/>
        <v>799200</v>
      </c>
      <c r="H183" s="810">
        <f t="shared" si="9"/>
        <v>799200</v>
      </c>
    </row>
    <row r="184" spans="2:8" hidden="1" outlineLevel="2">
      <c r="B184" s="276" t="s">
        <v>816</v>
      </c>
      <c r="C184" s="81">
        <v>1300</v>
      </c>
      <c r="D184" s="81">
        <v>30</v>
      </c>
      <c r="E184" s="21">
        <v>1</v>
      </c>
      <c r="F184" s="21">
        <v>1</v>
      </c>
      <c r="G184" s="190">
        <f t="shared" si="8"/>
        <v>39000</v>
      </c>
      <c r="H184" s="810">
        <f t="shared" si="9"/>
        <v>39000</v>
      </c>
    </row>
    <row r="185" spans="2:8" hidden="1" outlineLevel="2">
      <c r="B185" s="276" t="s">
        <v>817</v>
      </c>
      <c r="C185" s="81">
        <v>13613</v>
      </c>
      <c r="D185" s="81">
        <v>30</v>
      </c>
      <c r="E185" s="21">
        <v>1</v>
      </c>
      <c r="F185" s="21">
        <v>1</v>
      </c>
      <c r="G185" s="190">
        <f t="shared" si="8"/>
        <v>408390</v>
      </c>
      <c r="H185" s="810">
        <f t="shared" si="9"/>
        <v>408390</v>
      </c>
    </row>
    <row r="186" spans="2:8" hidden="1" outlineLevel="2">
      <c r="B186" s="276" t="s">
        <v>818</v>
      </c>
      <c r="C186" s="81">
        <v>11713</v>
      </c>
      <c r="D186" s="81">
        <v>30</v>
      </c>
      <c r="E186" s="21">
        <v>1</v>
      </c>
      <c r="F186" s="21">
        <v>1</v>
      </c>
      <c r="G186" s="190">
        <f t="shared" si="8"/>
        <v>351390</v>
      </c>
      <c r="H186" s="810">
        <f t="shared" si="9"/>
        <v>351390</v>
      </c>
    </row>
    <row r="187" spans="2:8" hidden="1" outlineLevel="2">
      <c r="B187" s="276" t="s">
        <v>819</v>
      </c>
      <c r="C187" s="81">
        <v>859</v>
      </c>
      <c r="D187" s="81">
        <v>10</v>
      </c>
      <c r="E187" s="21">
        <v>1</v>
      </c>
      <c r="F187" s="21">
        <v>1</v>
      </c>
      <c r="G187" s="190">
        <f t="shared" si="8"/>
        <v>8590</v>
      </c>
      <c r="H187" s="810">
        <f t="shared" si="9"/>
        <v>8590</v>
      </c>
    </row>
    <row r="188" spans="2:8" hidden="1" outlineLevel="2">
      <c r="B188" s="276" t="s">
        <v>820</v>
      </c>
      <c r="C188" s="81">
        <v>131</v>
      </c>
      <c r="D188" s="81">
        <v>10</v>
      </c>
      <c r="E188" s="21">
        <v>1</v>
      </c>
      <c r="F188" s="21">
        <v>1</v>
      </c>
      <c r="G188" s="190">
        <f t="shared" si="8"/>
        <v>1310</v>
      </c>
      <c r="H188" s="810">
        <f t="shared" si="9"/>
        <v>1310</v>
      </c>
    </row>
    <row r="189" spans="2:8" hidden="1" outlineLevel="2">
      <c r="B189" s="276" t="s">
        <v>821</v>
      </c>
      <c r="C189" s="81">
        <v>2562</v>
      </c>
      <c r="D189" s="81">
        <v>10</v>
      </c>
      <c r="E189" s="21">
        <v>1</v>
      </c>
      <c r="F189" s="21">
        <v>0</v>
      </c>
      <c r="G189" s="190">
        <f t="shared" si="8"/>
        <v>0</v>
      </c>
      <c r="H189" s="810">
        <f t="shared" si="9"/>
        <v>25620</v>
      </c>
    </row>
    <row r="190" spans="2:8" hidden="1" outlineLevel="2">
      <c r="B190" s="276" t="s">
        <v>822</v>
      </c>
      <c r="C190" s="81">
        <v>40364</v>
      </c>
      <c r="D190" s="81">
        <v>10</v>
      </c>
      <c r="E190" s="21">
        <v>1</v>
      </c>
      <c r="F190" s="21">
        <v>0</v>
      </c>
      <c r="G190" s="190">
        <f t="shared" si="8"/>
        <v>0</v>
      </c>
      <c r="H190" s="810">
        <f t="shared" si="9"/>
        <v>403640</v>
      </c>
    </row>
    <row r="191" spans="2:8" hidden="1" outlineLevel="2">
      <c r="B191" s="276" t="s">
        <v>823</v>
      </c>
      <c r="C191" s="81">
        <v>53</v>
      </c>
      <c r="D191" s="81">
        <v>10</v>
      </c>
      <c r="E191" s="21">
        <v>1</v>
      </c>
      <c r="F191" s="21">
        <v>0</v>
      </c>
      <c r="G191" s="190">
        <f t="shared" si="8"/>
        <v>0</v>
      </c>
      <c r="H191" s="810">
        <f t="shared" si="9"/>
        <v>530</v>
      </c>
    </row>
    <row r="192" spans="2:8" ht="28" hidden="1" outlineLevel="2">
      <c r="B192" s="276" t="s">
        <v>824</v>
      </c>
      <c r="C192" s="81">
        <v>104625</v>
      </c>
      <c r="D192" s="81">
        <v>10</v>
      </c>
      <c r="E192" s="21">
        <v>1</v>
      </c>
      <c r="F192" s="21">
        <v>0</v>
      </c>
      <c r="G192" s="190">
        <f t="shared" si="8"/>
        <v>0</v>
      </c>
      <c r="H192" s="810">
        <f t="shared" si="9"/>
        <v>1046250</v>
      </c>
    </row>
    <row r="193" spans="2:8" hidden="1" outlineLevel="2">
      <c r="B193" s="276" t="s">
        <v>825</v>
      </c>
      <c r="C193" s="81">
        <v>279780</v>
      </c>
      <c r="D193" s="81">
        <v>10</v>
      </c>
      <c r="E193" s="21">
        <v>1</v>
      </c>
      <c r="F193" s="21">
        <v>0</v>
      </c>
      <c r="G193" s="190">
        <f t="shared" si="8"/>
        <v>0</v>
      </c>
      <c r="H193" s="810">
        <f t="shared" si="9"/>
        <v>2797800</v>
      </c>
    </row>
    <row r="194" spans="2:8" hidden="1" outlineLevel="2">
      <c r="B194" s="276" t="s">
        <v>826</v>
      </c>
      <c r="C194" s="81">
        <v>54928</v>
      </c>
      <c r="D194" s="81">
        <v>10</v>
      </c>
      <c r="E194" s="21">
        <v>1</v>
      </c>
      <c r="F194" s="21">
        <v>0</v>
      </c>
      <c r="G194" s="190">
        <f t="shared" si="8"/>
        <v>0</v>
      </c>
      <c r="H194" s="810">
        <f t="shared" si="9"/>
        <v>549280</v>
      </c>
    </row>
    <row r="195" spans="2:8" hidden="1" outlineLevel="2">
      <c r="B195" s="276" t="s">
        <v>827</v>
      </c>
      <c r="C195" s="81">
        <v>2109</v>
      </c>
      <c r="D195" s="81">
        <v>10</v>
      </c>
      <c r="E195" s="21">
        <v>1</v>
      </c>
      <c r="F195" s="21">
        <v>0</v>
      </c>
      <c r="G195" s="190">
        <f t="shared" si="8"/>
        <v>0</v>
      </c>
      <c r="H195" s="810">
        <f t="shared" si="9"/>
        <v>21090</v>
      </c>
    </row>
    <row r="196" spans="2:8" hidden="1" outlineLevel="2">
      <c r="B196" s="276" t="s">
        <v>828</v>
      </c>
      <c r="C196" s="81">
        <v>6855</v>
      </c>
      <c r="D196" s="81">
        <v>5</v>
      </c>
      <c r="E196" s="21">
        <v>1</v>
      </c>
      <c r="F196" s="21">
        <v>0</v>
      </c>
      <c r="G196" s="190">
        <f t="shared" si="8"/>
        <v>0</v>
      </c>
      <c r="H196" s="810">
        <f t="shared" si="9"/>
        <v>34275</v>
      </c>
    </row>
    <row r="197" spans="2:8" hidden="1" outlineLevel="2">
      <c r="B197" s="276" t="s">
        <v>829</v>
      </c>
      <c r="C197" s="81">
        <v>254118</v>
      </c>
      <c r="D197" s="81">
        <v>5</v>
      </c>
      <c r="E197" s="21">
        <v>1</v>
      </c>
      <c r="F197" s="21">
        <v>0</v>
      </c>
      <c r="G197" s="190">
        <f t="shared" si="8"/>
        <v>0</v>
      </c>
      <c r="H197" s="810">
        <f t="shared" si="9"/>
        <v>1270590</v>
      </c>
    </row>
    <row r="198" spans="2:8" hidden="1" outlineLevel="2">
      <c r="B198" s="276" t="s">
        <v>830</v>
      </c>
      <c r="C198" s="81">
        <v>818</v>
      </c>
      <c r="D198" s="81">
        <v>5</v>
      </c>
      <c r="E198" s="21">
        <v>1</v>
      </c>
      <c r="F198" s="21">
        <v>0</v>
      </c>
      <c r="G198" s="190">
        <f t="shared" si="8"/>
        <v>0</v>
      </c>
      <c r="H198" s="810">
        <f t="shared" si="9"/>
        <v>4090</v>
      </c>
    </row>
    <row r="199" spans="2:8" hidden="1" outlineLevel="2">
      <c r="B199" s="276" t="s">
        <v>831</v>
      </c>
      <c r="C199" s="81">
        <v>1748</v>
      </c>
      <c r="D199" s="81">
        <v>5</v>
      </c>
      <c r="E199" s="21">
        <v>1</v>
      </c>
      <c r="F199" s="21">
        <v>0</v>
      </c>
      <c r="G199" s="190">
        <f t="shared" si="8"/>
        <v>0</v>
      </c>
      <c r="H199" s="810">
        <f t="shared" si="9"/>
        <v>8740</v>
      </c>
    </row>
    <row r="200" spans="2:8" hidden="1" outlineLevel="2">
      <c r="B200" s="276" t="s">
        <v>832</v>
      </c>
      <c r="C200" s="81">
        <v>3234</v>
      </c>
      <c r="D200" s="81">
        <v>10</v>
      </c>
      <c r="E200" s="21">
        <v>1</v>
      </c>
      <c r="F200" s="21">
        <v>0</v>
      </c>
      <c r="G200" s="190">
        <f t="shared" si="8"/>
        <v>0</v>
      </c>
      <c r="H200" s="810">
        <f t="shared" si="9"/>
        <v>32340</v>
      </c>
    </row>
    <row r="201" spans="2:8" ht="28" hidden="1" outlineLevel="2">
      <c r="B201" s="276" t="s">
        <v>833</v>
      </c>
      <c r="C201" s="81">
        <v>6993</v>
      </c>
      <c r="D201" s="81">
        <v>10</v>
      </c>
      <c r="E201" s="21">
        <v>1</v>
      </c>
      <c r="F201" s="21">
        <v>0</v>
      </c>
      <c r="G201" s="190">
        <f t="shared" si="8"/>
        <v>0</v>
      </c>
      <c r="H201" s="810">
        <f t="shared" si="9"/>
        <v>69930</v>
      </c>
    </row>
    <row r="202" spans="2:8" ht="28" hidden="1" outlineLevel="2">
      <c r="B202" s="276" t="s">
        <v>834</v>
      </c>
      <c r="C202" s="81">
        <v>41959</v>
      </c>
      <c r="D202" s="81">
        <v>5</v>
      </c>
      <c r="E202" s="21">
        <v>1</v>
      </c>
      <c r="F202" s="21">
        <v>0</v>
      </c>
      <c r="G202" s="190">
        <f t="shared" si="8"/>
        <v>0</v>
      </c>
      <c r="H202" s="810">
        <f t="shared" si="9"/>
        <v>209795</v>
      </c>
    </row>
    <row r="203" spans="2:8" hidden="1" outlineLevel="2">
      <c r="B203" s="276" t="s">
        <v>835</v>
      </c>
      <c r="C203" s="81">
        <v>366448</v>
      </c>
      <c r="D203" s="81">
        <v>5</v>
      </c>
      <c r="E203" s="21">
        <v>1</v>
      </c>
      <c r="F203" s="21">
        <v>0</v>
      </c>
      <c r="G203" s="190">
        <f t="shared" si="8"/>
        <v>0</v>
      </c>
      <c r="H203" s="810">
        <f t="shared" si="9"/>
        <v>1832240</v>
      </c>
    </row>
    <row r="204" spans="2:8" hidden="1" outlineLevel="2">
      <c r="B204" s="276" t="s">
        <v>836</v>
      </c>
      <c r="C204" s="81">
        <v>6784</v>
      </c>
      <c r="D204" s="81">
        <v>5</v>
      </c>
      <c r="E204" s="21">
        <v>1</v>
      </c>
      <c r="F204" s="21">
        <v>0</v>
      </c>
      <c r="G204" s="190">
        <f t="shared" si="8"/>
        <v>0</v>
      </c>
      <c r="H204" s="810">
        <f t="shared" si="9"/>
        <v>33920</v>
      </c>
    </row>
    <row r="205" spans="2:8" hidden="1" outlineLevel="2">
      <c r="B205" s="276" t="s">
        <v>837</v>
      </c>
      <c r="C205" s="81">
        <v>231205</v>
      </c>
      <c r="D205" s="81">
        <v>5</v>
      </c>
      <c r="E205" s="21">
        <v>1</v>
      </c>
      <c r="F205" s="21">
        <v>0</v>
      </c>
      <c r="G205" s="190">
        <f t="shared" si="8"/>
        <v>0</v>
      </c>
      <c r="H205" s="810">
        <f t="shared" si="9"/>
        <v>1156025</v>
      </c>
    </row>
    <row r="206" spans="2:8" ht="28" hidden="1" outlineLevel="2">
      <c r="B206" s="276" t="s">
        <v>838</v>
      </c>
      <c r="C206" s="81">
        <v>20455</v>
      </c>
      <c r="D206" s="81">
        <v>5</v>
      </c>
      <c r="E206" s="21">
        <v>1</v>
      </c>
      <c r="F206" s="21">
        <v>0</v>
      </c>
      <c r="G206" s="190">
        <f t="shared" si="8"/>
        <v>0</v>
      </c>
      <c r="H206" s="810">
        <f t="shared" si="9"/>
        <v>102275</v>
      </c>
    </row>
    <row r="207" spans="2:8" hidden="1" outlineLevel="2">
      <c r="B207" s="276" t="s">
        <v>839</v>
      </c>
      <c r="C207" s="81">
        <v>1565</v>
      </c>
      <c r="D207" s="81">
        <v>5</v>
      </c>
      <c r="E207" s="21">
        <v>1</v>
      </c>
      <c r="F207" s="21">
        <v>0</v>
      </c>
      <c r="G207" s="190">
        <f t="shared" si="8"/>
        <v>0</v>
      </c>
      <c r="H207" s="810">
        <f t="shared" si="9"/>
        <v>7825</v>
      </c>
    </row>
    <row r="208" spans="2:8" hidden="1" outlineLevel="2">
      <c r="B208" s="276" t="s">
        <v>840</v>
      </c>
      <c r="C208" s="81">
        <v>5099</v>
      </c>
      <c r="D208" s="81">
        <v>5</v>
      </c>
      <c r="E208" s="21">
        <v>1</v>
      </c>
      <c r="F208" s="21">
        <v>0</v>
      </c>
      <c r="G208" s="190">
        <f>D208*C208*F208</f>
        <v>0</v>
      </c>
      <c r="H208" s="810">
        <f>E208*D208*C208</f>
        <v>25495</v>
      </c>
    </row>
    <row r="209" spans="2:8" hidden="1" outlineLevel="2">
      <c r="B209" s="515" t="s">
        <v>841</v>
      </c>
      <c r="C209" s="357">
        <v>53039</v>
      </c>
      <c r="D209" s="81">
        <v>10</v>
      </c>
      <c r="E209" s="21">
        <v>1</v>
      </c>
      <c r="F209" s="357">
        <v>1</v>
      </c>
      <c r="G209" s="811">
        <f>D209*C209*F209</f>
        <v>530390</v>
      </c>
      <c r="H209" s="812">
        <f>E209*D209*C209</f>
        <v>530390</v>
      </c>
    </row>
    <row r="210" spans="2:8" hidden="1" outlineLevel="2">
      <c r="B210" s="515" t="s">
        <v>842</v>
      </c>
      <c r="C210" s="357">
        <v>3697</v>
      </c>
      <c r="D210" s="81">
        <v>10</v>
      </c>
      <c r="E210" s="21">
        <v>1</v>
      </c>
      <c r="F210" s="357">
        <v>1</v>
      </c>
      <c r="G210" s="811">
        <f t="shared" ref="G210:G228" si="10">D210*C210*F210</f>
        <v>36970</v>
      </c>
      <c r="H210" s="812">
        <f t="shared" ref="H210:H228" si="11">E210*D210*C210</f>
        <v>36970</v>
      </c>
    </row>
    <row r="211" spans="2:8" hidden="1" outlineLevel="2">
      <c r="B211" s="515" t="s">
        <v>843</v>
      </c>
      <c r="C211" s="357">
        <v>56863</v>
      </c>
      <c r="D211" s="81">
        <v>10</v>
      </c>
      <c r="E211" s="21">
        <v>1</v>
      </c>
      <c r="F211" s="357">
        <v>1</v>
      </c>
      <c r="G211" s="811">
        <f t="shared" si="10"/>
        <v>568630</v>
      </c>
      <c r="H211" s="812">
        <f t="shared" si="11"/>
        <v>568630</v>
      </c>
    </row>
    <row r="212" spans="2:8" hidden="1" outlineLevel="2">
      <c r="B212" s="515" t="s">
        <v>844</v>
      </c>
      <c r="C212" s="357">
        <v>2281</v>
      </c>
      <c r="D212" s="81">
        <v>10</v>
      </c>
      <c r="E212" s="21">
        <v>1</v>
      </c>
      <c r="F212" s="357">
        <v>1</v>
      </c>
      <c r="G212" s="811">
        <f t="shared" si="10"/>
        <v>22810</v>
      </c>
      <c r="H212" s="812">
        <f t="shared" si="11"/>
        <v>22810</v>
      </c>
    </row>
    <row r="213" spans="2:8" hidden="1" outlineLevel="2">
      <c r="B213" s="515" t="s">
        <v>845</v>
      </c>
      <c r="C213" s="357">
        <v>873</v>
      </c>
      <c r="D213" s="81">
        <v>10</v>
      </c>
      <c r="E213" s="21">
        <v>1</v>
      </c>
      <c r="F213" s="357">
        <v>1</v>
      </c>
      <c r="G213" s="811">
        <f t="shared" si="10"/>
        <v>8730</v>
      </c>
      <c r="H213" s="812">
        <f t="shared" si="11"/>
        <v>8730</v>
      </c>
    </row>
    <row r="214" spans="2:8" hidden="1" outlineLevel="2">
      <c r="B214" s="515" t="s">
        <v>846</v>
      </c>
      <c r="C214" s="357">
        <v>8817</v>
      </c>
      <c r="D214" s="81">
        <v>30</v>
      </c>
      <c r="E214" s="21">
        <v>1</v>
      </c>
      <c r="F214" s="357">
        <v>1</v>
      </c>
      <c r="G214" s="811">
        <f t="shared" si="10"/>
        <v>264510</v>
      </c>
      <c r="H214" s="812">
        <f t="shared" si="11"/>
        <v>264510</v>
      </c>
    </row>
    <row r="215" spans="2:8" hidden="1" outlineLevel="2">
      <c r="B215" s="515" t="s">
        <v>847</v>
      </c>
      <c r="C215" s="357">
        <v>7582</v>
      </c>
      <c r="D215" s="81">
        <v>10</v>
      </c>
      <c r="E215" s="21">
        <v>1</v>
      </c>
      <c r="F215" s="357">
        <v>1</v>
      </c>
      <c r="G215" s="811">
        <f t="shared" si="10"/>
        <v>75820</v>
      </c>
      <c r="H215" s="812">
        <f t="shared" si="11"/>
        <v>75820</v>
      </c>
    </row>
    <row r="216" spans="2:8" hidden="1" outlineLevel="2">
      <c r="B216" s="515" t="s">
        <v>848</v>
      </c>
      <c r="C216" s="357">
        <v>1666</v>
      </c>
      <c r="D216" s="81">
        <v>10</v>
      </c>
      <c r="E216" s="21">
        <v>1</v>
      </c>
      <c r="F216" s="357">
        <v>1</v>
      </c>
      <c r="G216" s="811">
        <f t="shared" si="10"/>
        <v>16660</v>
      </c>
      <c r="H216" s="812">
        <f t="shared" si="11"/>
        <v>16660</v>
      </c>
    </row>
    <row r="217" spans="2:8" hidden="1" outlineLevel="2">
      <c r="B217" s="515" t="s">
        <v>849</v>
      </c>
      <c r="C217" s="357">
        <v>18373</v>
      </c>
      <c r="D217" s="81">
        <v>30</v>
      </c>
      <c r="E217" s="21">
        <v>1</v>
      </c>
      <c r="F217" s="357">
        <v>1</v>
      </c>
      <c r="G217" s="811">
        <f t="shared" si="10"/>
        <v>551190</v>
      </c>
      <c r="H217" s="812">
        <f t="shared" si="11"/>
        <v>551190</v>
      </c>
    </row>
    <row r="218" spans="2:8" hidden="1" outlineLevel="2">
      <c r="B218" s="515" t="s">
        <v>850</v>
      </c>
      <c r="C218" s="357">
        <v>19969</v>
      </c>
      <c r="D218" s="81">
        <v>30</v>
      </c>
      <c r="E218" s="21">
        <v>1</v>
      </c>
      <c r="F218" s="357">
        <v>1</v>
      </c>
      <c r="G218" s="811">
        <f t="shared" si="10"/>
        <v>599070</v>
      </c>
      <c r="H218" s="812">
        <f t="shared" si="11"/>
        <v>599070</v>
      </c>
    </row>
    <row r="219" spans="2:8" hidden="1" outlineLevel="2">
      <c r="B219" s="515" t="s">
        <v>851</v>
      </c>
      <c r="C219" s="357">
        <v>380</v>
      </c>
      <c r="D219" s="81">
        <v>30</v>
      </c>
      <c r="E219" s="21">
        <v>1</v>
      </c>
      <c r="F219" s="357">
        <v>1</v>
      </c>
      <c r="G219" s="811">
        <f t="shared" si="10"/>
        <v>11400</v>
      </c>
      <c r="H219" s="812">
        <f t="shared" si="11"/>
        <v>11400</v>
      </c>
    </row>
    <row r="220" spans="2:8" hidden="1" outlineLevel="2">
      <c r="B220" s="515" t="s">
        <v>852</v>
      </c>
      <c r="C220" s="357">
        <v>22098</v>
      </c>
      <c r="D220" s="81">
        <v>30</v>
      </c>
      <c r="E220" s="21">
        <v>1</v>
      </c>
      <c r="F220" s="357">
        <v>1</v>
      </c>
      <c r="G220" s="811">
        <f t="shared" si="10"/>
        <v>662940</v>
      </c>
      <c r="H220" s="812">
        <f t="shared" si="11"/>
        <v>662940</v>
      </c>
    </row>
    <row r="221" spans="2:8" hidden="1" outlineLevel="2">
      <c r="B221" s="515" t="s">
        <v>853</v>
      </c>
      <c r="C221" s="357">
        <v>5178</v>
      </c>
      <c r="D221" s="81">
        <v>30</v>
      </c>
      <c r="E221" s="21">
        <v>1</v>
      </c>
      <c r="F221" s="357">
        <v>1</v>
      </c>
      <c r="G221" s="811">
        <f t="shared" si="10"/>
        <v>155340</v>
      </c>
      <c r="H221" s="812">
        <f t="shared" si="11"/>
        <v>155340</v>
      </c>
    </row>
    <row r="222" spans="2:8" hidden="1" outlineLevel="2">
      <c r="B222" s="515" t="s">
        <v>854</v>
      </c>
      <c r="C222" s="357">
        <v>641</v>
      </c>
      <c r="D222" s="81">
        <v>30</v>
      </c>
      <c r="E222" s="21">
        <v>1</v>
      </c>
      <c r="F222" s="357">
        <v>1</v>
      </c>
      <c r="G222" s="811">
        <f t="shared" si="10"/>
        <v>19230</v>
      </c>
      <c r="H222" s="812">
        <f t="shared" si="11"/>
        <v>19230</v>
      </c>
    </row>
    <row r="223" spans="2:8" hidden="1" outlineLevel="2">
      <c r="B223" s="515" t="s">
        <v>855</v>
      </c>
      <c r="C223" s="357">
        <v>1042</v>
      </c>
      <c r="D223" s="81">
        <v>10</v>
      </c>
      <c r="E223" s="21">
        <v>0</v>
      </c>
      <c r="F223" s="357">
        <v>1</v>
      </c>
      <c r="G223" s="811">
        <f t="shared" si="10"/>
        <v>10420</v>
      </c>
      <c r="H223" s="812">
        <f t="shared" si="11"/>
        <v>0</v>
      </c>
    </row>
    <row r="224" spans="2:8" hidden="1" outlineLevel="2">
      <c r="B224" s="515" t="s">
        <v>856</v>
      </c>
      <c r="C224" s="357">
        <v>12856</v>
      </c>
      <c r="D224" s="81">
        <v>30</v>
      </c>
      <c r="E224" s="21">
        <v>0</v>
      </c>
      <c r="F224" s="357">
        <v>1</v>
      </c>
      <c r="G224" s="811">
        <f t="shared" si="10"/>
        <v>385680</v>
      </c>
      <c r="H224" s="812">
        <f t="shared" si="11"/>
        <v>0</v>
      </c>
    </row>
    <row r="225" spans="2:8" hidden="1" outlineLevel="2">
      <c r="B225" s="515" t="s">
        <v>857</v>
      </c>
      <c r="C225" s="357">
        <v>86899</v>
      </c>
      <c r="D225" s="81">
        <v>30</v>
      </c>
      <c r="E225" s="21">
        <v>0</v>
      </c>
      <c r="F225" s="357">
        <v>1</v>
      </c>
      <c r="G225" s="811">
        <f t="shared" si="10"/>
        <v>2606970</v>
      </c>
      <c r="H225" s="812">
        <f t="shared" si="11"/>
        <v>0</v>
      </c>
    </row>
    <row r="226" spans="2:8" hidden="1" outlineLevel="2">
      <c r="B226" s="515" t="s">
        <v>858</v>
      </c>
      <c r="C226" s="357">
        <v>117</v>
      </c>
      <c r="D226" s="81">
        <v>30</v>
      </c>
      <c r="E226" s="21">
        <v>0</v>
      </c>
      <c r="F226" s="357">
        <v>1</v>
      </c>
      <c r="G226" s="811">
        <f t="shared" si="10"/>
        <v>3510</v>
      </c>
      <c r="H226" s="812">
        <f t="shared" si="11"/>
        <v>0</v>
      </c>
    </row>
    <row r="227" spans="2:8" hidden="1" outlineLevel="2">
      <c r="B227" s="515" t="s">
        <v>859</v>
      </c>
      <c r="C227" s="357">
        <v>60780</v>
      </c>
      <c r="D227" s="81">
        <v>30</v>
      </c>
      <c r="E227" s="21">
        <v>0</v>
      </c>
      <c r="F227" s="357">
        <v>1</v>
      </c>
      <c r="G227" s="811">
        <f t="shared" si="10"/>
        <v>1823400</v>
      </c>
      <c r="H227" s="812">
        <f t="shared" si="11"/>
        <v>0</v>
      </c>
    </row>
    <row r="228" spans="2:8" hidden="1" outlineLevel="2">
      <c r="B228" s="515" t="s">
        <v>860</v>
      </c>
      <c r="C228" s="357">
        <v>12530</v>
      </c>
      <c r="D228" s="81">
        <v>30</v>
      </c>
      <c r="E228" s="21">
        <v>0</v>
      </c>
      <c r="F228" s="357">
        <v>1</v>
      </c>
      <c r="G228" s="811">
        <f t="shared" si="10"/>
        <v>375900</v>
      </c>
      <c r="H228" s="812">
        <f t="shared" si="11"/>
        <v>0</v>
      </c>
    </row>
    <row r="229" spans="2:8" ht="14.5" hidden="1" outlineLevel="1" collapsed="1" thickBot="1">
      <c r="B229" s="281" t="s">
        <v>83</v>
      </c>
      <c r="C229" s="22"/>
      <c r="D229" s="22"/>
      <c r="E229" s="22"/>
      <c r="F229" s="367"/>
      <c r="G229" s="331">
        <f>SUM(G143:G228)</f>
        <v>34925400</v>
      </c>
      <c r="H229" s="197">
        <f>SUM(H143:H228)</f>
        <v>22849630</v>
      </c>
    </row>
    <row r="230" spans="2:8" hidden="1" outlineLevel="1"/>
    <row r="231" spans="2:8" ht="20" hidden="1" outlineLevel="1">
      <c r="B231" s="216" t="s">
        <v>861</v>
      </c>
    </row>
    <row r="232" spans="2:8" hidden="1" outlineLevel="1"/>
    <row r="233" spans="2:8" ht="14.5" hidden="1" outlineLevel="1" thickBot="1">
      <c r="B233" t="s">
        <v>862</v>
      </c>
      <c r="F233" s="3"/>
      <c r="G233" s="768"/>
      <c r="H233" s="768"/>
    </row>
    <row r="234" spans="2:8" ht="29" hidden="1" outlineLevel="1">
      <c r="B234" s="4"/>
      <c r="C234" s="6" t="s">
        <v>863</v>
      </c>
      <c r="D234" s="1251"/>
    </row>
    <row r="235" spans="2:8" ht="14.5" hidden="1" outlineLevel="1">
      <c r="B235" s="10" t="s">
        <v>675</v>
      </c>
      <c r="C235" s="122">
        <f>D72</f>
        <v>65570389</v>
      </c>
    </row>
    <row r="236" spans="2:8" ht="14.5" hidden="1" outlineLevel="1">
      <c r="B236" s="10" t="s">
        <v>676</v>
      </c>
      <c r="C236" s="112">
        <f>D54</f>
        <v>24816450</v>
      </c>
    </row>
    <row r="237" spans="2:8" ht="14.5" hidden="1" outlineLevel="1">
      <c r="B237" s="10" t="s">
        <v>677</v>
      </c>
      <c r="C237" s="112">
        <f>D95</f>
        <v>7822670</v>
      </c>
    </row>
    <row r="238" spans="2:8" ht="14.5" hidden="1" outlineLevel="1">
      <c r="B238" s="10" t="s">
        <v>678</v>
      </c>
      <c r="C238" s="112">
        <f>D121</f>
        <v>21883290</v>
      </c>
      <c r="D238" s="23"/>
    </row>
    <row r="239" spans="2:8" ht="14.5" hidden="1" outlineLevel="1">
      <c r="B239" s="10" t="s">
        <v>679</v>
      </c>
      <c r="C239" s="112">
        <f>D137</f>
        <v>12134295</v>
      </c>
    </row>
    <row r="240" spans="2:8" ht="14.5" hidden="1" outlineLevel="1">
      <c r="B240" s="10" t="s">
        <v>680</v>
      </c>
      <c r="C240" s="112">
        <f>G229</f>
        <v>34925400</v>
      </c>
    </row>
    <row r="241" spans="2:6" ht="15" hidden="1" outlineLevel="1" thickBot="1">
      <c r="B241" s="13" t="s">
        <v>681</v>
      </c>
      <c r="C241" s="846">
        <f>H229</f>
        <v>22849630</v>
      </c>
    </row>
    <row r="242" spans="2:6" hidden="1" outlineLevel="1"/>
    <row r="243" spans="2:6" collapsed="1"/>
    <row r="244" spans="2:6" ht="23.5">
      <c r="B244" s="2" t="s">
        <v>864</v>
      </c>
    </row>
    <row r="246" spans="2:6" ht="18">
      <c r="B246" s="258" t="s">
        <v>408</v>
      </c>
    </row>
    <row r="248" spans="2:6" hidden="1" outlineLevel="1">
      <c r="B248" s="1251" t="s">
        <v>865</v>
      </c>
    </row>
    <row r="249" spans="2:6" ht="14.5" hidden="1" outlineLevel="1" thickBot="1">
      <c r="B249" s="87" t="s">
        <v>866</v>
      </c>
    </row>
    <row r="250" spans="2:6" ht="29" hidden="1" outlineLevel="1">
      <c r="B250" s="4"/>
      <c r="C250" s="5" t="s">
        <v>684</v>
      </c>
      <c r="D250" s="5" t="s">
        <v>867</v>
      </c>
      <c r="E250" s="5" t="s">
        <v>868</v>
      </c>
      <c r="F250" s="6" t="s">
        <v>869</v>
      </c>
    </row>
    <row r="251" spans="2:6" ht="28.5" hidden="1" customHeight="1" outlineLevel="1">
      <c r="B251" s="1556" t="s">
        <v>870</v>
      </c>
      <c r="C251" s="839" t="s">
        <v>871</v>
      </c>
      <c r="D251" s="36">
        <v>10.039999999999999</v>
      </c>
      <c r="E251" s="840">
        <f>1000*D251/365</f>
        <v>27.506849315068493</v>
      </c>
      <c r="F251" s="1558">
        <f>AVERAGE(E251:E252)</f>
        <v>33.150684931506845</v>
      </c>
    </row>
    <row r="252" spans="2:6" ht="28.5" hidden="1" customHeight="1" outlineLevel="1">
      <c r="B252" s="1556"/>
      <c r="C252" s="1321" t="s">
        <v>872</v>
      </c>
      <c r="D252" s="839">
        <v>14.16</v>
      </c>
      <c r="E252" s="840">
        <f t="shared" ref="E252:E260" si="12">1000*D252/365</f>
        <v>38.794520547945204</v>
      </c>
      <c r="F252" s="1558"/>
    </row>
    <row r="253" spans="2:6" ht="28.5" hidden="1" customHeight="1" outlineLevel="1">
      <c r="B253" s="1556" t="s">
        <v>873</v>
      </c>
      <c r="C253" s="839" t="s">
        <v>871</v>
      </c>
      <c r="D253" s="839">
        <v>13.74</v>
      </c>
      <c r="E253" s="840">
        <f t="shared" si="12"/>
        <v>37.643835616438359</v>
      </c>
      <c r="F253" s="1558">
        <f>AVERAGE(E253:E254)</f>
        <v>30.301369863013701</v>
      </c>
    </row>
    <row r="254" spans="2:6" ht="28.5" hidden="1" customHeight="1" outlineLevel="1">
      <c r="B254" s="1556"/>
      <c r="C254" s="1321" t="s">
        <v>872</v>
      </c>
      <c r="D254" s="36">
        <v>8.3800000000000008</v>
      </c>
      <c r="E254" s="840">
        <f t="shared" si="12"/>
        <v>22.958904109589042</v>
      </c>
      <c r="F254" s="1558"/>
    </row>
    <row r="255" spans="2:6" hidden="1" outlineLevel="1">
      <c r="B255" s="1556" t="s">
        <v>874</v>
      </c>
      <c r="C255" s="841" t="s">
        <v>875</v>
      </c>
      <c r="D255" s="36">
        <v>7.01</v>
      </c>
      <c r="E255" s="840">
        <f t="shared" si="12"/>
        <v>19.205479452054796</v>
      </c>
      <c r="F255" s="1558">
        <f>AVERAGE(E255:E257)</f>
        <v>21.981735159817351</v>
      </c>
    </row>
    <row r="256" spans="2:6" ht="14.5" hidden="1" customHeight="1" outlineLevel="1">
      <c r="B256" s="1556"/>
      <c r="C256" s="841" t="s">
        <v>876</v>
      </c>
      <c r="D256" s="36">
        <v>10.85</v>
      </c>
      <c r="E256" s="840">
        <f t="shared" si="12"/>
        <v>29.726027397260275</v>
      </c>
      <c r="F256" s="1558"/>
    </row>
    <row r="257" spans="2:6" hidden="1" outlineLevel="1">
      <c r="B257" s="1556"/>
      <c r="C257" s="842" t="s">
        <v>877</v>
      </c>
      <c r="D257" s="36">
        <v>6.21</v>
      </c>
      <c r="E257" s="840">
        <f t="shared" si="12"/>
        <v>17.013698630136986</v>
      </c>
      <c r="F257" s="1558"/>
    </row>
    <row r="258" spans="2:6" ht="28" hidden="1" outlineLevel="1">
      <c r="B258" s="1556" t="s">
        <v>878</v>
      </c>
      <c r="C258" s="842" t="s">
        <v>879</v>
      </c>
      <c r="D258" s="36">
        <v>3.14</v>
      </c>
      <c r="E258" s="840">
        <f t="shared" si="12"/>
        <v>8.6027397260273979</v>
      </c>
      <c r="F258" s="1558">
        <f>AVERAGE(E258:E260)</f>
        <v>13.196347031963469</v>
      </c>
    </row>
    <row r="259" spans="2:6" ht="28" hidden="1" outlineLevel="1">
      <c r="B259" s="1556"/>
      <c r="C259" s="842" t="s">
        <v>880</v>
      </c>
      <c r="D259" s="36">
        <v>4.96</v>
      </c>
      <c r="E259" s="840">
        <f t="shared" si="12"/>
        <v>13.58904109589041</v>
      </c>
      <c r="F259" s="1558"/>
    </row>
    <row r="260" spans="2:6" ht="28.5" hidden="1" outlineLevel="1" thickBot="1">
      <c r="B260" s="1557"/>
      <c r="C260" s="843" t="s">
        <v>881</v>
      </c>
      <c r="D260" s="31">
        <v>6.35</v>
      </c>
      <c r="E260" s="844">
        <f t="shared" si="12"/>
        <v>17.397260273972602</v>
      </c>
      <c r="F260" s="1559"/>
    </row>
    <row r="261" spans="2:6" hidden="1" outlineLevel="1"/>
    <row r="262" spans="2:6" ht="14.5" hidden="1" outlineLevel="1" thickBot="1">
      <c r="B262" s="1251" t="s">
        <v>882</v>
      </c>
      <c r="C262" s="838"/>
    </row>
    <row r="263" spans="2:6" ht="14.5" hidden="1" outlineLevel="1">
      <c r="B263" s="4" t="s">
        <v>684</v>
      </c>
      <c r="C263" s="5" t="s">
        <v>70</v>
      </c>
      <c r="D263" s="6" t="s">
        <v>883</v>
      </c>
    </row>
    <row r="264" spans="2:6" ht="15" hidden="1" outlineLevel="1" thickBot="1">
      <c r="B264" s="13" t="s">
        <v>884</v>
      </c>
      <c r="C264" s="144" t="s">
        <v>885</v>
      </c>
      <c r="D264" s="38">
        <v>91</v>
      </c>
      <c r="F264" s="1251"/>
    </row>
    <row r="265" spans="2:6" hidden="1" outlineLevel="1"/>
    <row r="266" spans="2:6" ht="14.5" hidden="1" outlineLevel="1" thickBot="1">
      <c r="B266" t="s">
        <v>886</v>
      </c>
    </row>
    <row r="267" spans="2:6" ht="14.5" hidden="1" outlineLevel="1">
      <c r="B267" s="182" t="s">
        <v>887</v>
      </c>
      <c r="C267" s="962">
        <f>D264*((750+500)/2)/600</f>
        <v>94.791666666666671</v>
      </c>
    </row>
    <row r="268" spans="2:6" ht="15" hidden="1" outlineLevel="1" thickBot="1">
      <c r="B268" s="13" t="s">
        <v>888</v>
      </c>
      <c r="C268" s="845">
        <f>D264*((1500+2000)/2)/600</f>
        <v>265.41666666666669</v>
      </c>
    </row>
    <row r="269" spans="2:6" hidden="1" outlineLevel="1"/>
    <row r="270" spans="2:6" ht="14.5" hidden="1" outlineLevel="1" thickBot="1">
      <c r="B270" s="1251" t="s">
        <v>889</v>
      </c>
    </row>
    <row r="271" spans="2:6" ht="14.5" hidden="1" outlineLevel="1">
      <c r="B271" s="4" t="s">
        <v>684</v>
      </c>
      <c r="C271" s="5" t="s">
        <v>70</v>
      </c>
      <c r="D271" s="6" t="s">
        <v>883</v>
      </c>
    </row>
    <row r="272" spans="2:6" ht="15" hidden="1" outlineLevel="1" thickBot="1">
      <c r="B272" s="13" t="s">
        <v>890</v>
      </c>
      <c r="C272" s="144" t="s">
        <v>891</v>
      </c>
      <c r="D272" s="38">
        <v>10</v>
      </c>
    </row>
    <row r="273" spans="2:5" hidden="1" outlineLevel="1"/>
    <row r="274" spans="2:5" hidden="1" outlineLevel="1">
      <c r="B274" t="s">
        <v>892</v>
      </c>
    </row>
    <row r="275" spans="2:5" hidden="1" outlineLevel="1">
      <c r="D275" s="767"/>
    </row>
    <row r="276" spans="2:5" ht="14.5" hidden="1" outlineLevel="1" thickBot="1">
      <c r="B276" s="1251" t="s">
        <v>893</v>
      </c>
    </row>
    <row r="277" spans="2:5" ht="14.5" hidden="1" outlineLevel="1">
      <c r="B277" s="4"/>
      <c r="C277" s="5" t="s">
        <v>894</v>
      </c>
      <c r="D277" s="5" t="s">
        <v>895</v>
      </c>
      <c r="E277" s="6" t="s">
        <v>896</v>
      </c>
    </row>
    <row r="278" spans="2:5" ht="14.5" hidden="1" outlineLevel="1">
      <c r="B278" s="10" t="s">
        <v>675</v>
      </c>
      <c r="C278" s="642">
        <f>AVERAGE(F255,F258)</f>
        <v>17.589041095890408</v>
      </c>
      <c r="D278" s="190">
        <f t="shared" ref="D278:D284" si="13">C235</f>
        <v>65570389</v>
      </c>
      <c r="E278" s="547">
        <f t="shared" ref="E278:E284" si="14">D278*C278/10^9</f>
        <v>1.1533202667945204</v>
      </c>
    </row>
    <row r="279" spans="2:5" ht="14.5" hidden="1" outlineLevel="1">
      <c r="B279" s="10" t="s">
        <v>676</v>
      </c>
      <c r="C279" s="608">
        <f>AVERAGE(F251,F253)</f>
        <v>31.726027397260275</v>
      </c>
      <c r="D279" s="190">
        <f t="shared" si="13"/>
        <v>24816450</v>
      </c>
      <c r="E279" s="547">
        <f t="shared" si="14"/>
        <v>0.78732737260273966</v>
      </c>
    </row>
    <row r="280" spans="2:5" ht="14.5" hidden="1" outlineLevel="1">
      <c r="B280" s="10" t="s">
        <v>677</v>
      </c>
      <c r="C280" s="608">
        <f>C267</f>
        <v>94.791666666666671</v>
      </c>
      <c r="D280" s="190">
        <f t="shared" si="13"/>
        <v>7822670</v>
      </c>
      <c r="E280" s="547">
        <f t="shared" si="14"/>
        <v>0.74152392708333337</v>
      </c>
    </row>
    <row r="281" spans="2:5" ht="14.5" hidden="1" outlineLevel="1">
      <c r="B281" s="10" t="s">
        <v>678</v>
      </c>
      <c r="C281" s="608">
        <f>C268</f>
        <v>265.41666666666669</v>
      </c>
      <c r="D281" s="190">
        <f t="shared" si="13"/>
        <v>21883290</v>
      </c>
      <c r="E281" s="547">
        <f t="shared" si="14"/>
        <v>5.8081898875000002</v>
      </c>
    </row>
    <row r="282" spans="2:5" ht="14.5" hidden="1" outlineLevel="1">
      <c r="B282" s="10" t="s">
        <v>679</v>
      </c>
      <c r="C282" s="608">
        <f>D272</f>
        <v>10</v>
      </c>
      <c r="D282" s="190">
        <f t="shared" si="13"/>
        <v>12134295</v>
      </c>
      <c r="E282" s="547">
        <f t="shared" si="14"/>
        <v>0.12134295</v>
      </c>
    </row>
    <row r="283" spans="2:5" ht="14.5" hidden="1" outlineLevel="1">
      <c r="B283" s="10" t="s">
        <v>680</v>
      </c>
      <c r="C283" s="608">
        <v>14</v>
      </c>
      <c r="D283" s="190">
        <f t="shared" si="13"/>
        <v>34925400</v>
      </c>
      <c r="E283" s="547">
        <f t="shared" si="14"/>
        <v>0.48895559999999999</v>
      </c>
    </row>
    <row r="284" spans="2:5" ht="15" hidden="1" outlineLevel="1" thickBot="1">
      <c r="B284" s="13" t="s">
        <v>681</v>
      </c>
      <c r="C284" s="609">
        <v>24</v>
      </c>
      <c r="D284" s="722">
        <f t="shared" si="13"/>
        <v>22849630</v>
      </c>
      <c r="E284" s="709">
        <f t="shared" si="14"/>
        <v>0.54839112000000001</v>
      </c>
    </row>
    <row r="285" spans="2:5" hidden="1" outlineLevel="1"/>
    <row r="286" spans="2:5" ht="14.5" hidden="1" outlineLevel="1" thickBot="1">
      <c r="B286" s="1251" t="s">
        <v>897</v>
      </c>
    </row>
    <row r="287" spans="2:5" ht="29" hidden="1" outlineLevel="1">
      <c r="B287" s="4" t="s">
        <v>269</v>
      </c>
      <c r="C287" s="5" t="s">
        <v>70</v>
      </c>
      <c r="D287" s="5" t="s">
        <v>898</v>
      </c>
      <c r="E287" s="6" t="s">
        <v>899</v>
      </c>
    </row>
    <row r="288" spans="2:5" ht="14.5" hidden="1" outlineLevel="1">
      <c r="B288" s="10" t="s">
        <v>675</v>
      </c>
      <c r="C288" s="113" t="s">
        <v>900</v>
      </c>
      <c r="D288" s="1266" t="s">
        <v>901</v>
      </c>
      <c r="E288" s="1283" t="s">
        <v>902</v>
      </c>
    </row>
    <row r="289" spans="2:8" ht="14.5" hidden="1" outlineLevel="1">
      <c r="B289" s="10" t="s">
        <v>676</v>
      </c>
      <c r="C289" s="113" t="s">
        <v>900</v>
      </c>
      <c r="D289" s="1266" t="s">
        <v>903</v>
      </c>
      <c r="E289" s="1283" t="s">
        <v>904</v>
      </c>
    </row>
    <row r="290" spans="2:8" ht="14.5" hidden="1" outlineLevel="1">
      <c r="B290" s="10" t="s">
        <v>677</v>
      </c>
      <c r="C290" s="113" t="s">
        <v>905</v>
      </c>
      <c r="D290" s="1266" t="s">
        <v>906</v>
      </c>
      <c r="E290" s="1283" t="s">
        <v>907</v>
      </c>
    </row>
    <row r="291" spans="2:8" ht="14.5" hidden="1" outlineLevel="1">
      <c r="B291" s="10" t="s">
        <v>678</v>
      </c>
      <c r="C291" s="113" t="s">
        <v>905</v>
      </c>
      <c r="D291" s="1266" t="s">
        <v>908</v>
      </c>
      <c r="E291" s="1283" t="s">
        <v>909</v>
      </c>
    </row>
    <row r="292" spans="2:8" ht="14.5" hidden="1" outlineLevel="1">
      <c r="B292" s="10" t="s">
        <v>910</v>
      </c>
      <c r="C292" s="113" t="s">
        <v>911</v>
      </c>
      <c r="D292" s="1266" t="s">
        <v>912</v>
      </c>
      <c r="E292" s="1283" t="s">
        <v>913</v>
      </c>
    </row>
    <row r="293" spans="2:8" ht="14.5" hidden="1" outlineLevel="1">
      <c r="B293" s="10" t="s">
        <v>680</v>
      </c>
      <c r="C293" s="1266" t="s">
        <v>914</v>
      </c>
      <c r="D293" s="1266" t="s">
        <v>915</v>
      </c>
      <c r="E293" s="1283" t="s">
        <v>916</v>
      </c>
    </row>
    <row r="294" spans="2:8" ht="15" hidden="1" outlineLevel="1" thickBot="1">
      <c r="B294" s="13" t="s">
        <v>681</v>
      </c>
      <c r="C294" s="1267" t="s">
        <v>914</v>
      </c>
      <c r="D294" s="1267" t="s">
        <v>915</v>
      </c>
      <c r="E294" s="1285" t="s">
        <v>916</v>
      </c>
    </row>
    <row r="295" spans="2:8" hidden="1" outlineLevel="1"/>
    <row r="296" spans="2:8" ht="14.5" hidden="1" outlineLevel="1" thickBot="1">
      <c r="B296" s="1251" t="s">
        <v>917</v>
      </c>
    </row>
    <row r="297" spans="2:8" ht="72.5" hidden="1" outlineLevel="1">
      <c r="B297" s="4" t="s">
        <v>269</v>
      </c>
      <c r="C297" s="5" t="s">
        <v>918</v>
      </c>
      <c r="D297" s="5" t="s">
        <v>919</v>
      </c>
      <c r="E297" s="5" t="s">
        <v>920</v>
      </c>
      <c r="F297" s="5" t="s">
        <v>921</v>
      </c>
      <c r="G297" s="5" t="s">
        <v>922</v>
      </c>
      <c r="H297" s="6" t="s">
        <v>923</v>
      </c>
    </row>
    <row r="298" spans="2:8" ht="14.5" hidden="1" outlineLevel="1">
      <c r="B298" s="10" t="s">
        <v>675</v>
      </c>
      <c r="C298" s="171">
        <v>6.3529117498541456</v>
      </c>
      <c r="D298" s="171">
        <v>1.5571685906490034</v>
      </c>
      <c r="E298" s="1322">
        <f t="shared" ref="E298:E304" si="15">C298*C278</f>
        <v>111.74162584674961</v>
      </c>
      <c r="F298" s="955">
        <f t="shared" ref="F298:F304" si="16">E298*D278/10^9</f>
        <v>7.3269418742638264</v>
      </c>
      <c r="G298" s="1322">
        <f t="shared" ref="G298:G304" si="17">D298*C278</f>
        <v>27.389102334155069</v>
      </c>
      <c r="H298" s="847">
        <f t="shared" ref="H298:H304" si="18">G298*D278/10^9</f>
        <v>1.7959140944113561</v>
      </c>
    </row>
    <row r="299" spans="2:8" ht="14.5" hidden="1" outlineLevel="1">
      <c r="B299" s="10" t="s">
        <v>676</v>
      </c>
      <c r="C299" s="171">
        <v>4.9645942295114684</v>
      </c>
      <c r="D299" s="171">
        <v>1.4508061184892678</v>
      </c>
      <c r="E299" s="1322">
        <f t="shared" si="15"/>
        <v>157.50685254176111</v>
      </c>
      <c r="F299" s="955">
        <f t="shared" si="16"/>
        <v>3.9087609307599873</v>
      </c>
      <c r="G299" s="1322">
        <f t="shared" si="17"/>
        <v>46.028314663303348</v>
      </c>
      <c r="H299" s="847">
        <f t="shared" si="18"/>
        <v>1.1422593694261343</v>
      </c>
    </row>
    <row r="300" spans="2:8" ht="14.5" hidden="1" outlineLevel="1">
      <c r="B300" s="10" t="s">
        <v>677</v>
      </c>
      <c r="C300" s="171">
        <v>3.6795</v>
      </c>
      <c r="D300" s="171">
        <v>1.4480053450544683</v>
      </c>
      <c r="E300" s="1322">
        <f t="shared" si="15"/>
        <v>348.78593749999999</v>
      </c>
      <c r="F300" s="955">
        <f t="shared" si="16"/>
        <v>2.728437289703125</v>
      </c>
      <c r="G300" s="1322">
        <f t="shared" si="17"/>
        <v>137.25883999995483</v>
      </c>
      <c r="H300" s="847">
        <f t="shared" si="18"/>
        <v>1.0737306099024466</v>
      </c>
    </row>
    <row r="301" spans="2:8" ht="14.5" hidden="1" outlineLevel="1">
      <c r="B301" s="10" t="s">
        <v>678</v>
      </c>
      <c r="C301" s="171">
        <v>4.3346670651216357</v>
      </c>
      <c r="D301" s="171">
        <v>1.3910663546173874</v>
      </c>
      <c r="E301" s="1322">
        <f t="shared" si="15"/>
        <v>1150.4928835343676</v>
      </c>
      <c r="F301" s="955">
        <f t="shared" si="16"/>
        <v>25.176569413318791</v>
      </c>
      <c r="G301" s="1322">
        <f t="shared" si="17"/>
        <v>369.21219495469825</v>
      </c>
      <c r="H301" s="847">
        <f t="shared" si="18"/>
        <v>8.0795775337301983</v>
      </c>
    </row>
    <row r="302" spans="2:8" ht="14.5" hidden="1" outlineLevel="1">
      <c r="B302" s="10" t="s">
        <v>910</v>
      </c>
      <c r="C302" s="171">
        <v>3.15</v>
      </c>
      <c r="D302" s="171">
        <v>1.4788053450544683</v>
      </c>
      <c r="E302" s="1322">
        <f t="shared" si="15"/>
        <v>31.5</v>
      </c>
      <c r="F302" s="955">
        <f t="shared" si="16"/>
        <v>0.38223029250000001</v>
      </c>
      <c r="G302" s="1322">
        <f t="shared" si="17"/>
        <v>14.788053450544682</v>
      </c>
      <c r="H302" s="847">
        <f t="shared" si="18"/>
        <v>0.17944260304467707</v>
      </c>
    </row>
    <row r="303" spans="2:8" ht="14.5" hidden="1" outlineLevel="1">
      <c r="B303" s="10" t="s">
        <v>680</v>
      </c>
      <c r="C303" s="1323">
        <v>3.26</v>
      </c>
      <c r="D303" s="1323">
        <v>1.3186053450544684</v>
      </c>
      <c r="E303" s="1322">
        <f t="shared" si="15"/>
        <v>45.64</v>
      </c>
      <c r="F303" s="955">
        <f t="shared" si="16"/>
        <v>1.5939952559999999</v>
      </c>
      <c r="G303" s="1322">
        <f t="shared" si="17"/>
        <v>18.460474830762557</v>
      </c>
      <c r="H303" s="847">
        <f t="shared" si="18"/>
        <v>0.64473946765431467</v>
      </c>
    </row>
    <row r="304" spans="2:8" ht="15" hidden="1" outlineLevel="1" thickBot="1">
      <c r="B304" s="13" t="s">
        <v>681</v>
      </c>
      <c r="C304" s="1324">
        <v>5.01</v>
      </c>
      <c r="D304" s="1324">
        <v>1.9143053450544683</v>
      </c>
      <c r="E304" s="1325">
        <f t="shared" si="15"/>
        <v>120.24</v>
      </c>
      <c r="F304" s="956">
        <f t="shared" si="16"/>
        <v>2.7474395111999996</v>
      </c>
      <c r="G304" s="1325">
        <f t="shared" si="17"/>
        <v>45.943328281307238</v>
      </c>
      <c r="H304" s="854">
        <f t="shared" si="18"/>
        <v>1.0497880521964065</v>
      </c>
    </row>
    <row r="305" spans="2:8" ht="15" hidden="1" outlineLevel="1" thickBot="1">
      <c r="E305" s="212" t="s">
        <v>83</v>
      </c>
      <c r="F305" s="880">
        <f>SUM(F298:F304)</f>
        <v>43.864374567745728</v>
      </c>
      <c r="G305" s="212" t="s">
        <v>83</v>
      </c>
      <c r="H305" s="880">
        <f>SUM(H298:H304)</f>
        <v>13.965451730365533</v>
      </c>
    </row>
    <row r="306" spans="2:8" collapsed="1"/>
    <row r="307" spans="2:8" ht="18">
      <c r="B307" s="258" t="s">
        <v>482</v>
      </c>
    </row>
    <row r="309" spans="2:8" hidden="1" outlineLevel="1">
      <c r="B309" s="1251" t="s">
        <v>924</v>
      </c>
    </row>
    <row r="310" spans="2:8" hidden="1" outlineLevel="1"/>
    <row r="311" spans="2:8" hidden="1" outlineLevel="1">
      <c r="B311" s="1251" t="s">
        <v>925</v>
      </c>
    </row>
    <row r="312" spans="2:8" hidden="1" outlineLevel="1">
      <c r="B312" s="1251" t="s">
        <v>926</v>
      </c>
    </row>
    <row r="313" spans="2:8" hidden="1" outlineLevel="1"/>
    <row r="314" spans="2:8" ht="14.5" hidden="1" outlineLevel="1" thickBot="1">
      <c r="B314" t="s">
        <v>927</v>
      </c>
    </row>
    <row r="315" spans="2:8" ht="29" hidden="1" outlineLevel="1">
      <c r="B315" s="4" t="s">
        <v>269</v>
      </c>
      <c r="C315" s="5" t="s">
        <v>928</v>
      </c>
      <c r="D315" s="6" t="s">
        <v>929</v>
      </c>
    </row>
    <row r="316" spans="2:8" ht="14.5" hidden="1" outlineLevel="1">
      <c r="B316" s="10" t="s">
        <v>675</v>
      </c>
      <c r="C316" s="849">
        <f t="shared" ref="C316:C322" si="19">C278</f>
        <v>17.589041095890408</v>
      </c>
      <c r="D316" s="192">
        <f>C316*20%</f>
        <v>3.517808219178082</v>
      </c>
    </row>
    <row r="317" spans="2:8" ht="14.5" hidden="1" outlineLevel="1">
      <c r="B317" s="10" t="s">
        <v>676</v>
      </c>
      <c r="C317" s="849">
        <f t="shared" si="19"/>
        <v>31.726027397260275</v>
      </c>
      <c r="D317" s="192">
        <f t="shared" ref="D317:D322" si="20">C317*20%</f>
        <v>6.3452054794520549</v>
      </c>
    </row>
    <row r="318" spans="2:8" ht="14.5" hidden="1" outlineLevel="1">
      <c r="B318" s="10" t="s">
        <v>677</v>
      </c>
      <c r="C318" s="849">
        <f t="shared" si="19"/>
        <v>94.791666666666671</v>
      </c>
      <c r="D318" s="192">
        <f t="shared" si="20"/>
        <v>18.958333333333336</v>
      </c>
    </row>
    <row r="319" spans="2:8" ht="14.5" hidden="1" outlineLevel="1">
      <c r="B319" s="10" t="s">
        <v>678</v>
      </c>
      <c r="C319" s="849">
        <f t="shared" si="19"/>
        <v>265.41666666666669</v>
      </c>
      <c r="D319" s="192">
        <f t="shared" si="20"/>
        <v>53.083333333333343</v>
      </c>
    </row>
    <row r="320" spans="2:8" ht="14.5" hidden="1" outlineLevel="1">
      <c r="B320" s="10" t="s">
        <v>910</v>
      </c>
      <c r="C320" s="849">
        <f t="shared" si="19"/>
        <v>10</v>
      </c>
      <c r="D320" s="192">
        <f t="shared" si="20"/>
        <v>2</v>
      </c>
    </row>
    <row r="321" spans="2:5" ht="14.5" hidden="1" outlineLevel="1">
      <c r="B321" s="10" t="s">
        <v>680</v>
      </c>
      <c r="C321" s="849">
        <f t="shared" si="19"/>
        <v>14</v>
      </c>
      <c r="D321" s="192">
        <f t="shared" si="20"/>
        <v>2.8000000000000003</v>
      </c>
      <c r="E321" s="1251"/>
    </row>
    <row r="322" spans="2:5" ht="15" hidden="1" outlineLevel="1" thickBot="1">
      <c r="B322" s="13" t="s">
        <v>681</v>
      </c>
      <c r="C322" s="850">
        <f t="shared" si="19"/>
        <v>24</v>
      </c>
      <c r="D322" s="195">
        <f t="shared" si="20"/>
        <v>4.8000000000000007</v>
      </c>
      <c r="E322" s="1251"/>
    </row>
    <row r="323" spans="2:5" hidden="1" outlineLevel="1"/>
    <row r="324" spans="2:5" ht="14.5" hidden="1" outlineLevel="1" thickBot="1">
      <c r="B324" s="1251" t="s">
        <v>930</v>
      </c>
    </row>
    <row r="325" spans="2:5" ht="29" hidden="1" outlineLevel="1">
      <c r="B325" s="4" t="s">
        <v>269</v>
      </c>
      <c r="C325" s="5" t="s">
        <v>931</v>
      </c>
      <c r="D325" s="6" t="s">
        <v>363</v>
      </c>
    </row>
    <row r="326" spans="2:5" ht="14.5" hidden="1" outlineLevel="1">
      <c r="B326" s="10" t="s">
        <v>675</v>
      </c>
      <c r="C326" s="849">
        <v>11.528769194948588</v>
      </c>
      <c r="D326" s="385">
        <f t="shared" ref="D326:D332" si="21">C326*D278/10^9</f>
        <v>0.75594588080399572</v>
      </c>
    </row>
    <row r="327" spans="2:5" ht="14.5" hidden="1" outlineLevel="1">
      <c r="B327" s="10" t="s">
        <v>676</v>
      </c>
      <c r="C327" s="849">
        <v>20.794882753505398</v>
      </c>
      <c r="D327" s="385">
        <f t="shared" si="21"/>
        <v>0.51605516810822905</v>
      </c>
    </row>
    <row r="328" spans="2:5" ht="14.5" hidden="1" outlineLevel="1">
      <c r="B328" s="10" t="s">
        <v>677</v>
      </c>
      <c r="C328" s="849">
        <v>62.131371496984919</v>
      </c>
      <c r="D328" s="385">
        <f t="shared" si="21"/>
        <v>0.48603321586831905</v>
      </c>
    </row>
    <row r="329" spans="2:5" ht="14.5" hidden="1" outlineLevel="1">
      <c r="B329" s="10" t="s">
        <v>678</v>
      </c>
      <c r="C329" s="849">
        <v>173.96784019155777</v>
      </c>
      <c r="D329" s="385">
        <f t="shared" si="21"/>
        <v>3.8069886975855143</v>
      </c>
    </row>
    <row r="330" spans="2:5" ht="14.5" hidden="1" outlineLevel="1">
      <c r="B330" s="10" t="s">
        <v>910</v>
      </c>
      <c r="C330" s="849">
        <v>6.5545183117698365</v>
      </c>
      <c r="D330" s="385">
        <f t="shared" si="21"/>
        <v>7.9534458777917164E-2</v>
      </c>
    </row>
    <row r="331" spans="2:5" ht="14.5" hidden="1" outlineLevel="1">
      <c r="B331" s="10" t="s">
        <v>680</v>
      </c>
      <c r="C331" s="849">
        <v>9.1763256364777721</v>
      </c>
      <c r="D331" s="385">
        <f t="shared" si="21"/>
        <v>0.32048684338424083</v>
      </c>
      <c r="E331" s="1251"/>
    </row>
    <row r="332" spans="2:5" ht="15" hidden="1" outlineLevel="1" thickBot="1">
      <c r="B332" s="13" t="s">
        <v>681</v>
      </c>
      <c r="C332" s="850">
        <v>15.73084394824761</v>
      </c>
      <c r="D332" s="851">
        <f t="shared" si="21"/>
        <v>0.35944396380519705</v>
      </c>
      <c r="E332" s="1251"/>
    </row>
    <row r="333" spans="2:5" ht="15" hidden="1" outlineLevel="1" thickBot="1">
      <c r="C333" s="957" t="s">
        <v>83</v>
      </c>
      <c r="D333" s="215">
        <f>SUM(D326:D332)</f>
        <v>6.3244882283334123</v>
      </c>
    </row>
    <row r="334" spans="2:5" hidden="1" outlineLevel="1"/>
    <row r="335" spans="2:5" collapsed="1"/>
    <row r="336" spans="2:5" ht="18">
      <c r="B336" s="258" t="s">
        <v>515</v>
      </c>
    </row>
    <row r="338" spans="2:6" ht="14.5" hidden="1" outlineLevel="1" thickBot="1">
      <c r="B338" s="1251" t="s">
        <v>932</v>
      </c>
    </row>
    <row r="339" spans="2:6" ht="15" hidden="1" outlineLevel="1" thickBot="1">
      <c r="B339" s="852" t="s">
        <v>933</v>
      </c>
      <c r="C339" s="853">
        <f>'Annexe - stérilisation'!C26</f>
        <v>0.18273736929272824</v>
      </c>
    </row>
    <row r="340" spans="2:6" hidden="1" outlineLevel="1"/>
    <row r="341" spans="2:6" hidden="1" outlineLevel="1">
      <c r="B341" t="s">
        <v>934</v>
      </c>
    </row>
    <row r="342" spans="2:6" ht="14.5" hidden="1" outlineLevel="1" thickBot="1"/>
    <row r="343" spans="2:6" ht="43.5" hidden="1" outlineLevel="1">
      <c r="B343" s="4" t="s">
        <v>269</v>
      </c>
      <c r="C343" s="5" t="s">
        <v>935</v>
      </c>
      <c r="D343" s="5" t="s">
        <v>936</v>
      </c>
      <c r="E343" s="5" t="s">
        <v>937</v>
      </c>
      <c r="F343" s="6" t="s">
        <v>938</v>
      </c>
    </row>
    <row r="344" spans="2:6" ht="14.5" hidden="1" outlineLevel="1">
      <c r="B344" s="10" t="s">
        <v>675</v>
      </c>
      <c r="C344" s="848">
        <v>1</v>
      </c>
      <c r="D344" s="136">
        <f t="shared" ref="D344:D350" si="22">C316+D316</f>
        <v>21.106849315068491</v>
      </c>
      <c r="E344" s="606">
        <f>D344*C$339*C344</f>
        <v>3.8570101178936391</v>
      </c>
      <c r="F344" s="847">
        <f t="shared" ref="F344:F350" si="23">E344*D278/10^9</f>
        <v>0.2529056538072218</v>
      </c>
    </row>
    <row r="345" spans="2:6" ht="14.5" hidden="1" outlineLevel="1">
      <c r="B345" s="10" t="s">
        <v>676</v>
      </c>
      <c r="C345" s="848">
        <v>1</v>
      </c>
      <c r="D345" s="136">
        <f t="shared" si="22"/>
        <v>38.07123287671233</v>
      </c>
      <c r="E345" s="606">
        <f t="shared" ref="E345:E350" si="24">D345*C$339*C345</f>
        <v>6.9570369416212374</v>
      </c>
      <c r="F345" s="847">
        <f t="shared" si="23"/>
        <v>0.17264895940989636</v>
      </c>
    </row>
    <row r="346" spans="2:6" ht="14.5" hidden="1" outlineLevel="1">
      <c r="B346" s="10" t="s">
        <v>677</v>
      </c>
      <c r="C346" s="848">
        <f>SUMPRODUCT(C91:C94,D91:D94)/D95</f>
        <v>0.25339302309825162</v>
      </c>
      <c r="D346" s="136">
        <f t="shared" si="22"/>
        <v>113.75</v>
      </c>
      <c r="E346" s="606">
        <f t="shared" si="24"/>
        <v>5.2671225923345606</v>
      </c>
      <c r="F346" s="847">
        <f t="shared" si="23"/>
        <v>4.1202961889377797E-2</v>
      </c>
    </row>
    <row r="347" spans="2:6" ht="14.5" hidden="1" outlineLevel="1">
      <c r="B347" s="10" t="s">
        <v>678</v>
      </c>
      <c r="C347" s="848">
        <f>SUMPRODUCT(C116:C120,D116:D120)/D121</f>
        <v>7.3536931603977285E-2</v>
      </c>
      <c r="D347" s="136">
        <f t="shared" si="22"/>
        <v>318.5</v>
      </c>
      <c r="E347" s="606">
        <f t="shared" si="24"/>
        <v>4.2799856185536749</v>
      </c>
      <c r="F347" s="847">
        <f t="shared" si="23"/>
        <v>9.3660166486639454E-2</v>
      </c>
    </row>
    <row r="348" spans="2:6" ht="14.5" hidden="1" outlineLevel="1">
      <c r="B348" s="10" t="s">
        <v>910</v>
      </c>
      <c r="C348" s="848">
        <v>0</v>
      </c>
      <c r="D348" s="136">
        <f t="shared" si="22"/>
        <v>12</v>
      </c>
      <c r="E348" s="606">
        <f t="shared" si="24"/>
        <v>0</v>
      </c>
      <c r="F348" s="847">
        <f t="shared" si="23"/>
        <v>0</v>
      </c>
    </row>
    <row r="349" spans="2:6" ht="14.5" hidden="1" outlineLevel="1">
      <c r="B349" s="10" t="s">
        <v>680</v>
      </c>
      <c r="C349" s="848">
        <v>0</v>
      </c>
      <c r="D349" s="136">
        <f t="shared" si="22"/>
        <v>16.8</v>
      </c>
      <c r="E349" s="606">
        <f t="shared" si="24"/>
        <v>0</v>
      </c>
      <c r="F349" s="847">
        <f t="shared" si="23"/>
        <v>0</v>
      </c>
    </row>
    <row r="350" spans="2:6" ht="15" hidden="1" outlineLevel="1" thickBot="1">
      <c r="B350" s="13" t="s">
        <v>681</v>
      </c>
      <c r="C350" s="963">
        <v>0</v>
      </c>
      <c r="D350" s="37">
        <f t="shared" si="22"/>
        <v>28.8</v>
      </c>
      <c r="E350" s="719">
        <f t="shared" si="24"/>
        <v>0</v>
      </c>
      <c r="F350" s="854">
        <f t="shared" si="23"/>
        <v>0</v>
      </c>
    </row>
    <row r="351" spans="2:6" ht="15" hidden="1" outlineLevel="1" thickBot="1">
      <c r="E351" s="957" t="s">
        <v>83</v>
      </c>
      <c r="F351" s="215">
        <f>SUM(F344:F350)</f>
        <v>0.5604177415931354</v>
      </c>
    </row>
    <row r="352" spans="2:6" hidden="1" outlineLevel="1"/>
    <row r="353" spans="2:16" collapsed="1"/>
    <row r="354" spans="2:16" ht="18">
      <c r="B354" s="258" t="s">
        <v>522</v>
      </c>
    </row>
    <row r="356" spans="2:16" hidden="1" outlineLevel="1">
      <c r="B356" t="s">
        <v>939</v>
      </c>
    </row>
    <row r="357" spans="2:16" ht="14.5" hidden="1" outlineLevel="1" thickBot="1">
      <c r="B357" s="1251" t="s">
        <v>940</v>
      </c>
    </row>
    <row r="358" spans="2:16" ht="14.5" hidden="1" outlineLevel="1">
      <c r="B358" s="123" t="s">
        <v>525</v>
      </c>
      <c r="C358" s="155" t="s">
        <v>526</v>
      </c>
      <c r="D358" s="374" t="s">
        <v>165</v>
      </c>
      <c r="E358" s="375" t="s">
        <v>175</v>
      </c>
      <c r="F358" s="375" t="s">
        <v>163</v>
      </c>
      <c r="G358" s="375" t="s">
        <v>169</v>
      </c>
      <c r="H358" s="375" t="s">
        <v>161</v>
      </c>
      <c r="I358" s="375" t="s">
        <v>153</v>
      </c>
      <c r="J358" s="375" t="s">
        <v>171</v>
      </c>
      <c r="K358" s="375" t="s">
        <v>527</v>
      </c>
      <c r="L358" s="375" t="s">
        <v>167</v>
      </c>
      <c r="M358" s="375" t="s">
        <v>173</v>
      </c>
      <c r="N358" s="375" t="s">
        <v>159</v>
      </c>
      <c r="O358" s="375" t="s">
        <v>154</v>
      </c>
      <c r="P358" s="378" t="s">
        <v>157</v>
      </c>
    </row>
    <row r="359" spans="2:16" ht="15" hidden="1" outlineLevel="1" thickBot="1">
      <c r="B359" s="13" t="s">
        <v>528</v>
      </c>
      <c r="C359" s="14">
        <v>30069100</v>
      </c>
      <c r="D359" s="376">
        <v>0</v>
      </c>
      <c r="E359" s="298">
        <v>0</v>
      </c>
      <c r="F359" s="298">
        <v>8.5497032872112494E-2</v>
      </c>
      <c r="G359" s="298">
        <v>0</v>
      </c>
      <c r="H359" s="298">
        <v>3.1160763363916585E-6</v>
      </c>
      <c r="I359" s="298">
        <v>5.1562961568807325E-2</v>
      </c>
      <c r="J359" s="298">
        <v>5.683723237578385E-4</v>
      </c>
      <c r="K359" s="298">
        <v>2.0940032980551945E-4</v>
      </c>
      <c r="L359" s="298">
        <v>3.2282550845017579E-4</v>
      </c>
      <c r="M359" s="298">
        <v>0</v>
      </c>
      <c r="N359" s="298">
        <v>1.2439376734875501E-3</v>
      </c>
      <c r="O359" s="298">
        <v>0.53348722595666664</v>
      </c>
      <c r="P359" s="381">
        <v>0.32710512769057609</v>
      </c>
    </row>
    <row r="360" spans="2:16" hidden="1" outlineLevel="1"/>
    <row r="361" spans="2:16" hidden="1" outlineLevel="1">
      <c r="B361" t="s">
        <v>941</v>
      </c>
    </row>
    <row r="362" spans="2:16" hidden="1" outlineLevel="1">
      <c r="B362" s="1251" t="s">
        <v>942</v>
      </c>
    </row>
    <row r="363" spans="2:16" hidden="1" outlineLevel="1"/>
    <row r="364" spans="2:16" hidden="1" outlineLevel="1">
      <c r="B364" t="s">
        <v>943</v>
      </c>
    </row>
    <row r="365" spans="2:16" ht="14.5" hidden="1" outlineLevel="1" thickBot="1">
      <c r="B365" t="s">
        <v>944</v>
      </c>
    </row>
    <row r="366" spans="2:16" ht="15" hidden="1" outlineLevel="1" thickBot="1">
      <c r="B366" s="20" t="s">
        <v>945</v>
      </c>
      <c r="C366" s="964">
        <v>0.25</v>
      </c>
    </row>
    <row r="367" spans="2:16" hidden="1" outlineLevel="1"/>
    <row r="368" spans="2:16" ht="14.5" hidden="1" outlineLevel="1" thickBot="1">
      <c r="B368" t="s">
        <v>946</v>
      </c>
    </row>
    <row r="369" spans="2:13" ht="15" hidden="1" outlineLevel="1" thickBot="1">
      <c r="B369" s="20" t="s">
        <v>947</v>
      </c>
      <c r="C369" s="964">
        <v>0.06</v>
      </c>
    </row>
    <row r="370" spans="2:13" hidden="1" outlineLevel="1"/>
    <row r="371" spans="2:13" hidden="1" outlineLevel="1">
      <c r="B371" t="s">
        <v>948</v>
      </c>
    </row>
    <row r="372" spans="2:13" ht="14.5" hidden="1" outlineLevel="1" thickBot="1">
      <c r="B372" t="s">
        <v>565</v>
      </c>
    </row>
    <row r="373" spans="2:13" ht="15" hidden="1" outlineLevel="1" thickBot="1">
      <c r="B373" s="49"/>
      <c r="C373" s="1553" t="s">
        <v>949</v>
      </c>
      <c r="D373" s="1554"/>
      <c r="E373" s="1554"/>
      <c r="F373" s="1554"/>
      <c r="G373" s="1541"/>
      <c r="H373" s="1553" t="s">
        <v>938</v>
      </c>
      <c r="I373" s="1554"/>
      <c r="J373" s="1554"/>
      <c r="K373" s="1554"/>
      <c r="L373" s="1555"/>
    </row>
    <row r="374" spans="2:13" ht="43.5" hidden="1" outlineLevel="1">
      <c r="B374" s="49" t="s">
        <v>269</v>
      </c>
      <c r="C374" s="442" t="s">
        <v>550</v>
      </c>
      <c r="D374" s="167" t="s">
        <v>551</v>
      </c>
      <c r="E374" s="167" t="s">
        <v>653</v>
      </c>
      <c r="F374" s="167" t="s">
        <v>552</v>
      </c>
      <c r="G374" s="970" t="s">
        <v>950</v>
      </c>
      <c r="H374" s="442" t="s">
        <v>550</v>
      </c>
      <c r="I374" s="167" t="s">
        <v>551</v>
      </c>
      <c r="J374" s="167" t="s">
        <v>653</v>
      </c>
      <c r="K374" s="167" t="s">
        <v>552</v>
      </c>
      <c r="L374" s="970" t="s">
        <v>950</v>
      </c>
      <c r="M374" s="300" t="s">
        <v>83</v>
      </c>
    </row>
    <row r="375" spans="2:13" ht="14.5" hidden="1" outlineLevel="1">
      <c r="B375" s="28" t="s">
        <v>675</v>
      </c>
      <c r="C375" s="967">
        <f>SUMPRODUCT($D$359:$P$359,'Annexe - Logistique'!$D$12:$P$12)/(SUM($D$359:$P$359)/(1+$C$366))*'Annexe - Logistique'!$D$30*($C316+$D316)/10^6</f>
        <v>4.8920604967353501E-3</v>
      </c>
      <c r="D375" s="965">
        <f>(1-$C$369)*SUMPRODUCT($D$359:$P$359,'Annexe - Logistique'!$D$13:$P$13)/(SUM($D$359:$P$359)/(1+$C$366))*'Annexe - Logistique'!$D$28*($C316+$D316)/10^6</f>
        <v>2.0145657147523678E-3</v>
      </c>
      <c r="E375" s="965">
        <f>($C$369)*SUMPRODUCT($D$359:$P$359,'Annexe - Logistique'!$D$13:$P$13)/(SUM($D$359:$P$359)/(1+$C$366))*'Annexe - Logistique'!$D$26*($C316+$D316)/10^6</f>
        <v>3.4063390977918007E-3</v>
      </c>
      <c r="F375" s="965">
        <f>'Annexe - Logistique'!$Q$12*'Annexe - Logistique'!D$30*($C316+$D316)/10^6</f>
        <v>1.635780821917808E-3</v>
      </c>
      <c r="G375" s="971">
        <f>'Annexe - Logistique'!C$42*($C316+$D316)/10^3</f>
        <v>5.3822465753424658E-3</v>
      </c>
      <c r="H375" s="967">
        <f t="shared" ref="H375:L381" si="25">C375*$C235/10^6</f>
        <v>0.32077430978247012</v>
      </c>
      <c r="I375" s="965">
        <f t="shared" si="25"/>
        <v>0.1320958575823758</v>
      </c>
      <c r="J375" s="965">
        <f t="shared" si="25"/>
        <v>0.22335497970811741</v>
      </c>
      <c r="K375" s="965">
        <f t="shared" si="25"/>
        <v>0.1072587848118904</v>
      </c>
      <c r="L375" s="973">
        <f t="shared" si="25"/>
        <v>0.35291600163912329</v>
      </c>
      <c r="M375" s="990">
        <f>SUM(H375:L375)</f>
        <v>1.1363999335239772</v>
      </c>
    </row>
    <row r="376" spans="2:13" ht="14.5" hidden="1" outlineLevel="1">
      <c r="B376" s="28" t="s">
        <v>676</v>
      </c>
      <c r="C376" s="967">
        <f>SUMPRODUCT(D$359:P$359,'Annexe - Logistique'!$D$12:$P$12)/(SUM(D$359:P$359)/(1+C$366))*'Annexe - Logistique'!D$30*($C317+$D317)/10^6</f>
        <v>8.82399697074694E-3</v>
      </c>
      <c r="D376" s="965">
        <f>(1-$C$369)*SUMPRODUCT($D$359:$P$359,'Annexe - Logistique'!$D$13:$P$13)/(SUM($D$359:$P$359)/(1+$C$366))*'Annexe - Logistique'!$D$28*($C317+$D317)/10^6</f>
        <v>3.633749373338384E-3</v>
      </c>
      <c r="E376" s="965">
        <f>($C$369)*SUMPRODUCT($D$359:$P$359,'Annexe - Logistique'!$D$13:$P$13)/(SUM($D$359:$P$359)/(1+$C$366))*'Annexe - Logistique'!$D$26*($C317+$D317)/10^6</f>
        <v>6.1441443539609125E-3</v>
      </c>
      <c r="F376" s="965">
        <f>'Annexe - Logistique'!$Q$12*'Annexe - Logistique'!D$30*($C317+$D317)/10^6</f>
        <v>2.9505205479452056E-3</v>
      </c>
      <c r="G376" s="971">
        <f>'Annexe - Logistique'!C$42*($C317+$D317)/10^3</f>
        <v>9.7081643835616443E-3</v>
      </c>
      <c r="H376" s="967">
        <f t="shared" si="25"/>
        <v>0.21898027962469288</v>
      </c>
      <c r="I376" s="965">
        <f t="shared" si="25"/>
        <v>9.0176759635983345E-2</v>
      </c>
      <c r="J376" s="965">
        <f t="shared" si="25"/>
        <v>0.15247585115285328</v>
      </c>
      <c r="K376" s="965">
        <f t="shared" si="25"/>
        <v>7.3221445652054795E-2</v>
      </c>
      <c r="L376" s="973">
        <f t="shared" si="25"/>
        <v>0.24092217601643837</v>
      </c>
      <c r="M376" s="990">
        <f t="shared" ref="M376:M381" si="26">SUM(H376:L376)</f>
        <v>0.7757765120820227</v>
      </c>
    </row>
    <row r="377" spans="2:13" ht="14.5" hidden="1" outlineLevel="1">
      <c r="B377" s="28" t="s">
        <v>677</v>
      </c>
      <c r="C377" s="967">
        <f>SUMPRODUCT(D$359:P$359,'Annexe - Logistique'!$D$12:$P$12)/(SUM(D$359:P$359)/(1+C$366))*'Annexe - Logistique'!D$30*($C318+$D318)/10^6</f>
        <v>2.6364516711945854E-2</v>
      </c>
      <c r="D377" s="965">
        <f>(1-$C$369)*SUMPRODUCT($D$359:$P$359,'Annexe - Logistique'!$D$13:$P$13)/(SUM($D$359:$P$359)/(1+$C$366))*'Annexe - Logistique'!$D$28*($C318+$D318)/10^6</f>
        <v>1.0856989910354995E-2</v>
      </c>
      <c r="E377" s="965">
        <f>($C$369)*SUMPRODUCT($D$359:$P$359,'Annexe - Logistique'!$D$13:$P$13)/(SUM($D$359:$P$359)/(1+$C$366))*'Annexe - Logistique'!$D$26*($C318+$D318)/10^6</f>
        <v>1.8357598833910093E-2</v>
      </c>
      <c r="F377" s="965">
        <f>'Annexe - Logistique'!$Q$12*'Annexe - Logistique'!D$30*($C318+$D318)/10^6</f>
        <v>8.8156250000000005E-3</v>
      </c>
      <c r="G377" s="971">
        <f>'Annexe - Logistique'!C$42*($C318+$D318)/10^3</f>
        <v>2.9006250000000001E-2</v>
      </c>
      <c r="H377" s="967">
        <f t="shared" si="25"/>
        <v>0.20624091394703747</v>
      </c>
      <c r="I377" s="965">
        <f t="shared" si="25"/>
        <v>8.4930649262036709E-2</v>
      </c>
      <c r="J377" s="965">
        <f t="shared" si="25"/>
        <v>0.14360543767006345</v>
      </c>
      <c r="K377" s="965">
        <f t="shared" si="25"/>
        <v>6.8961725218749992E-2</v>
      </c>
      <c r="L377" s="973">
        <f t="shared" si="25"/>
        <v>0.2269063216875</v>
      </c>
      <c r="M377" s="990">
        <f t="shared" si="26"/>
        <v>0.73064504778538764</v>
      </c>
    </row>
    <row r="378" spans="2:13" ht="14.5" hidden="1" outlineLevel="1">
      <c r="B378" s="28" t="s">
        <v>678</v>
      </c>
      <c r="C378" s="967">
        <f>SUMPRODUCT(D$359:P$359,'Annexe - Logistique'!$D$12:$P$12)/(SUM(D$359:P$359)/(1+C$366))*'Annexe - Logistique'!D$30*($C319+$D319)/10^6</f>
        <v>7.382064679344838E-2</v>
      </c>
      <c r="D378" s="965">
        <f>(1-$C$369)*SUMPRODUCT($D$359:$P$359,'Annexe - Logistique'!$D$13:$P$13)/(SUM($D$359:$P$359)/(1+$C$366))*'Annexe - Logistique'!$D$28*($C319+$D319)/10^6</f>
        <v>3.0399571748993989E-2</v>
      </c>
      <c r="E378" s="965">
        <f>($C$369)*SUMPRODUCT($D$359:$P$359,'Annexe - Logistique'!$D$13:$P$13)/(SUM($D$359:$P$359)/(1+$C$366))*'Annexe - Logistique'!$D$26*($C319+$D319)/10^6</f>
        <v>5.1401276734948251E-2</v>
      </c>
      <c r="F378" s="965">
        <f>'Annexe - Logistique'!$Q$12*'Annexe - Logistique'!D$30*($C319+$D319)/10^6</f>
        <v>2.4683750000000001E-2</v>
      </c>
      <c r="G378" s="971">
        <f>'Annexe - Logistique'!C$42*($C319+$D319)/10^3</f>
        <v>8.1217499999999998E-2</v>
      </c>
      <c r="H378" s="967">
        <f t="shared" si="25"/>
        <v>1.615438621768601</v>
      </c>
      <c r="I378" s="965">
        <f t="shared" si="25"/>
        <v>0.66524264445904269</v>
      </c>
      <c r="J378" s="965">
        <f t="shared" si="25"/>
        <v>1.1248290451611258</v>
      </c>
      <c r="K378" s="965">
        <f t="shared" si="25"/>
        <v>0.54016165953749995</v>
      </c>
      <c r="L378" s="973">
        <f t="shared" si="25"/>
        <v>1.7773061055749999</v>
      </c>
      <c r="M378" s="990">
        <f t="shared" si="26"/>
        <v>5.7229780765012697</v>
      </c>
    </row>
    <row r="379" spans="2:13" ht="14.5" hidden="1" outlineLevel="1">
      <c r="B379" s="28" t="s">
        <v>910</v>
      </c>
      <c r="C379" s="967">
        <f>SUMPRODUCT(D$359:P$359,'Annexe - Logistique'!$D$12:$P$12)/(SUM(D$359:P$359)/(1+C$366))*'Annexe - Logistique'!D$30*($C320+$D320)/10^6</f>
        <v>2.7813116531283538E-3</v>
      </c>
      <c r="D379" s="965">
        <f>(1-$C$369)*SUMPRODUCT($D$359:$P$359,'Annexe - Logistique'!$D$13:$P$13)/(SUM($D$359:$P$359)/(1+$C$366))*'Annexe - Logistique'!$D$28*($C320+$D320)/10^6</f>
        <v>1.1453527817517359E-3</v>
      </c>
      <c r="E379" s="965">
        <f>($C$369)*SUMPRODUCT($D$359:$P$359,'Annexe - Logistique'!$D$13:$P$13)/(SUM($D$359:$P$359)/(1+$C$366))*'Annexe - Logistique'!$D$26*($C320+$D320)/10^6</f>
        <v>1.9366258110498557E-3</v>
      </c>
      <c r="F379" s="965">
        <f>'Annexe - Logistique'!$Q$12*'Annexe - Logistique'!D$30*($C320+$D320)/10^6</f>
        <v>9.3000000000000005E-4</v>
      </c>
      <c r="G379" s="971">
        <f>'Annexe - Logistique'!C$42*($C320+$D320)/10^3</f>
        <v>3.0600000000000002E-3</v>
      </c>
      <c r="H379" s="967">
        <f t="shared" si="25"/>
        <v>3.3749256085997117E-2</v>
      </c>
      <c r="I379" s="965">
        <f t="shared" si="25"/>
        <v>1.389804853284618E-2</v>
      </c>
      <c r="J379" s="965">
        <f t="shared" si="25"/>
        <v>2.3499588895893209E-2</v>
      </c>
      <c r="K379" s="965">
        <f t="shared" si="25"/>
        <v>1.128489435E-2</v>
      </c>
      <c r="L379" s="973">
        <f t="shared" si="25"/>
        <v>3.7130942700000003E-2</v>
      </c>
      <c r="M379" s="990">
        <f t="shared" si="26"/>
        <v>0.11956273056473651</v>
      </c>
    </row>
    <row r="380" spans="2:13" ht="14.5" hidden="1" outlineLevel="1">
      <c r="B380" s="28" t="s">
        <v>680</v>
      </c>
      <c r="C380" s="967">
        <f>SUMPRODUCT(D$359:P$359,'Annexe - Logistique'!$D$12:$P$12)/(SUM(D$359:P$359)/(1+C$366))*'Annexe - Logistique'!D$30*($C321+$D321)/10^6</f>
        <v>3.8938363143796954E-3</v>
      </c>
      <c r="D380" s="965">
        <f>(1-$C$369)*SUMPRODUCT($D$359:$P$359,'Annexe - Logistique'!$D$13:$P$13)/(SUM($D$359:$P$359)/(1+$C$366))*'Annexe - Logistique'!$D$28*($C321+$D321)/10^6</f>
        <v>1.6034938944524302E-3</v>
      </c>
      <c r="E380" s="965">
        <f>($C$369)*SUMPRODUCT($D$359:$P$359,'Annexe - Logistique'!$D$13:$P$13)/(SUM($D$359:$P$359)/(1+$C$366))*'Annexe - Logistique'!$D$26*($C321+$D321)/10^6</f>
        <v>2.711276135469798E-3</v>
      </c>
      <c r="F380" s="965">
        <f>'Annexe - Logistique'!$Q$12*'Annexe - Logistique'!D$30*($C321+$D321)/10^6</f>
        <v>1.302E-3</v>
      </c>
      <c r="G380" s="971">
        <f>'Annexe - Logistique'!C$42*($C321+$D321)/10^3</f>
        <v>4.2840000000000005E-3</v>
      </c>
      <c r="H380" s="967">
        <f t="shared" si="25"/>
        <v>0.13599379081423663</v>
      </c>
      <c r="I380" s="965">
        <f t="shared" si="25"/>
        <v>5.600266566130891E-2</v>
      </c>
      <c r="J380" s="965">
        <f t="shared" si="25"/>
        <v>9.4692403541736886E-2</v>
      </c>
      <c r="K380" s="965">
        <f t="shared" si="25"/>
        <v>4.5472870799999995E-2</v>
      </c>
      <c r="L380" s="973">
        <f t="shared" si="25"/>
        <v>0.14962041360000003</v>
      </c>
      <c r="M380" s="990">
        <f t="shared" si="26"/>
        <v>0.48178214441728251</v>
      </c>
    </row>
    <row r="381" spans="2:13" ht="15" hidden="1" outlineLevel="1" thickBot="1">
      <c r="B381" s="30" t="s">
        <v>681</v>
      </c>
      <c r="C381" s="968">
        <f>SUMPRODUCT(D$359:P$359,'Annexe - Logistique'!$D$12:$P$12)/(SUM(D$359:P$359)/(1+C$366))*'Annexe - Logistique'!D$30*($C322+$D322)/10^6</f>
        <v>6.6751479675080487E-3</v>
      </c>
      <c r="D381" s="969">
        <f>(1-$C$369)*SUMPRODUCT($D$359:$P$359,'Annexe - Logistique'!$D$13:$P$13)/(SUM($D$359:$P$359)/(1+$C$366))*'Annexe - Logistique'!$D$28*($C322+$D322)/10^6</f>
        <v>2.7488466762041657E-3</v>
      </c>
      <c r="E381" s="969">
        <f>($C$369)*SUMPRODUCT($D$359:$P$359,'Annexe - Logistique'!$D$13:$P$13)/(SUM($D$359:$P$359)/(1+$C$366))*'Annexe - Logistique'!$D$26*($C322+$D322)/10^6</f>
        <v>4.6479019465196546E-3</v>
      </c>
      <c r="F381" s="969">
        <f>'Annexe - Logistique'!$Q$12*'Annexe - Logistique'!D$30*($C322+$D322)/10^6</f>
        <v>2.232E-3</v>
      </c>
      <c r="G381" s="972">
        <f>'Annexe - Logistique'!C$42*($C322+$D322)/10^3</f>
        <v>7.3440000000000007E-3</v>
      </c>
      <c r="H381" s="968">
        <f t="shared" si="25"/>
        <v>0.15252466125281094</v>
      </c>
      <c r="I381" s="969">
        <f t="shared" si="25"/>
        <v>6.2810129477994983E-2</v>
      </c>
      <c r="J381" s="969">
        <f t="shared" si="25"/>
        <v>0.1062028397542539</v>
      </c>
      <c r="K381" s="969">
        <f t="shared" si="25"/>
        <v>5.100037416E-2</v>
      </c>
      <c r="L381" s="974">
        <f t="shared" si="25"/>
        <v>0.16780768272000002</v>
      </c>
      <c r="M381" s="990">
        <f t="shared" si="26"/>
        <v>0.54034568736505983</v>
      </c>
    </row>
    <row r="382" spans="2:13" ht="15" hidden="1" outlineLevel="1" thickBot="1">
      <c r="G382" s="957" t="s">
        <v>83</v>
      </c>
      <c r="H382" s="976">
        <f t="shared" ref="H382:M382" si="27">SUM(H375:H381)</f>
        <v>2.6837018332758462</v>
      </c>
      <c r="I382" s="976">
        <f t="shared" si="27"/>
        <v>1.1051567546115886</v>
      </c>
      <c r="J382" s="976">
        <f t="shared" si="27"/>
        <v>1.8686601458840439</v>
      </c>
      <c r="K382" s="976">
        <f t="shared" si="27"/>
        <v>0.89736175453019507</v>
      </c>
      <c r="L382" s="977">
        <f t="shared" si="27"/>
        <v>2.9526096439380618</v>
      </c>
      <c r="M382" s="975">
        <f t="shared" si="27"/>
        <v>9.5074901322397345</v>
      </c>
    </row>
    <row r="383" spans="2:13" hidden="1" outlineLevel="1"/>
    <row r="384" spans="2:13" collapsed="1">
      <c r="J384" s="978"/>
    </row>
    <row r="385" spans="2:5" ht="18">
      <c r="B385" s="258" t="s">
        <v>553</v>
      </c>
    </row>
    <row r="387" spans="2:5" ht="14.5" hidden="1" outlineLevel="1" thickBot="1">
      <c r="B387" s="1251" t="s">
        <v>951</v>
      </c>
    </row>
    <row r="388" spans="2:5" ht="14.5" hidden="1" outlineLevel="1">
      <c r="B388" s="4"/>
      <c r="C388" s="5" t="s">
        <v>73</v>
      </c>
      <c r="D388" s="5" t="s">
        <v>301</v>
      </c>
      <c r="E388" s="6" t="s">
        <v>70</v>
      </c>
    </row>
    <row r="389" spans="2:5" ht="14.5" hidden="1" outlineLevel="1" thickBot="1">
      <c r="B389" s="565" t="s">
        <v>563</v>
      </c>
      <c r="C389" s="22">
        <v>386</v>
      </c>
      <c r="D389" s="22" t="s">
        <v>561</v>
      </c>
      <c r="E389" s="1326" t="s">
        <v>564</v>
      </c>
    </row>
    <row r="390" spans="2:5" hidden="1" outlineLevel="1"/>
    <row r="391" spans="2:5" hidden="1" outlineLevel="1">
      <c r="B391" s="1251" t="s">
        <v>952</v>
      </c>
    </row>
    <row r="392" spans="2:5" hidden="1" outlineLevel="1"/>
    <row r="393" spans="2:5" ht="14.5" hidden="1" outlineLevel="1" thickBot="1">
      <c r="B393" t="s">
        <v>934</v>
      </c>
    </row>
    <row r="394" spans="2:5" ht="43.5" hidden="1" outlineLevel="1">
      <c r="B394" s="4" t="s">
        <v>269</v>
      </c>
      <c r="C394" s="5" t="s">
        <v>936</v>
      </c>
      <c r="D394" s="5" t="s">
        <v>937</v>
      </c>
      <c r="E394" s="6" t="s">
        <v>938</v>
      </c>
    </row>
    <row r="395" spans="2:5" ht="14.5" hidden="1" outlineLevel="1">
      <c r="B395" s="10" t="s">
        <v>675</v>
      </c>
      <c r="C395" s="136">
        <f t="shared" ref="C395:C401" si="28">C316+D316</f>
        <v>21.106849315068491</v>
      </c>
      <c r="D395" s="606">
        <f t="shared" ref="D395:D401" si="29">C395*C$389*(1+5%)/1000</f>
        <v>8.5546060273972593</v>
      </c>
      <c r="E395" s="847">
        <f t="shared" ref="E395:E401" si="30">D395*D278/10^9</f>
        <v>0.56092884495818296</v>
      </c>
    </row>
    <row r="396" spans="2:5" ht="14.5" hidden="1" outlineLevel="1">
      <c r="B396" s="10" t="s">
        <v>676</v>
      </c>
      <c r="C396" s="136">
        <f t="shared" si="28"/>
        <v>38.07123287671233</v>
      </c>
      <c r="D396" s="606">
        <f t="shared" si="29"/>
        <v>15.430270684931507</v>
      </c>
      <c r="E396" s="847">
        <f t="shared" si="30"/>
        <v>0.38292454093906847</v>
      </c>
    </row>
    <row r="397" spans="2:5" ht="14.5" hidden="1" outlineLevel="1">
      <c r="B397" s="10" t="s">
        <v>677</v>
      </c>
      <c r="C397" s="136">
        <f t="shared" si="28"/>
        <v>113.75</v>
      </c>
      <c r="D397" s="606">
        <f t="shared" si="29"/>
        <v>46.102874999999997</v>
      </c>
      <c r="E397" s="847">
        <f t="shared" si="30"/>
        <v>0.36064757717624996</v>
      </c>
    </row>
    <row r="398" spans="2:5" ht="14.5" hidden="1" outlineLevel="1">
      <c r="B398" s="10" t="s">
        <v>678</v>
      </c>
      <c r="C398" s="136">
        <f t="shared" si="28"/>
        <v>318.5</v>
      </c>
      <c r="D398" s="606">
        <f t="shared" si="29"/>
        <v>129.08805000000001</v>
      </c>
      <c r="E398" s="847">
        <f t="shared" si="30"/>
        <v>2.8248712336845001</v>
      </c>
    </row>
    <row r="399" spans="2:5" ht="14.5" hidden="1" outlineLevel="1">
      <c r="B399" s="10" t="s">
        <v>910</v>
      </c>
      <c r="C399" s="136">
        <f t="shared" si="28"/>
        <v>12</v>
      </c>
      <c r="D399" s="606">
        <f t="shared" si="29"/>
        <v>4.8635999999999999</v>
      </c>
      <c r="E399" s="847">
        <f t="shared" si="30"/>
        <v>5.9016357162000002E-2</v>
      </c>
    </row>
    <row r="400" spans="2:5" ht="14.5" hidden="1" outlineLevel="1">
      <c r="B400" s="10" t="s">
        <v>680</v>
      </c>
      <c r="C400" s="136">
        <f t="shared" si="28"/>
        <v>16.8</v>
      </c>
      <c r="D400" s="606">
        <f t="shared" si="29"/>
        <v>6.8090400000000013</v>
      </c>
      <c r="E400" s="847">
        <f t="shared" si="30"/>
        <v>0.23780844561600006</v>
      </c>
    </row>
    <row r="401" spans="2:5" ht="15" hidden="1" outlineLevel="1" thickBot="1">
      <c r="B401" s="13" t="s">
        <v>681</v>
      </c>
      <c r="C401" s="37">
        <f t="shared" si="28"/>
        <v>28.8</v>
      </c>
      <c r="D401" s="719">
        <f t="shared" si="29"/>
        <v>11.672640000000001</v>
      </c>
      <c r="E401" s="854">
        <f t="shared" si="30"/>
        <v>0.26671550512320003</v>
      </c>
    </row>
    <row r="402" spans="2:5" ht="15" hidden="1" outlineLevel="1" thickBot="1">
      <c r="D402" s="957" t="s">
        <v>83</v>
      </c>
      <c r="E402" s="215">
        <f>SUM(E395:E401)</f>
        <v>4.6929125046592022</v>
      </c>
    </row>
    <row r="403" spans="2:5" hidden="1" outlineLevel="1"/>
    <row r="404" spans="2:5" collapsed="1"/>
  </sheetData>
  <mergeCells count="11">
    <mergeCell ref="A1:XFD2"/>
    <mergeCell ref="C373:G373"/>
    <mergeCell ref="H373:L373"/>
    <mergeCell ref="B251:B252"/>
    <mergeCell ref="B253:B254"/>
    <mergeCell ref="B255:B257"/>
    <mergeCell ref="B258:B260"/>
    <mergeCell ref="F251:F252"/>
    <mergeCell ref="F253:F254"/>
    <mergeCell ref="F255:F257"/>
    <mergeCell ref="F258:F260"/>
  </mergeCells>
  <conditionalFormatting sqref="A1:XFD2">
    <cfRule type="containsBlanks" dxfId="19" priority="1">
      <formula>LEN(TRIM(A1))=0</formula>
    </cfRule>
  </conditionalFormatting>
  <conditionalFormatting sqref="E359:P359">
    <cfRule type="colorScale" priority="2">
      <colorScale>
        <cfvo type="min"/>
        <cfvo type="percentile" val="50"/>
        <cfvo type="max"/>
        <color rgb="FFFCFCFF"/>
        <color rgb="FFDDF0C8"/>
        <color rgb="FF63BE7B"/>
      </colorScale>
    </cfRule>
  </conditionalFormatting>
  <hyperlinks>
    <hyperlink ref="B249" r:id="rId1" display="https://act-green.bbraun.cloud/customer/calc" xr:uid="{E633822A-8210-456B-8171-8CDB29E9FAD0}"/>
    <hyperlink ref="C264" r:id="rId2" display="https://www.ubuy.fr/en/product/7H0JAI-conveen-5170-contoured-leg-bag-1-each?srsltid=AfmBOoriKnLZiP78BPLP6MrbCwGoMNgMY7BLcSTtoi-QVZAganT0bH5K&amp;ref=hm-google-redirect" xr:uid="{1E0792A7-2C72-43EC-8224-C80C3C23A229}"/>
    <hyperlink ref="C272" r:id="rId3" display="https://www.incontinence-homme.fr/fuites-urinaires/etui-penien-conveen-optima-vs-stop-uri/" xr:uid="{DA8D3FCB-A9B5-4611-B8B5-1BE8199F2BE0}"/>
    <hyperlink ref="C292" r:id="rId4" display="https://pro.coloplast.fr/Global/France_HCP/CD/Page locale Conveen/Protocole de soins Conveen.pdf" xr:uid="{7A0E4843-3E03-4794-B33E-C627D9F5B49F}"/>
    <hyperlink ref="C290" r:id="rId5" display="https://www.fournisseur-medical.com/downloadable/download/attachment/id/3025914/" xr:uid="{E4626AB8-74BF-49CD-9167-6E85F62F53F6}"/>
    <hyperlink ref="C291" r:id="rId6" display="https://www.fournisseur-medical.com/downloadable/download/attachment/id/3025914/" xr:uid="{8D2D30DF-B18A-49A7-B820-64C5EFC29B21}"/>
    <hyperlink ref="C288" r:id="rId7" display="https://docs.exhausmed.com/docs/coloplast/catalogue/cat_speedicath_coloplast_2014.pdf" xr:uid="{7FEAFB0A-CF8A-4CA0-A7F4-392783721BC8}"/>
    <hyperlink ref="C289" r:id="rId8" display="https://docs.exhausmed.com/docs/coloplast/catalogue/cat_speedicath_coloplast_2014.pdf" xr:uid="{0F4C5621-AB4E-444B-A177-BCE1312BEDC5}"/>
  </hyperlinks>
  <pageMargins left="0.7" right="0.7" top="0.75" bottom="0.75" header="0.3" footer="0.3"/>
  <pageSetup paperSize="9" orientation="portrait" r:id="rId9"/>
  <drawing r:id="rId1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272109-BA8B-482A-8BF3-3698A5A8D5A4}">
  <sheetPr>
    <tabColor theme="9"/>
  </sheetPr>
  <dimension ref="A1:AA270"/>
  <sheetViews>
    <sheetView zoomScale="60" zoomScaleNormal="60" workbookViewId="0">
      <selection sqref="A1:XFD2"/>
    </sheetView>
  </sheetViews>
  <sheetFormatPr baseColWidth="10" defaultColWidth="11" defaultRowHeight="14" outlineLevelRow="1"/>
  <cols>
    <col min="2" max="2" width="64" customWidth="1"/>
    <col min="3" max="3" width="27.83203125" customWidth="1"/>
    <col min="4" max="4" width="25.5" customWidth="1"/>
    <col min="5" max="5" width="20.5" customWidth="1"/>
    <col min="6" max="6" width="14.33203125" customWidth="1"/>
    <col min="7" max="7" width="16.33203125" customWidth="1"/>
    <col min="8" max="8" width="15.33203125" customWidth="1"/>
    <col min="9" max="9" width="20.83203125" customWidth="1"/>
    <col min="10" max="10" width="18.33203125" customWidth="1"/>
    <col min="11" max="11" width="11.5" customWidth="1"/>
    <col min="12" max="12" width="11.83203125" customWidth="1"/>
  </cols>
  <sheetData>
    <row r="1" spans="1:15" s="1505" customFormat="1">
      <c r="A1" s="1505" t="s">
        <v>953</v>
      </c>
    </row>
    <row r="2" spans="1:15" s="1505" customFormat="1"/>
    <row r="5" spans="1:15">
      <c r="B5" s="1251" t="s">
        <v>27</v>
      </c>
    </row>
    <row r="6" spans="1:15">
      <c r="B6" s="1251"/>
    </row>
    <row r="8" spans="1:15" ht="23.5">
      <c r="B8" s="2" t="s">
        <v>180</v>
      </c>
    </row>
    <row r="10" spans="1:15" ht="14.5" hidden="1" outlineLevel="1" thickBot="1">
      <c r="B10" s="1251" t="s">
        <v>954</v>
      </c>
    </row>
    <row r="11" spans="1:15" ht="28" hidden="1" customHeight="1" outlineLevel="1">
      <c r="B11" s="1564" t="s">
        <v>955</v>
      </c>
      <c r="C11" s="1562" t="s">
        <v>956</v>
      </c>
      <c r="D11" s="1566" t="s">
        <v>957</v>
      </c>
      <c r="E11" s="1567"/>
      <c r="F11" s="1567"/>
      <c r="G11" s="1567"/>
      <c r="H11" s="1567"/>
      <c r="I11" s="1568"/>
      <c r="J11" s="1578" t="s">
        <v>363</v>
      </c>
      <c r="K11" s="1579"/>
      <c r="L11" s="1579"/>
      <c r="M11" s="1579"/>
      <c r="N11" s="1579"/>
      <c r="O11" s="1580"/>
    </row>
    <row r="12" spans="1:15" s="1" customFormat="1" hidden="1" outlineLevel="1">
      <c r="B12" s="1565"/>
      <c r="C12" s="1563"/>
      <c r="D12" s="626" t="s">
        <v>84</v>
      </c>
      <c r="E12" s="610" t="s">
        <v>187</v>
      </c>
      <c r="F12" s="610" t="s">
        <v>86</v>
      </c>
      <c r="G12" s="610" t="s">
        <v>88</v>
      </c>
      <c r="H12" s="625" t="s">
        <v>89</v>
      </c>
      <c r="I12" s="625" t="s">
        <v>83</v>
      </c>
      <c r="J12" s="626" t="s">
        <v>84</v>
      </c>
      <c r="K12" s="610" t="s">
        <v>187</v>
      </c>
      <c r="L12" s="610" t="s">
        <v>86</v>
      </c>
      <c r="M12" s="610" t="s">
        <v>88</v>
      </c>
      <c r="N12" s="625" t="s">
        <v>89</v>
      </c>
      <c r="O12" s="625" t="s">
        <v>83</v>
      </c>
    </row>
    <row r="13" spans="1:15" hidden="1" outlineLevel="1">
      <c r="B13" s="562" t="s">
        <v>958</v>
      </c>
      <c r="C13" s="627">
        <f>D49+D53</f>
        <v>775.33610282319796</v>
      </c>
      <c r="D13" s="443">
        <f>C88</f>
        <v>0.1669104549856876</v>
      </c>
      <c r="E13" s="624">
        <f>C174</f>
        <v>2.1500100000000001E-2</v>
      </c>
      <c r="F13" s="624">
        <f>E196</f>
        <v>1.275967666547214E-2</v>
      </c>
      <c r="G13" s="624">
        <f>G233</f>
        <v>2.6454948165590877E-2</v>
      </c>
      <c r="H13" s="228">
        <f>C251</f>
        <v>4.4680272E-2</v>
      </c>
      <c r="I13" s="132">
        <f>SUM(D13:H13)</f>
        <v>0.27230545181675064</v>
      </c>
      <c r="J13" s="213">
        <f t="shared" ref="J13:N17" si="0">D13*$C13</f>
        <v>129.41170168904983</v>
      </c>
      <c r="K13" s="180">
        <f>E13*$C13</f>
        <v>16.669803744309039</v>
      </c>
      <c r="L13" s="180">
        <f t="shared" si="0"/>
        <v>9.8930379790912664</v>
      </c>
      <c r="M13" s="180">
        <f t="shared" si="0"/>
        <v>20.51147641109894</v>
      </c>
      <c r="N13" s="131">
        <f t="shared" si="0"/>
        <v>34.642227965560451</v>
      </c>
      <c r="O13" s="635">
        <f>SUM(J13:N13)</f>
        <v>211.12824778910954</v>
      </c>
    </row>
    <row r="14" spans="1:15" hidden="1" outlineLevel="1">
      <c r="B14" s="562" t="s">
        <v>959</v>
      </c>
      <c r="C14" s="627">
        <f>D50</f>
        <v>422.91060153992612</v>
      </c>
      <c r="D14" s="443">
        <f>C89</f>
        <v>0.1484786940671374</v>
      </c>
      <c r="E14" s="624">
        <f>C175</f>
        <v>1.3098499999999999E-2</v>
      </c>
      <c r="F14" s="624">
        <f>E197</f>
        <v>7.2445050664768562E-3</v>
      </c>
      <c r="G14" s="624">
        <f>G234</f>
        <v>1.5020208665445371E-2</v>
      </c>
      <c r="H14" s="228">
        <f>C252</f>
        <v>2.5367919999999999E-2</v>
      </c>
      <c r="I14" s="132">
        <f>SUM(D14:H14)</f>
        <v>0.20920982779905961</v>
      </c>
      <c r="J14" s="213">
        <f t="shared" si="0"/>
        <v>62.793213823795739</v>
      </c>
      <c r="K14" s="180">
        <f t="shared" si="0"/>
        <v>5.5394945142707215</v>
      </c>
      <c r="L14" s="180">
        <f t="shared" si="0"/>
        <v>3.0637779955227695</v>
      </c>
      <c r="M14" s="180">
        <f t="shared" si="0"/>
        <v>6.3522054819587126</v>
      </c>
      <c r="N14" s="131">
        <f t="shared" si="0"/>
        <v>10.728362307016722</v>
      </c>
      <c r="O14" s="635">
        <f>SUM(J14:N14)</f>
        <v>88.477054122564667</v>
      </c>
    </row>
    <row r="15" spans="1:15" hidden="1" outlineLevel="1">
      <c r="B15" s="562" t="s">
        <v>960</v>
      </c>
      <c r="C15" s="627">
        <f>D51</f>
        <v>281.94040102661739</v>
      </c>
      <c r="D15" s="443">
        <f>C90</f>
        <v>0.11278782192575001</v>
      </c>
      <c r="E15" s="624">
        <f>C176</f>
        <v>1.1941499999999999E-2</v>
      </c>
      <c r="F15" s="624">
        <f>E198</f>
        <v>6.4850005030558959E-3</v>
      </c>
      <c r="G15" s="624">
        <f>G235</f>
        <v>1.3445509369874485E-2</v>
      </c>
      <c r="H15" s="228">
        <f>C253</f>
        <v>2.270838E-2</v>
      </c>
      <c r="I15" s="132">
        <f>SUM(D15:H15)</f>
        <v>0.16736821179868039</v>
      </c>
      <c r="J15" s="213">
        <f t="shared" si="0"/>
        <v>31.799443744664668</v>
      </c>
      <c r="K15" s="180">
        <f t="shared" si="0"/>
        <v>3.3667912988593511</v>
      </c>
      <c r="L15" s="180">
        <f t="shared" si="0"/>
        <v>1.8283836424893949</v>
      </c>
      <c r="M15" s="180">
        <f t="shared" si="0"/>
        <v>3.7908323037495539</v>
      </c>
      <c r="N15" s="131">
        <f t="shared" si="0"/>
        <v>6.4024097638648181</v>
      </c>
      <c r="O15" s="635">
        <f>SUM(J15:N15)</f>
        <v>47.187860753627781</v>
      </c>
    </row>
    <row r="16" spans="1:15" hidden="1" outlineLevel="1">
      <c r="B16" s="562" t="s">
        <v>961</v>
      </c>
      <c r="C16" s="627">
        <f>D52</f>
        <v>246.69785089829023</v>
      </c>
      <c r="D16" s="443">
        <f>C91</f>
        <v>0.11278782192575001</v>
      </c>
      <c r="E16" s="624">
        <f>C177</f>
        <v>1.1941499999999999E-2</v>
      </c>
      <c r="F16" s="624">
        <f>E199</f>
        <v>6.4850005030558959E-3</v>
      </c>
      <c r="G16" s="624">
        <f>G236</f>
        <v>1.3445509369874485E-2</v>
      </c>
      <c r="H16" s="228">
        <f>C254</f>
        <v>2.270838E-2</v>
      </c>
      <c r="I16" s="132">
        <f>SUM(D16:H16)</f>
        <v>0.16736821179868039</v>
      </c>
      <c r="J16" s="213">
        <f t="shared" si="0"/>
        <v>27.824513276581587</v>
      </c>
      <c r="K16" s="180">
        <f t="shared" si="0"/>
        <v>2.9459423865019323</v>
      </c>
      <c r="L16" s="180">
        <f t="shared" si="0"/>
        <v>1.5998356871782204</v>
      </c>
      <c r="M16" s="180">
        <f t="shared" si="0"/>
        <v>3.3169782657808597</v>
      </c>
      <c r="N16" s="131">
        <f t="shared" si="0"/>
        <v>5.6021085433817159</v>
      </c>
      <c r="O16" s="635">
        <f>SUM(J16:N16)</f>
        <v>41.289378159424317</v>
      </c>
    </row>
    <row r="17" spans="2:15" ht="14.5" hidden="1" outlineLevel="1" thickBot="1">
      <c r="B17" s="565" t="s">
        <v>962</v>
      </c>
      <c r="C17" s="628">
        <f>D54</f>
        <v>35.242550128327174</v>
      </c>
      <c r="D17" s="451">
        <f>C92</f>
        <v>8.0590722328576794E-2</v>
      </c>
      <c r="E17" s="432">
        <f>C178</f>
        <v>1.09625E-2</v>
      </c>
      <c r="F17" s="432">
        <f>E200</f>
        <v>5.8423427955458527E-3</v>
      </c>
      <c r="G17" s="432">
        <f>G237</f>
        <v>1.2113071504391429E-2</v>
      </c>
      <c r="H17" s="230">
        <f>C255</f>
        <v>2.0458E-2</v>
      </c>
      <c r="I17" s="209">
        <f>SUM(D17:H17)</f>
        <v>0.12996663662851407</v>
      </c>
      <c r="J17" s="629">
        <f t="shared" si="0"/>
        <v>2.8402225715429639</v>
      </c>
      <c r="K17" s="383">
        <f t="shared" si="0"/>
        <v>0.38634645578178667</v>
      </c>
      <c r="L17" s="383">
        <f t="shared" si="0"/>
        <v>0.20589905883889584</v>
      </c>
      <c r="M17" s="383">
        <f t="shared" si="0"/>
        <v>0.42689552970152639</v>
      </c>
      <c r="N17" s="184">
        <f t="shared" si="0"/>
        <v>0.72099209052531732</v>
      </c>
      <c r="O17" s="636">
        <f>SUM(J17:N17)</f>
        <v>4.5803557063904901</v>
      </c>
    </row>
    <row r="18" spans="2:15" ht="14.5" hidden="1" outlineLevel="1" thickBot="1">
      <c r="C18" s="23"/>
      <c r="D18" s="630"/>
      <c r="E18" s="630"/>
      <c r="F18" s="630"/>
      <c r="G18" s="630"/>
      <c r="H18" s="630"/>
      <c r="I18" s="631" t="s">
        <v>963</v>
      </c>
      <c r="J18" s="632">
        <f t="shared" ref="J18:O18" si="1">SUM(J13:J17)</f>
        <v>254.6690951056348</v>
      </c>
      <c r="K18" s="633">
        <f t="shared" si="1"/>
        <v>28.908378399722832</v>
      </c>
      <c r="L18" s="633">
        <f t="shared" si="1"/>
        <v>16.590934363120546</v>
      </c>
      <c r="M18" s="633">
        <f>SUM(M13:M17)</f>
        <v>34.398387992289592</v>
      </c>
      <c r="N18" s="633">
        <f>SUM(N13:N17)</f>
        <v>58.096100670349024</v>
      </c>
      <c r="O18" s="634">
        <f t="shared" si="1"/>
        <v>392.66289653111676</v>
      </c>
    </row>
    <row r="19" spans="2:15" hidden="1" outlineLevel="1">
      <c r="F19" s="579"/>
    </row>
    <row r="20" spans="2:15" hidden="1" outlineLevel="1">
      <c r="F20" s="579"/>
    </row>
    <row r="21" spans="2:15" hidden="1" outlineLevel="1">
      <c r="F21" s="579"/>
    </row>
    <row r="22" spans="2:15" hidden="1" outlineLevel="1">
      <c r="F22" s="579"/>
    </row>
    <row r="23" spans="2:15" hidden="1" outlineLevel="1">
      <c r="F23" s="579"/>
    </row>
    <row r="24" spans="2:15" hidden="1" outlineLevel="1">
      <c r="F24" s="579"/>
    </row>
    <row r="25" spans="2:15" hidden="1" outlineLevel="1">
      <c r="F25" s="579"/>
    </row>
    <row r="26" spans="2:15" hidden="1" outlineLevel="1">
      <c r="F26" s="579"/>
    </row>
    <row r="27" spans="2:15" hidden="1" outlineLevel="1">
      <c r="F27" s="579"/>
    </row>
    <row r="28" spans="2:15" hidden="1" outlineLevel="1">
      <c r="F28" s="579"/>
    </row>
    <row r="29" spans="2:15" hidden="1" outlineLevel="1">
      <c r="F29" s="579"/>
    </row>
    <row r="30" spans="2:15" hidden="1" outlineLevel="1">
      <c r="F30" s="579"/>
    </row>
    <row r="31" spans="2:15" hidden="1" outlineLevel="1">
      <c r="F31" s="579"/>
    </row>
    <row r="32" spans="2:15" hidden="1" outlineLevel="1">
      <c r="F32" s="579"/>
    </row>
    <row r="33" spans="2:7" hidden="1" outlineLevel="1">
      <c r="F33" s="579"/>
    </row>
    <row r="34" spans="2:7" hidden="1" outlineLevel="1">
      <c r="F34" s="579"/>
    </row>
    <row r="35" spans="2:7" hidden="1" outlineLevel="1">
      <c r="F35" s="579"/>
    </row>
    <row r="36" spans="2:7" hidden="1" outlineLevel="1">
      <c r="F36" s="579"/>
    </row>
    <row r="37" spans="2:7" collapsed="1"/>
    <row r="38" spans="2:7" ht="23.5">
      <c r="B38" s="2" t="s">
        <v>370</v>
      </c>
    </row>
    <row r="40" spans="2:7" hidden="1" outlineLevel="1">
      <c r="B40" s="1251" t="s">
        <v>964</v>
      </c>
    </row>
    <row r="41" spans="2:7" ht="14.5" hidden="1" outlineLevel="1" thickBot="1">
      <c r="B41" s="87" t="s">
        <v>965</v>
      </c>
      <c r="C41" s="87" t="s">
        <v>966</v>
      </c>
    </row>
    <row r="42" spans="2:7" ht="28" hidden="1" outlineLevel="1">
      <c r="B42" s="456" t="s">
        <v>151</v>
      </c>
      <c r="C42" s="404" t="s">
        <v>967</v>
      </c>
      <c r="D42" s="405" t="s">
        <v>968</v>
      </c>
    </row>
    <row r="43" spans="2:7" hidden="1" outlineLevel="1">
      <c r="B43" s="562" t="s">
        <v>969</v>
      </c>
      <c r="C43" s="563">
        <v>16945359</v>
      </c>
      <c r="D43" s="600">
        <v>1.6</v>
      </c>
    </row>
    <row r="44" spans="2:7" ht="14.5" hidden="1" outlineLevel="1" thickBot="1">
      <c r="B44" s="565" t="s">
        <v>970</v>
      </c>
      <c r="C44" s="601">
        <v>18662427</v>
      </c>
      <c r="D44" s="602">
        <f>D43*C44/C43</f>
        <v>1.7621275064163588</v>
      </c>
    </row>
    <row r="45" spans="2:7" hidden="1" outlineLevel="1">
      <c r="E45" s="76"/>
      <c r="F45" s="76"/>
      <c r="G45" s="76"/>
    </row>
    <row r="46" spans="2:7" hidden="1" outlineLevel="1">
      <c r="B46" s="1251" t="s">
        <v>971</v>
      </c>
      <c r="E46" s="76"/>
      <c r="F46" s="76"/>
      <c r="G46" s="76"/>
    </row>
    <row r="47" spans="2:7" ht="14.5" hidden="1" outlineLevel="1" thickBot="1">
      <c r="B47" s="87" t="s">
        <v>965</v>
      </c>
      <c r="E47" s="76"/>
      <c r="F47" s="76"/>
      <c r="G47" s="76"/>
    </row>
    <row r="48" spans="2:7" ht="28" hidden="1" outlineLevel="1">
      <c r="B48" s="456" t="s">
        <v>151</v>
      </c>
      <c r="C48" s="404" t="s">
        <v>972</v>
      </c>
      <c r="D48" s="405" t="s">
        <v>956</v>
      </c>
      <c r="E48" s="76"/>
      <c r="F48" s="76"/>
      <c r="G48" s="76"/>
    </row>
    <row r="49" spans="2:15" hidden="1" outlineLevel="1">
      <c r="B49" s="562" t="s">
        <v>973</v>
      </c>
      <c r="C49" s="582">
        <v>0.35</v>
      </c>
      <c r="D49" s="12">
        <f>1000*C49*D$44</f>
        <v>616.74462724572561</v>
      </c>
      <c r="E49" s="76"/>
      <c r="F49" s="76"/>
      <c r="G49" s="76"/>
    </row>
    <row r="50" spans="2:15" hidden="1" outlineLevel="1">
      <c r="B50" s="562" t="s">
        <v>959</v>
      </c>
      <c r="C50" s="582">
        <v>0.24</v>
      </c>
      <c r="D50" s="12">
        <f t="shared" ref="D50:D55" si="2">1000*C50*D$44</f>
        <v>422.91060153992612</v>
      </c>
      <c r="E50" s="76"/>
      <c r="F50" s="76"/>
      <c r="G50" s="76"/>
    </row>
    <row r="51" spans="2:15" hidden="1" outlineLevel="1">
      <c r="B51" s="562" t="s">
        <v>960</v>
      </c>
      <c r="C51" s="229">
        <v>0.16</v>
      </c>
      <c r="D51" s="12">
        <f t="shared" si="2"/>
        <v>281.94040102661739</v>
      </c>
      <c r="E51" s="76"/>
      <c r="F51" s="76"/>
      <c r="G51" s="76"/>
    </row>
    <row r="52" spans="2:15" hidden="1" outlineLevel="1">
      <c r="B52" s="562" t="s">
        <v>961</v>
      </c>
      <c r="C52" s="229">
        <v>0.14000000000000001</v>
      </c>
      <c r="D52" s="12">
        <f t="shared" si="2"/>
        <v>246.69785089829023</v>
      </c>
      <c r="F52" s="76"/>
      <c r="G52" s="76"/>
    </row>
    <row r="53" spans="2:15" hidden="1" outlineLevel="1">
      <c r="B53" s="562" t="s">
        <v>974</v>
      </c>
      <c r="C53" s="151">
        <v>0.09</v>
      </c>
      <c r="D53" s="12">
        <f t="shared" si="2"/>
        <v>158.59147557747229</v>
      </c>
      <c r="F53" s="76"/>
      <c r="G53" s="76"/>
    </row>
    <row r="54" spans="2:15" hidden="1" outlineLevel="1">
      <c r="B54" s="562" t="s">
        <v>962</v>
      </c>
      <c r="C54" s="151">
        <v>0.02</v>
      </c>
      <c r="D54" s="12">
        <f t="shared" si="2"/>
        <v>35.242550128327174</v>
      </c>
      <c r="F54" s="76"/>
      <c r="G54" s="76"/>
    </row>
    <row r="55" spans="2:15" ht="14.5" hidden="1" outlineLevel="1" thickBot="1">
      <c r="B55" s="565" t="s">
        <v>83</v>
      </c>
      <c r="C55" s="304">
        <f>SUM(C49:C54)</f>
        <v>1</v>
      </c>
      <c r="D55" s="15">
        <f t="shared" si="2"/>
        <v>1762.1275064163588</v>
      </c>
    </row>
    <row r="56" spans="2:15" hidden="1" outlineLevel="1">
      <c r="F56" s="579"/>
    </row>
    <row r="57" spans="2:15" collapsed="1">
      <c r="D57" s="23"/>
    </row>
    <row r="58" spans="2:15" ht="23.5">
      <c r="B58" s="2" t="s">
        <v>406</v>
      </c>
      <c r="O58" s="1"/>
    </row>
    <row r="60" spans="2:15">
      <c r="B60" s="1251" t="s">
        <v>407</v>
      </c>
    </row>
    <row r="62" spans="2:15" ht="20">
      <c r="B62" s="216" t="s">
        <v>975</v>
      </c>
    </row>
    <row r="64" spans="2:15" ht="14.5" hidden="1" outlineLevel="1" thickBot="1">
      <c r="B64" s="1251" t="s">
        <v>976</v>
      </c>
    </row>
    <row r="65" spans="2:13" ht="28" hidden="1" outlineLevel="1">
      <c r="B65" s="456" t="s">
        <v>977</v>
      </c>
      <c r="C65" s="404" t="s">
        <v>978</v>
      </c>
      <c r="D65" s="404" t="s">
        <v>979</v>
      </c>
      <c r="E65" s="592" t="s">
        <v>980</v>
      </c>
      <c r="F65" s="592" t="s">
        <v>981</v>
      </c>
      <c r="G65" s="592" t="s">
        <v>982</v>
      </c>
      <c r="H65" s="404" t="s">
        <v>983</v>
      </c>
      <c r="I65" s="592" t="s">
        <v>86</v>
      </c>
      <c r="J65" s="590" t="s">
        <v>70</v>
      </c>
    </row>
    <row r="66" spans="2:13" hidden="1" outlineLevel="1">
      <c r="B66" s="562" t="s">
        <v>984</v>
      </c>
      <c r="C66" s="168" t="s">
        <v>959</v>
      </c>
      <c r="D66" s="168">
        <v>109.2</v>
      </c>
      <c r="E66" s="115">
        <v>0.65</v>
      </c>
      <c r="F66" s="115">
        <v>0.18</v>
      </c>
      <c r="G66" s="115">
        <v>0.17</v>
      </c>
      <c r="H66" s="168"/>
      <c r="I66" s="168"/>
      <c r="J66" s="603" t="s">
        <v>985</v>
      </c>
    </row>
    <row r="67" spans="2:13" hidden="1" outlineLevel="1">
      <c r="B67" s="562" t="s">
        <v>986</v>
      </c>
      <c r="C67" s="168" t="s">
        <v>959</v>
      </c>
      <c r="D67" s="168">
        <v>119</v>
      </c>
      <c r="E67" s="115">
        <v>0.63500000000000001</v>
      </c>
      <c r="F67" s="115">
        <v>0.18</v>
      </c>
      <c r="G67" s="115">
        <v>0.185</v>
      </c>
      <c r="H67" s="168" t="s">
        <v>987</v>
      </c>
      <c r="I67" s="168" t="s">
        <v>988</v>
      </c>
      <c r="J67" s="603" t="s">
        <v>989</v>
      </c>
    </row>
    <row r="68" spans="2:13" hidden="1" outlineLevel="1">
      <c r="B68" s="562" t="s">
        <v>990</v>
      </c>
      <c r="C68" s="168" t="s">
        <v>959</v>
      </c>
      <c r="D68" s="168">
        <v>114</v>
      </c>
      <c r="E68" s="115">
        <v>0.48</v>
      </c>
      <c r="F68" s="115">
        <v>0.245</v>
      </c>
      <c r="G68" s="115">
        <v>0.27500000000000002</v>
      </c>
      <c r="H68" s="168" t="s">
        <v>987</v>
      </c>
      <c r="I68" s="168" t="s">
        <v>988</v>
      </c>
      <c r="J68" s="603" t="s">
        <v>989</v>
      </c>
    </row>
    <row r="69" spans="2:13" hidden="1" outlineLevel="1">
      <c r="B69" s="562" t="s">
        <v>991</v>
      </c>
      <c r="C69" s="168" t="s">
        <v>960</v>
      </c>
      <c r="D69" s="168">
        <v>62</v>
      </c>
      <c r="E69" s="115">
        <v>0.41</v>
      </c>
      <c r="F69" s="115">
        <v>0.26</v>
      </c>
      <c r="G69" s="115">
        <v>0.33</v>
      </c>
      <c r="H69" s="168" t="s">
        <v>987</v>
      </c>
      <c r="I69" s="168" t="s">
        <v>988</v>
      </c>
      <c r="J69" s="603" t="s">
        <v>989</v>
      </c>
    </row>
    <row r="70" spans="2:13" hidden="1" outlineLevel="1">
      <c r="B70" s="562" t="s">
        <v>992</v>
      </c>
      <c r="C70" s="1298" t="s">
        <v>993</v>
      </c>
      <c r="D70" s="168">
        <v>31</v>
      </c>
      <c r="E70" s="115">
        <v>0.59499999999999997</v>
      </c>
      <c r="F70" s="115">
        <v>0.3</v>
      </c>
      <c r="G70" s="115">
        <v>0.105</v>
      </c>
      <c r="H70" s="168" t="s">
        <v>987</v>
      </c>
      <c r="I70" s="168" t="s">
        <v>988</v>
      </c>
      <c r="J70" s="603" t="s">
        <v>989</v>
      </c>
    </row>
    <row r="71" spans="2:13" hidden="1" outlineLevel="1">
      <c r="B71" s="562" t="s">
        <v>994</v>
      </c>
      <c r="C71" s="1298" t="s">
        <v>993</v>
      </c>
      <c r="D71" s="168">
        <v>80</v>
      </c>
      <c r="E71" s="115">
        <v>0.64</v>
      </c>
      <c r="F71" s="115">
        <v>0.21</v>
      </c>
      <c r="G71" s="115">
        <v>0.15</v>
      </c>
      <c r="H71" s="168" t="s">
        <v>987</v>
      </c>
      <c r="I71" s="168" t="s">
        <v>988</v>
      </c>
      <c r="J71" s="603" t="s">
        <v>989</v>
      </c>
    </row>
    <row r="72" spans="2:13" ht="14.5" hidden="1" outlineLevel="1" thickBot="1">
      <c r="B72" s="565" t="s">
        <v>995</v>
      </c>
      <c r="C72" s="1327" t="s">
        <v>961</v>
      </c>
      <c r="D72" s="170">
        <v>50</v>
      </c>
      <c r="E72" s="157">
        <v>0.69499999999999995</v>
      </c>
      <c r="F72" s="157">
        <v>0.03</v>
      </c>
      <c r="G72" s="157">
        <v>0.27500000000000002</v>
      </c>
      <c r="H72" s="170" t="s">
        <v>987</v>
      </c>
      <c r="I72" s="170" t="s">
        <v>988</v>
      </c>
      <c r="J72" s="225" t="s">
        <v>989</v>
      </c>
    </row>
    <row r="73" spans="2:13" hidden="1" outlineLevel="1"/>
    <row r="74" spans="2:13" hidden="1" outlineLevel="1">
      <c r="B74" s="1251" t="s">
        <v>996</v>
      </c>
      <c r="E74" s="87" t="s">
        <v>997</v>
      </c>
      <c r="F74" s="87"/>
    </row>
    <row r="75" spans="2:13" ht="15" hidden="1" customHeight="1" outlineLevel="1">
      <c r="B75" s="1251" t="s">
        <v>998</v>
      </c>
    </row>
    <row r="76" spans="2:13" ht="15" hidden="1" customHeight="1" outlineLevel="1" thickBot="1">
      <c r="B76" s="87" t="s">
        <v>985</v>
      </c>
    </row>
    <row r="77" spans="2:13" ht="50.5" hidden="1" customHeight="1" outlineLevel="1">
      <c r="B77" s="123" t="s">
        <v>999</v>
      </c>
      <c r="C77" s="5" t="s">
        <v>1000</v>
      </c>
      <c r="D77" s="5" t="s">
        <v>1001</v>
      </c>
      <c r="E77" s="6" t="s">
        <v>1002</v>
      </c>
    </row>
    <row r="78" spans="2:13" ht="15" hidden="1" customHeight="1" outlineLevel="1" thickBot="1">
      <c r="B78" s="10" t="s">
        <v>1003</v>
      </c>
      <c r="C78" s="1298" t="s">
        <v>1004</v>
      </c>
      <c r="D78" s="1318">
        <v>0.65</v>
      </c>
      <c r="E78" s="1328">
        <v>0.36574939837366399</v>
      </c>
      <c r="G78" s="148"/>
      <c r="H78" s="43" t="s">
        <v>1005</v>
      </c>
      <c r="I78" s="148"/>
      <c r="J78" s="148"/>
    </row>
    <row r="79" spans="2:13" ht="15" hidden="1" customHeight="1" outlineLevel="1">
      <c r="B79" s="1572" t="s">
        <v>1006</v>
      </c>
      <c r="C79" s="1298" t="s">
        <v>1007</v>
      </c>
      <c r="D79" s="229">
        <v>0.14000000000000001</v>
      </c>
      <c r="E79" s="1574">
        <v>2.6696478582810768</v>
      </c>
      <c r="G79" s="148"/>
      <c r="H79" s="123" t="s">
        <v>894</v>
      </c>
      <c r="I79" s="5" t="s">
        <v>579</v>
      </c>
      <c r="J79" s="5" t="s">
        <v>577</v>
      </c>
      <c r="K79" s="5" t="s">
        <v>1006</v>
      </c>
      <c r="L79" s="5" t="s">
        <v>1008</v>
      </c>
      <c r="M79" s="6" t="s">
        <v>1009</v>
      </c>
    </row>
    <row r="80" spans="2:13" ht="15" hidden="1" customHeight="1" outlineLevel="1">
      <c r="B80" s="1572"/>
      <c r="C80" s="1298" t="s">
        <v>1010</v>
      </c>
      <c r="D80" s="1318">
        <v>0.03</v>
      </c>
      <c r="E80" s="1575"/>
      <c r="G80" s="148"/>
      <c r="H80" s="10" t="s">
        <v>1011</v>
      </c>
      <c r="I80" s="1298">
        <f>D66*G66*50%</f>
        <v>9.282</v>
      </c>
      <c r="J80" s="723">
        <f>D66*G66*50%</f>
        <v>9.282</v>
      </c>
      <c r="K80" s="723">
        <f>D66*F66</f>
        <v>19.655999999999999</v>
      </c>
      <c r="L80" s="723">
        <f>D66*E66</f>
        <v>70.98</v>
      </c>
      <c r="M80" s="192">
        <f>D50</f>
        <v>422.91060153992612</v>
      </c>
    </row>
    <row r="81" spans="2:13" ht="15" hidden="1" customHeight="1" outlineLevel="1">
      <c r="B81" s="1572"/>
      <c r="C81" s="1298" t="s">
        <v>1012</v>
      </c>
      <c r="D81" s="229">
        <v>0.01</v>
      </c>
      <c r="E81" s="1576"/>
      <c r="G81" s="148"/>
      <c r="H81" s="604" t="s">
        <v>960</v>
      </c>
      <c r="I81" s="1298">
        <f>D69*G69*50%</f>
        <v>10.23</v>
      </c>
      <c r="J81" s="723">
        <f>D69*G69*50%</f>
        <v>10.23</v>
      </c>
      <c r="K81" s="723">
        <f>D69*F69</f>
        <v>16.12</v>
      </c>
      <c r="L81" s="723">
        <f>D69*E69</f>
        <v>25.419999999999998</v>
      </c>
      <c r="M81" s="192">
        <f>D51</f>
        <v>281.94040102661739</v>
      </c>
    </row>
    <row r="82" spans="2:13" ht="15" hidden="1" customHeight="1" outlineLevel="1">
      <c r="B82" s="1572" t="s">
        <v>129</v>
      </c>
      <c r="C82" s="1298" t="s">
        <v>1013</v>
      </c>
      <c r="D82" s="229">
        <v>0.06</v>
      </c>
      <c r="E82" s="1574">
        <v>4.4201320568135731</v>
      </c>
      <c r="G82" s="148"/>
      <c r="H82" s="604" t="s">
        <v>993</v>
      </c>
      <c r="I82" s="1298">
        <f>AVERAGE(D70:D71)*AVERAGE(G70:G71)*50%</f>
        <v>3.538125</v>
      </c>
      <c r="J82" s="723">
        <f>AVERAGE(D70:D71)*AVERAGE(G70:G71)*50%</f>
        <v>3.538125</v>
      </c>
      <c r="K82" s="723">
        <f>AVERAGE(D70:D71)*AVERAGE(F70:F71)</f>
        <v>14.1525</v>
      </c>
      <c r="L82" s="723">
        <f>AVERAGE(D70:D71)*AVERAGE(E70:E71)</f>
        <v>34.271249999999995</v>
      </c>
      <c r="M82" s="192">
        <f>D53+D49</f>
        <v>775.33610282319796</v>
      </c>
    </row>
    <row r="83" spans="2:13" ht="15" hidden="1" customHeight="1" outlineLevel="1" thickBot="1">
      <c r="B83" s="1573"/>
      <c r="C83" s="1299" t="s">
        <v>1014</v>
      </c>
      <c r="D83" s="376">
        <v>0.11</v>
      </c>
      <c r="E83" s="1577"/>
      <c r="G83" s="148"/>
      <c r="H83" s="604" t="s">
        <v>1015</v>
      </c>
      <c r="I83" s="328">
        <f>I82</f>
        <v>3.538125</v>
      </c>
      <c r="J83" s="328">
        <f>J82</f>
        <v>3.538125</v>
      </c>
      <c r="K83" s="328">
        <f>K82</f>
        <v>14.1525</v>
      </c>
      <c r="L83" s="328">
        <f>L82</f>
        <v>34.271249999999995</v>
      </c>
      <c r="M83" s="192">
        <f>D54</f>
        <v>35.242550128327174</v>
      </c>
    </row>
    <row r="84" spans="2:13" ht="15" hidden="1" outlineLevel="1" thickBot="1">
      <c r="H84" s="605" t="s">
        <v>961</v>
      </c>
      <c r="I84" s="1327">
        <f>D72*G72*50%</f>
        <v>6.8750000000000009</v>
      </c>
      <c r="J84" s="724">
        <f>D72*G72*50%</f>
        <v>6.8750000000000009</v>
      </c>
      <c r="K84" s="724">
        <f>D72*F72</f>
        <v>1.5</v>
      </c>
      <c r="L84" s="724">
        <f>D72*E72</f>
        <v>34.75</v>
      </c>
      <c r="M84" s="195">
        <f>D52</f>
        <v>246.69785089829023</v>
      </c>
    </row>
    <row r="85" spans="2:13" hidden="1" outlineLevel="1">
      <c r="B85" s="1251" t="s">
        <v>1016</v>
      </c>
      <c r="H85" s="3"/>
    </row>
    <row r="86" spans="2:13" ht="14.5" hidden="1" outlineLevel="1" thickBot="1">
      <c r="B86" s="1251" t="s">
        <v>565</v>
      </c>
    </row>
    <row r="87" spans="2:13" ht="29" hidden="1" outlineLevel="1">
      <c r="B87" s="123"/>
      <c r="C87" s="6" t="s">
        <v>1017</v>
      </c>
    </row>
    <row r="88" spans="2:13" ht="14.5" hidden="1" outlineLevel="1">
      <c r="B88" s="10" t="s">
        <v>1011</v>
      </c>
      <c r="C88" s="1301">
        <f>1.04*(E66*E$78+F66*E$79+G66*E$82)*D66/1000</f>
        <v>0.1669104549856876</v>
      </c>
      <c r="E88" s="39"/>
    </row>
    <row r="89" spans="2:13" ht="14" hidden="1" customHeight="1" outlineLevel="1">
      <c r="B89" s="604" t="s">
        <v>960</v>
      </c>
      <c r="C89" s="1301">
        <f>1.04*(E69*E$78+F69*E$79+G69*E$82)*D69/1000</f>
        <v>0.1484786940671374</v>
      </c>
    </row>
    <row r="90" spans="2:13" ht="14" hidden="1" customHeight="1" outlineLevel="1">
      <c r="B90" s="604" t="s">
        <v>993</v>
      </c>
      <c r="C90" s="1301">
        <f>1.04*(AVERAGE(E70:E71)*E$78+AVERAGE(E70:F71)*E$79+AVERAGE(G70:G71)*E$82)*AVERAGE(D70:D71)/1000</f>
        <v>0.11278782192575001</v>
      </c>
    </row>
    <row r="91" spans="2:13" ht="14" hidden="1" customHeight="1" outlineLevel="1">
      <c r="B91" s="604" t="s">
        <v>1015</v>
      </c>
      <c r="C91" s="132">
        <f>1.04*(AVERAGE(E70:E71)*E$78+AVERAGE(E70:F71)*E$79+AVERAGE(G70:G71)*E$82)*AVERAGE(D70:D71)/1000</f>
        <v>0.11278782192575001</v>
      </c>
      <c r="D91" s="1251" t="s">
        <v>1018</v>
      </c>
    </row>
    <row r="92" spans="2:13" ht="14" hidden="1" customHeight="1" outlineLevel="1" thickBot="1">
      <c r="B92" s="605" t="s">
        <v>961</v>
      </c>
      <c r="C92" s="209">
        <f>1.04*(E72*E$78+F72*E$79+G72*E$82)*D72/1000</f>
        <v>8.0590722328576794E-2</v>
      </c>
    </row>
    <row r="93" spans="2:13" hidden="1" outlineLevel="1"/>
    <row r="94" spans="2:13" collapsed="1"/>
    <row r="95" spans="2:13" ht="20">
      <c r="B95" s="216" t="s">
        <v>1019</v>
      </c>
    </row>
    <row r="97" spans="2:13" hidden="1" outlineLevel="1">
      <c r="B97" s="1251" t="s">
        <v>1020</v>
      </c>
    </row>
    <row r="98" spans="2:13" ht="14.5" hidden="1" outlineLevel="1" thickBot="1">
      <c r="B98" s="1251" t="s">
        <v>1021</v>
      </c>
    </row>
    <row r="99" spans="2:13" s="1" customFormat="1" hidden="1" outlineLevel="1">
      <c r="B99" s="456"/>
      <c r="C99" s="404"/>
      <c r="D99" s="404" t="s">
        <v>301</v>
      </c>
      <c r="E99" s="405" t="s">
        <v>70</v>
      </c>
      <c r="F99"/>
      <c r="G99"/>
      <c r="H99"/>
      <c r="I99"/>
      <c r="J99"/>
      <c r="K99"/>
      <c r="L99"/>
      <c r="M99"/>
    </row>
    <row r="100" spans="2:13" hidden="1" outlineLevel="1">
      <c r="B100" s="562" t="s">
        <v>1022</v>
      </c>
      <c r="C100" s="190">
        <v>24500</v>
      </c>
      <c r="D100" s="190" t="s">
        <v>1023</v>
      </c>
      <c r="E100" s="100" t="s">
        <v>1024</v>
      </c>
    </row>
    <row r="101" spans="2:13" hidden="1" outlineLevel="1">
      <c r="B101" s="562" t="s">
        <v>1025</v>
      </c>
      <c r="C101" s="190">
        <v>500</v>
      </c>
      <c r="D101" s="171" t="s">
        <v>1026</v>
      </c>
      <c r="E101" s="100" t="s">
        <v>1027</v>
      </c>
    </row>
    <row r="102" spans="2:13" hidden="1" outlineLevel="1">
      <c r="B102" s="562" t="s">
        <v>1028</v>
      </c>
      <c r="C102" s="607">
        <f>10^-3*C100/C101</f>
        <v>4.9000000000000002E-2</v>
      </c>
      <c r="D102" s="608" t="s">
        <v>416</v>
      </c>
      <c r="E102" s="1283"/>
    </row>
    <row r="103" spans="2:13" hidden="1" outlineLevel="1">
      <c r="B103" s="562" t="s">
        <v>1029</v>
      </c>
      <c r="C103" s="606">
        <v>2.5</v>
      </c>
      <c r="D103" s="1302" t="s">
        <v>1030</v>
      </c>
      <c r="E103" s="100" t="s">
        <v>1031</v>
      </c>
    </row>
    <row r="104" spans="2:13" hidden="1" outlineLevel="1">
      <c r="B104" s="562" t="s">
        <v>1032</v>
      </c>
      <c r="C104" s="607">
        <v>2.8519162678595077E-2</v>
      </c>
      <c r="D104" s="608" t="s">
        <v>416</v>
      </c>
      <c r="E104" s="547" t="s">
        <v>1033</v>
      </c>
    </row>
    <row r="105" spans="2:13" hidden="1" outlineLevel="1">
      <c r="B105" s="562" t="s">
        <v>1034</v>
      </c>
      <c r="C105" s="190">
        <v>16000</v>
      </c>
      <c r="D105" s="190" t="s">
        <v>1023</v>
      </c>
      <c r="E105" s="100" t="s">
        <v>1024</v>
      </c>
    </row>
    <row r="106" spans="2:13" hidden="1" outlineLevel="1">
      <c r="B106" s="562" t="s">
        <v>1035</v>
      </c>
      <c r="C106" s="190">
        <v>520</v>
      </c>
      <c r="D106" s="190" t="s">
        <v>1023</v>
      </c>
      <c r="E106" s="100" t="s">
        <v>1024</v>
      </c>
    </row>
    <row r="107" spans="2:13" hidden="1" outlineLevel="1">
      <c r="B107" s="562" t="s">
        <v>1036</v>
      </c>
      <c r="C107" s="190">
        <v>500</v>
      </c>
      <c r="D107" s="171" t="s">
        <v>1026</v>
      </c>
      <c r="E107" s="100" t="s">
        <v>1037</v>
      </c>
    </row>
    <row r="108" spans="2:13" hidden="1" outlineLevel="1">
      <c r="B108" s="562" t="s">
        <v>1038</v>
      </c>
      <c r="C108" s="607">
        <f>10^-3*C105/C107</f>
        <v>3.2000000000000001E-2</v>
      </c>
      <c r="D108" s="608" t="s">
        <v>416</v>
      </c>
      <c r="E108" s="1283"/>
    </row>
    <row r="109" spans="2:13" ht="14.5" hidden="1" outlineLevel="1" thickBot="1">
      <c r="B109" s="565" t="s">
        <v>1039</v>
      </c>
      <c r="C109" s="419">
        <f>10^-3*C106/C107</f>
        <v>1.0400000000000001E-3</v>
      </c>
      <c r="D109" s="609" t="s">
        <v>416</v>
      </c>
      <c r="E109" s="1285"/>
    </row>
    <row r="110" spans="2:13" hidden="1" outlineLevel="1"/>
    <row r="111" spans="2:13" ht="14.5" hidden="1" outlineLevel="1" thickBot="1">
      <c r="B111" s="1251" t="s">
        <v>1040</v>
      </c>
    </row>
    <row r="112" spans="2:13" ht="28.5" hidden="1" customHeight="1" outlineLevel="1">
      <c r="B112" s="599"/>
      <c r="C112" s="138" t="s">
        <v>1041</v>
      </c>
      <c r="D112" s="139" t="s">
        <v>1042</v>
      </c>
    </row>
    <row r="113" spans="2:27" hidden="1" outlineLevel="1">
      <c r="B113" s="562" t="s">
        <v>1043</v>
      </c>
      <c r="C113" s="150">
        <v>3.2001629896142949E-3</v>
      </c>
      <c r="D113" s="611">
        <v>1.2018973764626446E-2</v>
      </c>
    </row>
    <row r="114" spans="2:27" hidden="1" outlineLevel="1">
      <c r="B114" s="562" t="s">
        <v>1044</v>
      </c>
      <c r="C114" s="150">
        <v>8.2853333333333349E-5</v>
      </c>
      <c r="D114" s="611">
        <v>8.2853333333333349E-5</v>
      </c>
    </row>
    <row r="115" spans="2:27" ht="14.5" hidden="1" outlineLevel="1" thickBot="1">
      <c r="B115" s="565" t="s">
        <v>83</v>
      </c>
      <c r="C115" s="612">
        <f>C113+C114</f>
        <v>3.2830163229476284E-3</v>
      </c>
      <c r="D115" s="613">
        <f>D113+D114</f>
        <v>1.210182709795978E-2</v>
      </c>
    </row>
    <row r="116" spans="2:27" hidden="1" outlineLevel="1"/>
    <row r="117" spans="2:27" ht="14.5" hidden="1" outlineLevel="1" thickBot="1">
      <c r="B117" s="1251" t="s">
        <v>1045</v>
      </c>
    </row>
    <row r="118" spans="2:27" ht="28.5" hidden="1" customHeight="1" outlineLevel="1" thickBot="1">
      <c r="B118" s="1570" t="s">
        <v>1046</v>
      </c>
      <c r="C118" s="1571"/>
      <c r="D118" s="138">
        <v>1</v>
      </c>
      <c r="E118" s="138">
        <v>2</v>
      </c>
      <c r="F118" s="138">
        <v>3</v>
      </c>
      <c r="G118" s="138">
        <v>4</v>
      </c>
      <c r="H118" s="138">
        <v>5</v>
      </c>
      <c r="I118" s="138">
        <v>6</v>
      </c>
      <c r="J118" s="138">
        <v>7</v>
      </c>
      <c r="K118" s="138">
        <v>8</v>
      </c>
      <c r="L118" s="138">
        <v>9</v>
      </c>
      <c r="M118" s="138">
        <v>10</v>
      </c>
      <c r="N118" s="138">
        <v>11</v>
      </c>
      <c r="O118" s="138">
        <v>12</v>
      </c>
      <c r="P118" s="138">
        <v>13</v>
      </c>
      <c r="Q118" s="138">
        <v>14</v>
      </c>
      <c r="R118" s="138">
        <v>15</v>
      </c>
      <c r="S118" s="138">
        <v>16</v>
      </c>
      <c r="T118" s="138">
        <v>17</v>
      </c>
      <c r="U118" s="138">
        <v>18</v>
      </c>
      <c r="V118" s="138">
        <v>19</v>
      </c>
      <c r="W118" s="138">
        <v>20</v>
      </c>
      <c r="X118" s="138">
        <v>21</v>
      </c>
      <c r="Y118" s="138">
        <v>22</v>
      </c>
      <c r="Z118" s="138">
        <v>23</v>
      </c>
      <c r="AA118" s="139">
        <v>24</v>
      </c>
    </row>
    <row r="119" spans="2:27" s="24" customFormat="1" hidden="1" outlineLevel="1">
      <c r="B119" s="1569" t="s">
        <v>986</v>
      </c>
      <c r="C119" s="408" t="s">
        <v>1047</v>
      </c>
      <c r="D119" s="11">
        <v>66</v>
      </c>
      <c r="E119" s="11">
        <v>70</v>
      </c>
      <c r="F119" s="11">
        <v>88</v>
      </c>
      <c r="G119" s="11">
        <v>108</v>
      </c>
      <c r="H119" s="11">
        <v>110</v>
      </c>
      <c r="I119" s="11">
        <v>74</v>
      </c>
      <c r="J119" s="11">
        <v>100</v>
      </c>
      <c r="K119" s="11">
        <v>119</v>
      </c>
      <c r="L119" s="11">
        <v>121</v>
      </c>
      <c r="M119" s="11">
        <v>88</v>
      </c>
      <c r="N119" s="11">
        <v>119</v>
      </c>
      <c r="O119" s="11">
        <v>145</v>
      </c>
      <c r="P119" s="11">
        <v>148</v>
      </c>
      <c r="Q119" s="11">
        <v>140</v>
      </c>
      <c r="R119" s="11">
        <v>173</v>
      </c>
      <c r="S119" s="11">
        <v>174</v>
      </c>
      <c r="T119" s="11">
        <v>140</v>
      </c>
      <c r="U119" s="11">
        <v>165</v>
      </c>
      <c r="V119" s="11">
        <v>87</v>
      </c>
      <c r="W119" s="11">
        <v>98</v>
      </c>
      <c r="X119" s="11">
        <v>96</v>
      </c>
      <c r="Y119" s="11">
        <v>108</v>
      </c>
      <c r="Z119" s="11">
        <v>119</v>
      </c>
      <c r="AA119" s="12">
        <v>136</v>
      </c>
    </row>
    <row r="120" spans="2:27" s="166" customFormat="1" ht="28.5" hidden="1" outlineLevel="1" thickBot="1">
      <c r="B120" s="1561"/>
      <c r="C120" s="614" t="s">
        <v>1048</v>
      </c>
      <c r="D120" s="170">
        <v>1.2E-2</v>
      </c>
      <c r="E120" s="170">
        <v>1.2999999999999999E-2</v>
      </c>
      <c r="F120" s="170">
        <v>1.6E-2</v>
      </c>
      <c r="G120" s="170">
        <v>0.02</v>
      </c>
      <c r="H120" s="170">
        <v>0.02</v>
      </c>
      <c r="I120" s="170">
        <v>1.4E-2</v>
      </c>
      <c r="J120" s="170">
        <v>1.9E-2</v>
      </c>
      <c r="K120" s="170">
        <v>2.1999999999999999E-2</v>
      </c>
      <c r="L120" s="170">
        <v>2.3E-2</v>
      </c>
      <c r="M120" s="170">
        <v>1.7000000000000001E-2</v>
      </c>
      <c r="N120" s="170">
        <v>2.3E-2</v>
      </c>
      <c r="O120" s="170">
        <v>2.7E-2</v>
      </c>
      <c r="P120" s="170">
        <v>2.8000000000000001E-2</v>
      </c>
      <c r="Q120" s="170">
        <v>2.7E-2</v>
      </c>
      <c r="R120" s="170">
        <v>3.3000000000000002E-2</v>
      </c>
      <c r="S120" s="170">
        <v>3.3000000000000002E-2</v>
      </c>
      <c r="T120" s="170">
        <v>3.9E-2</v>
      </c>
      <c r="U120" s="170">
        <v>4.5999999999999999E-2</v>
      </c>
      <c r="V120" s="170">
        <v>1.6E-2</v>
      </c>
      <c r="W120" s="170">
        <v>1.7999999999999999E-2</v>
      </c>
      <c r="X120" s="170">
        <v>1.7999999999999999E-2</v>
      </c>
      <c r="Y120" s="170">
        <v>0.02</v>
      </c>
      <c r="Z120" s="170">
        <v>2.1999999999999999E-2</v>
      </c>
      <c r="AA120" s="209">
        <v>2.5000000000000001E-2</v>
      </c>
    </row>
    <row r="121" spans="2:27" s="24" customFormat="1" hidden="1" outlineLevel="1">
      <c r="B121" s="1569" t="s">
        <v>992</v>
      </c>
      <c r="C121" s="408" t="s">
        <v>1047</v>
      </c>
      <c r="D121" s="11">
        <v>6</v>
      </c>
      <c r="E121" s="11">
        <v>11</v>
      </c>
      <c r="F121" s="11">
        <v>17</v>
      </c>
      <c r="G121" s="11">
        <v>31</v>
      </c>
      <c r="H121" s="11">
        <v>64</v>
      </c>
      <c r="I121" s="11">
        <v>68</v>
      </c>
      <c r="J121" s="11">
        <v>50</v>
      </c>
      <c r="K121" s="11">
        <v>56</v>
      </c>
      <c r="L121" s="11">
        <v>15</v>
      </c>
      <c r="M121" s="11">
        <v>22</v>
      </c>
      <c r="N121" s="11">
        <v>39</v>
      </c>
      <c r="O121" s="11"/>
      <c r="P121" s="11"/>
      <c r="Q121" s="11"/>
      <c r="R121" s="11"/>
      <c r="S121" s="11"/>
      <c r="T121" s="11"/>
      <c r="U121" s="11"/>
      <c r="V121" s="11"/>
      <c r="W121" s="11"/>
      <c r="X121" s="11"/>
      <c r="Y121" s="11"/>
      <c r="Z121" s="11"/>
      <c r="AA121" s="12"/>
    </row>
    <row r="122" spans="2:27" s="166" customFormat="1" ht="28.5" hidden="1" outlineLevel="1" thickBot="1">
      <c r="B122" s="1561"/>
      <c r="C122" s="614" t="s">
        <v>1048</v>
      </c>
      <c r="D122" s="170">
        <v>1E-3</v>
      </c>
      <c r="E122" s="170">
        <v>2E-3</v>
      </c>
      <c r="F122" s="170">
        <v>3.0000000000000001E-3</v>
      </c>
      <c r="G122" s="170">
        <v>6.0000000000000001E-3</v>
      </c>
      <c r="H122" s="170">
        <v>1.2E-2</v>
      </c>
      <c r="I122" s="170">
        <v>1.2E-2</v>
      </c>
      <c r="J122" s="170">
        <v>8.0000000000000002E-3</v>
      </c>
      <c r="K122" s="170">
        <v>8.9999999999999993E-3</v>
      </c>
      <c r="L122" s="170">
        <v>3.0000000000000001E-3</v>
      </c>
      <c r="M122" s="170">
        <v>4.0000000000000001E-3</v>
      </c>
      <c r="N122" s="170">
        <v>8.0000000000000002E-3</v>
      </c>
      <c r="O122" s="170"/>
      <c r="P122" s="170"/>
      <c r="Q122" s="170"/>
      <c r="R122" s="170"/>
      <c r="S122" s="170"/>
      <c r="T122" s="170"/>
      <c r="U122" s="170"/>
      <c r="V122" s="170"/>
      <c r="W122" s="170"/>
      <c r="X122" s="170"/>
      <c r="Y122" s="170"/>
      <c r="Z122" s="170"/>
      <c r="AA122" s="209"/>
    </row>
    <row r="123" spans="2:27" s="24" customFormat="1" hidden="1" outlineLevel="1">
      <c r="B123" s="1560" t="s">
        <v>995</v>
      </c>
      <c r="C123" s="408" t="s">
        <v>1047</v>
      </c>
      <c r="D123" s="11">
        <v>37</v>
      </c>
      <c r="E123" s="11">
        <v>56</v>
      </c>
      <c r="F123" s="11">
        <v>40</v>
      </c>
      <c r="G123" s="11">
        <v>61</v>
      </c>
      <c r="H123" s="11">
        <v>32</v>
      </c>
      <c r="I123" s="11">
        <v>50</v>
      </c>
      <c r="J123" s="11">
        <v>64</v>
      </c>
      <c r="K123" s="11">
        <v>77</v>
      </c>
      <c r="L123" s="11">
        <v>75</v>
      </c>
      <c r="M123" s="11">
        <v>91</v>
      </c>
      <c r="N123" s="11">
        <v>118</v>
      </c>
      <c r="O123" s="11"/>
      <c r="P123" s="11"/>
      <c r="Q123" s="11"/>
      <c r="R123" s="11"/>
      <c r="S123" s="11"/>
      <c r="T123" s="11"/>
      <c r="U123" s="11"/>
      <c r="V123" s="11"/>
      <c r="W123" s="11"/>
      <c r="X123" s="11"/>
      <c r="Y123" s="11"/>
      <c r="Z123" s="11"/>
      <c r="AA123" s="12"/>
    </row>
    <row r="124" spans="2:27" s="166" customFormat="1" ht="28.5" hidden="1" outlineLevel="1" thickBot="1">
      <c r="B124" s="1561"/>
      <c r="C124" s="614" t="s">
        <v>1048</v>
      </c>
      <c r="D124" s="170">
        <v>6.0000000000000001E-3</v>
      </c>
      <c r="E124" s="170">
        <v>0.01</v>
      </c>
      <c r="F124" s="170">
        <v>7.0000000000000001E-3</v>
      </c>
      <c r="G124" s="170">
        <v>0.01</v>
      </c>
      <c r="H124" s="170">
        <v>6.0000000000000001E-3</v>
      </c>
      <c r="I124" s="170">
        <v>8.9999999999999993E-3</v>
      </c>
      <c r="J124" s="170">
        <v>1.0999999999999999E-2</v>
      </c>
      <c r="K124" s="170">
        <v>1.2999999999999999E-2</v>
      </c>
      <c r="L124" s="170">
        <v>1.2999999999999999E-2</v>
      </c>
      <c r="M124" s="170">
        <v>1.6E-2</v>
      </c>
      <c r="N124" s="170">
        <v>0.02</v>
      </c>
      <c r="O124" s="170"/>
      <c r="P124" s="170"/>
      <c r="Q124" s="170"/>
      <c r="R124" s="170"/>
      <c r="S124" s="170"/>
      <c r="T124" s="170"/>
      <c r="U124" s="170"/>
      <c r="V124" s="170"/>
      <c r="W124" s="170"/>
      <c r="X124" s="170"/>
      <c r="Y124" s="170"/>
      <c r="Z124" s="170"/>
      <c r="AA124" s="209"/>
    </row>
    <row r="125" spans="2:27" hidden="1" outlineLevel="1">
      <c r="N125">
        <f>N124/N123</f>
        <v>1.6949152542372882E-4</v>
      </c>
    </row>
    <row r="126" spans="2:27" hidden="1" outlineLevel="1">
      <c r="B126" t="s">
        <v>1049</v>
      </c>
    </row>
    <row r="127" spans="2:27" hidden="1" outlineLevel="1">
      <c r="B127" t="s">
        <v>1050</v>
      </c>
    </row>
    <row r="128" spans="2:27" hidden="1" outlineLevel="1"/>
    <row r="129" spans="2:4" hidden="1" outlineLevel="1"/>
    <row r="130" spans="2:4" hidden="1" outlineLevel="1"/>
    <row r="131" spans="2:4" hidden="1" outlineLevel="1"/>
    <row r="132" spans="2:4" hidden="1" outlineLevel="1"/>
    <row r="133" spans="2:4" hidden="1" outlineLevel="1"/>
    <row r="134" spans="2:4" hidden="1" outlineLevel="1"/>
    <row r="135" spans="2:4" hidden="1" outlineLevel="1"/>
    <row r="136" spans="2:4" hidden="1" outlineLevel="1"/>
    <row r="137" spans="2:4" hidden="1" outlineLevel="1"/>
    <row r="138" spans="2:4" hidden="1" outlineLevel="1"/>
    <row r="139" spans="2:4" hidden="1" outlineLevel="1"/>
    <row r="140" spans="2:4" hidden="1" outlineLevel="1"/>
    <row r="141" spans="2:4" hidden="1" outlineLevel="1"/>
    <row r="142" spans="2:4" ht="14.5" hidden="1" outlineLevel="1" thickBot="1">
      <c r="B142" t="s">
        <v>1051</v>
      </c>
    </row>
    <row r="143" spans="2:4" ht="15" hidden="1" outlineLevel="1" thickBot="1">
      <c r="B143" s="20" t="s">
        <v>1052</v>
      </c>
      <c r="C143" s="1139">
        <v>1.7799999999999999E-4</v>
      </c>
      <c r="D143" s="617" t="s">
        <v>1053</v>
      </c>
    </row>
    <row r="144" spans="2:4" hidden="1" outlineLevel="1"/>
    <row r="145" spans="2:5" ht="14.5" hidden="1" outlineLevel="1" thickBot="1">
      <c r="B145" t="s">
        <v>1054</v>
      </c>
    </row>
    <row r="146" spans="2:5" ht="29" hidden="1" outlineLevel="1">
      <c r="B146" s="123"/>
      <c r="C146" s="5" t="s">
        <v>1055</v>
      </c>
      <c r="D146" s="6" t="s">
        <v>1056</v>
      </c>
    </row>
    <row r="147" spans="2:5" ht="14.5" hidden="1" outlineLevel="1">
      <c r="B147" s="10" t="s">
        <v>1011</v>
      </c>
      <c r="C147" s="1298">
        <f>D66</f>
        <v>109.2</v>
      </c>
      <c r="D147" s="615">
        <f>C147*$C$143</f>
        <v>1.9437599999999999E-2</v>
      </c>
    </row>
    <row r="148" spans="2:5" ht="14.5" hidden="1" outlineLevel="1">
      <c r="B148" s="604" t="s">
        <v>960</v>
      </c>
      <c r="C148" s="1298">
        <f>D69</f>
        <v>62</v>
      </c>
      <c r="D148" s="615">
        <f>C148*$C$143</f>
        <v>1.1035999999999999E-2</v>
      </c>
    </row>
    <row r="149" spans="2:5" ht="14.5" hidden="1" outlineLevel="1">
      <c r="B149" s="604" t="s">
        <v>993</v>
      </c>
      <c r="C149" s="1298">
        <f>AVERAGE(D70:D71)</f>
        <v>55.5</v>
      </c>
      <c r="D149" s="615">
        <f>C149*$C$143</f>
        <v>9.8789999999999989E-3</v>
      </c>
    </row>
    <row r="150" spans="2:5" ht="14.5" hidden="1" outlineLevel="1">
      <c r="B150" s="604" t="s">
        <v>1015</v>
      </c>
      <c r="C150" s="168">
        <f>AVERAGE(D70:D71)</f>
        <v>55.5</v>
      </c>
      <c r="D150" s="615">
        <f>C150*$C$143</f>
        <v>9.8789999999999989E-3</v>
      </c>
    </row>
    <row r="151" spans="2:5" ht="15" hidden="1" outlineLevel="1" thickBot="1">
      <c r="B151" s="605" t="s">
        <v>961</v>
      </c>
      <c r="C151" s="170">
        <f>D72</f>
        <v>50</v>
      </c>
      <c r="D151" s="616">
        <f>C151*$C$143</f>
        <v>8.8999999999999999E-3</v>
      </c>
    </row>
    <row r="152" spans="2:5" hidden="1" outlineLevel="1"/>
    <row r="153" spans="2:5" ht="14.5" hidden="1" outlineLevel="1" thickBot="1">
      <c r="B153" t="s">
        <v>1057</v>
      </c>
    </row>
    <row r="154" spans="2:5" hidden="1" outlineLevel="1">
      <c r="B154" s="456"/>
      <c r="C154" s="404"/>
      <c r="D154" s="404" t="s">
        <v>301</v>
      </c>
      <c r="E154" s="405" t="s">
        <v>70</v>
      </c>
    </row>
    <row r="155" spans="2:5" hidden="1" outlineLevel="1">
      <c r="B155" s="562" t="s">
        <v>1058</v>
      </c>
      <c r="C155" s="190">
        <v>30000</v>
      </c>
      <c r="D155" s="190" t="s">
        <v>1059</v>
      </c>
      <c r="E155" s="100" t="s">
        <v>1027</v>
      </c>
    </row>
    <row r="156" spans="2:5" hidden="1" outlineLevel="1">
      <c r="B156" s="562" t="s">
        <v>1025</v>
      </c>
      <c r="C156" s="190">
        <v>500</v>
      </c>
      <c r="D156" s="171" t="s">
        <v>1026</v>
      </c>
      <c r="E156" s="100" t="s">
        <v>1027</v>
      </c>
    </row>
    <row r="157" spans="2:5" hidden="1" outlineLevel="1">
      <c r="B157" s="562" t="s">
        <v>1060</v>
      </c>
      <c r="C157" s="608">
        <f>C155/C156</f>
        <v>60</v>
      </c>
      <c r="D157" s="608" t="s">
        <v>1061</v>
      </c>
      <c r="E157" s="1283"/>
    </row>
    <row r="158" spans="2:5" hidden="1" outlineLevel="1">
      <c r="B158" s="562" t="s">
        <v>1034</v>
      </c>
      <c r="C158" s="190">
        <v>20000</v>
      </c>
      <c r="D158" s="190" t="s">
        <v>1059</v>
      </c>
      <c r="E158" s="100" t="s">
        <v>1037</v>
      </c>
    </row>
    <row r="159" spans="2:5" hidden="1" outlineLevel="1">
      <c r="B159" s="562" t="s">
        <v>1035</v>
      </c>
      <c r="C159" s="190">
        <v>500</v>
      </c>
      <c r="D159" s="171" t="s">
        <v>1026</v>
      </c>
      <c r="E159" s="100" t="s">
        <v>1037</v>
      </c>
    </row>
    <row r="160" spans="2:5" ht="14.5" hidden="1" outlineLevel="1" thickBot="1">
      <c r="B160" s="565" t="s">
        <v>1036</v>
      </c>
      <c r="C160" s="609">
        <f>C158/C159</f>
        <v>40</v>
      </c>
      <c r="D160" s="609" t="s">
        <v>1061</v>
      </c>
      <c r="E160" s="1285"/>
    </row>
    <row r="161" spans="2:5" hidden="1" outlineLevel="1"/>
    <row r="162" spans="2:5" ht="14.5" hidden="1" outlineLevel="1" thickBot="1">
      <c r="B162" t="s">
        <v>1062</v>
      </c>
    </row>
    <row r="163" spans="2:5" ht="14.5" hidden="1" outlineLevel="1">
      <c r="B163" s="4"/>
      <c r="C163" s="5"/>
      <c r="D163" s="5" t="s">
        <v>301</v>
      </c>
      <c r="E163" s="6" t="s">
        <v>70</v>
      </c>
    </row>
    <row r="164" spans="2:5" ht="15" hidden="1" outlineLevel="1" thickBot="1">
      <c r="B164" s="13" t="s">
        <v>1063</v>
      </c>
      <c r="C164" s="249">
        <v>825</v>
      </c>
      <c r="D164" s="1267" t="s">
        <v>1064</v>
      </c>
      <c r="E164" s="1285" t="s">
        <v>1065</v>
      </c>
    </row>
    <row r="165" spans="2:5" hidden="1" outlineLevel="1"/>
    <row r="166" spans="2:5" hidden="1" outlineLevel="1">
      <c r="B166" s="1251" t="s">
        <v>1066</v>
      </c>
    </row>
    <row r="167" spans="2:5" hidden="1" outlineLevel="1">
      <c r="B167" s="1251"/>
    </row>
    <row r="168" spans="2:5" ht="14.5" hidden="1" outlineLevel="1" thickBot="1">
      <c r="B168" s="1251" t="s">
        <v>1067</v>
      </c>
    </row>
    <row r="169" spans="2:5" ht="14.5" hidden="1" outlineLevel="1">
      <c r="B169" s="4"/>
      <c r="C169" s="5"/>
      <c r="D169" s="6" t="s">
        <v>301</v>
      </c>
    </row>
    <row r="170" spans="2:5" ht="15" hidden="1" outlineLevel="1" thickBot="1">
      <c r="B170" s="13" t="s">
        <v>1068</v>
      </c>
      <c r="C170" s="238">
        <f>AVERAGE(C157,C160)*C164/(20*10^6)</f>
        <v>2.0625000000000001E-3</v>
      </c>
      <c r="D170" s="1285" t="s">
        <v>1069</v>
      </c>
    </row>
    <row r="171" spans="2:5" hidden="1" outlineLevel="1"/>
    <row r="172" spans="2:5" ht="14.5" hidden="1" outlineLevel="1" thickBot="1">
      <c r="B172" t="s">
        <v>1070</v>
      </c>
    </row>
    <row r="173" spans="2:5" ht="29" hidden="1" outlineLevel="1">
      <c r="B173" s="123"/>
      <c r="C173" s="6" t="s">
        <v>1071</v>
      </c>
    </row>
    <row r="174" spans="2:5" ht="14.5" hidden="1" outlineLevel="1">
      <c r="B174" s="10" t="s">
        <v>1011</v>
      </c>
      <c r="C174" s="615">
        <f>D147+C$170</f>
        <v>2.1500100000000001E-2</v>
      </c>
    </row>
    <row r="175" spans="2:5" ht="14.5" hidden="1" outlineLevel="1">
      <c r="B175" s="604" t="s">
        <v>960</v>
      </c>
      <c r="C175" s="615">
        <f>D148+C$170</f>
        <v>1.3098499999999999E-2</v>
      </c>
    </row>
    <row r="176" spans="2:5" ht="14.5" hidden="1" outlineLevel="1">
      <c r="B176" s="604" t="s">
        <v>993</v>
      </c>
      <c r="C176" s="615">
        <f>D149+C$170</f>
        <v>1.1941499999999999E-2</v>
      </c>
    </row>
    <row r="177" spans="2:3" ht="14.5" hidden="1" outlineLevel="1">
      <c r="B177" s="604" t="s">
        <v>1015</v>
      </c>
      <c r="C177" s="615">
        <f>D150+C$170</f>
        <v>1.1941499999999999E-2</v>
      </c>
    </row>
    <row r="178" spans="2:3" ht="15" hidden="1" outlineLevel="1" thickBot="1">
      <c r="B178" s="605" t="s">
        <v>961</v>
      </c>
      <c r="C178" s="616">
        <f>D151+C$170</f>
        <v>1.09625E-2</v>
      </c>
    </row>
    <row r="179" spans="2:3" hidden="1" outlineLevel="1"/>
    <row r="180" spans="2:3" collapsed="1"/>
    <row r="181" spans="2:3" ht="20">
      <c r="B181" s="216" t="s">
        <v>1072</v>
      </c>
    </row>
    <row r="183" spans="2:3" hidden="1" outlineLevel="1">
      <c r="B183" t="s">
        <v>1073</v>
      </c>
    </row>
    <row r="184" spans="2:3" hidden="1" outlineLevel="1">
      <c r="B184" s="418" t="s">
        <v>1074</v>
      </c>
    </row>
    <row r="185" spans="2:3" hidden="1" outlineLevel="1">
      <c r="B185" s="418" t="s">
        <v>1075</v>
      </c>
    </row>
    <row r="186" spans="2:3" hidden="1" outlineLevel="1"/>
    <row r="187" spans="2:3" hidden="1" outlineLevel="1">
      <c r="B187" t="s">
        <v>1076</v>
      </c>
    </row>
    <row r="188" spans="2:3" hidden="1" outlineLevel="1">
      <c r="B188" s="1251" t="s">
        <v>1077</v>
      </c>
    </row>
    <row r="189" spans="2:3" hidden="1" outlineLevel="1"/>
    <row r="190" spans="2:3" ht="14.5" hidden="1" outlineLevel="1" thickBot="1">
      <c r="B190" s="1251" t="s">
        <v>1078</v>
      </c>
    </row>
    <row r="191" spans="2:3" ht="14.5" hidden="1" outlineLevel="1">
      <c r="B191" s="123"/>
      <c r="C191" s="6" t="s">
        <v>1002</v>
      </c>
    </row>
    <row r="192" spans="2:3" ht="15" hidden="1" outlineLevel="1" thickBot="1">
      <c r="B192" s="13" t="s">
        <v>1079</v>
      </c>
      <c r="C192" s="230">
        <v>1.9474475985152842</v>
      </c>
    </row>
    <row r="193" spans="2:8" hidden="1" outlineLevel="1"/>
    <row r="194" spans="2:8" ht="14.5" hidden="1" outlineLevel="1" thickBot="1">
      <c r="B194" s="1251" t="s">
        <v>927</v>
      </c>
    </row>
    <row r="195" spans="2:8" ht="43.5" hidden="1" outlineLevel="1">
      <c r="B195" s="123"/>
      <c r="C195" s="5" t="s">
        <v>1080</v>
      </c>
      <c r="D195" s="5" t="s">
        <v>1081</v>
      </c>
      <c r="E195" s="6" t="s">
        <v>1082</v>
      </c>
    </row>
    <row r="196" spans="2:8" ht="14.5" hidden="1" outlineLevel="1">
      <c r="B196" s="10" t="s">
        <v>1011</v>
      </c>
      <c r="C196" s="11">
        <f>C147</f>
        <v>109.2</v>
      </c>
      <c r="D196" s="168">
        <f>C196*6%</f>
        <v>6.5519999999999996</v>
      </c>
      <c r="E196" s="228">
        <f>D196*C$192/1000</f>
        <v>1.275967666547214E-2</v>
      </c>
    </row>
    <row r="197" spans="2:8" ht="14.5" hidden="1" outlineLevel="1">
      <c r="B197" s="604" t="s">
        <v>960</v>
      </c>
      <c r="C197" s="11">
        <f>C148</f>
        <v>62</v>
      </c>
      <c r="D197" s="168">
        <f>C197*6%</f>
        <v>3.7199999999999998</v>
      </c>
      <c r="E197" s="228">
        <f>D197*C$192/1000</f>
        <v>7.2445050664768562E-3</v>
      </c>
    </row>
    <row r="198" spans="2:8" ht="14.5" hidden="1" outlineLevel="1">
      <c r="B198" s="604" t="s">
        <v>993</v>
      </c>
      <c r="C198" s="11">
        <f>C149</f>
        <v>55.5</v>
      </c>
      <c r="D198" s="168">
        <f>C198*6%</f>
        <v>3.33</v>
      </c>
      <c r="E198" s="228">
        <f>D198*C$192/1000</f>
        <v>6.4850005030558959E-3</v>
      </c>
    </row>
    <row r="199" spans="2:8" ht="14.5" hidden="1" outlineLevel="1">
      <c r="B199" s="604" t="s">
        <v>1015</v>
      </c>
      <c r="C199" s="11">
        <f>C150</f>
        <v>55.5</v>
      </c>
      <c r="D199" s="168">
        <f>C199*6%</f>
        <v>3.33</v>
      </c>
      <c r="E199" s="228">
        <f>D199*C$192/1000</f>
        <v>6.4850005030558959E-3</v>
      </c>
    </row>
    <row r="200" spans="2:8" ht="15" hidden="1" outlineLevel="1" thickBot="1">
      <c r="B200" s="605" t="s">
        <v>961</v>
      </c>
      <c r="C200" s="14">
        <f>C151</f>
        <v>50</v>
      </c>
      <c r="D200" s="170">
        <f>C200*6%</f>
        <v>3</v>
      </c>
      <c r="E200" s="230">
        <f>D200*C$192/1000</f>
        <v>5.8423427955458527E-3</v>
      </c>
    </row>
    <row r="201" spans="2:8" hidden="1" outlineLevel="1">
      <c r="G201" s="24"/>
      <c r="H201" s="1251"/>
    </row>
    <row r="202" spans="2:8" collapsed="1">
      <c r="G202" s="579"/>
      <c r="H202" s="1251"/>
    </row>
    <row r="203" spans="2:8" ht="20">
      <c r="B203" s="216" t="s">
        <v>1083</v>
      </c>
    </row>
    <row r="205" spans="2:8" hidden="1" outlineLevel="1">
      <c r="B205" s="1251" t="s">
        <v>1084</v>
      </c>
    </row>
    <row r="206" spans="2:8" hidden="1" outlineLevel="1"/>
    <row r="207" spans="2:8" hidden="1" outlineLevel="1">
      <c r="B207" s="1251" t="s">
        <v>1085</v>
      </c>
    </row>
    <row r="208" spans="2:8" ht="14.5" hidden="1" outlineLevel="1" thickBot="1">
      <c r="B208" s="1251" t="s">
        <v>1086</v>
      </c>
    </row>
    <row r="209" spans="2:5" ht="14.5" hidden="1" outlineLevel="1">
      <c r="B209" s="123" t="s">
        <v>525</v>
      </c>
      <c r="C209" s="155" t="s">
        <v>526</v>
      </c>
      <c r="D209" s="155" t="s">
        <v>154</v>
      </c>
      <c r="E209" s="156" t="s">
        <v>1087</v>
      </c>
    </row>
    <row r="210" spans="2:5" ht="15" hidden="1" outlineLevel="1" thickBot="1">
      <c r="B210" s="13" t="s">
        <v>1088</v>
      </c>
      <c r="C210" s="14">
        <v>96190089</v>
      </c>
      <c r="D210" s="157">
        <v>0.85106143986073823</v>
      </c>
      <c r="E210" s="162">
        <v>0.13622033842668776</v>
      </c>
    </row>
    <row r="211" spans="2:5" hidden="1" outlineLevel="1"/>
    <row r="212" spans="2:5" hidden="1" outlineLevel="1">
      <c r="B212" s="1251" t="s">
        <v>531</v>
      </c>
    </row>
    <row r="213" spans="2:5" hidden="1" outlineLevel="1">
      <c r="B213" s="1251" t="s">
        <v>1089</v>
      </c>
    </row>
    <row r="214" spans="2:5" hidden="1" outlineLevel="1">
      <c r="B214" s="1251" t="s">
        <v>1090</v>
      </c>
      <c r="C214" s="87" t="s">
        <v>1091</v>
      </c>
      <c r="E214" s="1317" t="s">
        <v>1092</v>
      </c>
    </row>
    <row r="215" spans="2:5" hidden="1" outlineLevel="1">
      <c r="D215" s="87"/>
    </row>
    <row r="216" spans="2:5" ht="14.5" hidden="1" outlineLevel="1" thickBot="1">
      <c r="B216" s="1251" t="s">
        <v>1093</v>
      </c>
    </row>
    <row r="217" spans="2:5" ht="29" hidden="1" outlineLevel="1">
      <c r="B217" s="123" t="s">
        <v>523</v>
      </c>
      <c r="C217" s="6" t="s">
        <v>1094</v>
      </c>
    </row>
    <row r="218" spans="2:5" ht="14.5" hidden="1" outlineLevel="1">
      <c r="B218" s="10" t="s">
        <v>186</v>
      </c>
      <c r="C218" s="311">
        <f>10%</f>
        <v>0.1</v>
      </c>
    </row>
    <row r="219" spans="2:5" ht="14.5" hidden="1" outlineLevel="1">
      <c r="B219" s="604" t="s">
        <v>154</v>
      </c>
      <c r="C219" s="311">
        <f>(1-C218)*D210/(D210+E210)</f>
        <v>0.77582237687331534</v>
      </c>
    </row>
    <row r="220" spans="2:5" ht="15" hidden="1" outlineLevel="1" thickBot="1">
      <c r="B220" s="605" t="s">
        <v>1087</v>
      </c>
      <c r="C220" s="313">
        <f>(1-C218)*E210/(D210+E210)</f>
        <v>0.12417762312668462</v>
      </c>
    </row>
    <row r="221" spans="2:5" hidden="1" outlineLevel="1"/>
    <row r="222" spans="2:5" hidden="1" outlineLevel="1">
      <c r="B222" s="1251" t="s">
        <v>1095</v>
      </c>
    </row>
    <row r="223" spans="2:5" hidden="1" outlineLevel="1">
      <c r="B223" s="1251" t="s">
        <v>1096</v>
      </c>
    </row>
    <row r="224" spans="2:5" hidden="1" outlineLevel="1"/>
    <row r="225" spans="2:10" ht="14.5" hidden="1" outlineLevel="1" thickBot="1">
      <c r="B225" s="1251" t="s">
        <v>565</v>
      </c>
    </row>
    <row r="226" spans="2:10" ht="43.5" hidden="1" outlineLevel="1">
      <c r="B226" s="123" t="s">
        <v>525</v>
      </c>
      <c r="C226" s="158" t="s">
        <v>1097</v>
      </c>
      <c r="D226" s="159" t="s">
        <v>1098</v>
      </c>
    </row>
    <row r="227" spans="2:10" ht="14.5" hidden="1" outlineLevel="1">
      <c r="B227" s="10" t="s">
        <v>1099</v>
      </c>
      <c r="C227" s="11">
        <v>0</v>
      </c>
      <c r="D227" s="17">
        <f>500</f>
        <v>500</v>
      </c>
    </row>
    <row r="228" spans="2:10" ht="14.5" hidden="1" outlineLevel="1">
      <c r="B228" s="10" t="s">
        <v>1100</v>
      </c>
      <c r="C228" s="11">
        <f>'Annexe - Logistique'!O12</f>
        <v>1000</v>
      </c>
      <c r="D228" s="17">
        <f>500</f>
        <v>500</v>
      </c>
    </row>
    <row r="229" spans="2:10" ht="15" hidden="1" outlineLevel="1" thickBot="1">
      <c r="B229" s="13" t="s">
        <v>1101</v>
      </c>
      <c r="C229" s="14">
        <f>'Annexe - Logistique'!P12</f>
        <v>1600</v>
      </c>
      <c r="D229" s="38">
        <f>500</f>
        <v>500</v>
      </c>
    </row>
    <row r="230" spans="2:10" hidden="1" outlineLevel="1"/>
    <row r="231" spans="2:10" ht="14.5" hidden="1" outlineLevel="1" thickBot="1">
      <c r="B231" s="1251" t="s">
        <v>546</v>
      </c>
    </row>
    <row r="232" spans="2:10" ht="58" hidden="1" outlineLevel="1">
      <c r="B232" s="123" t="s">
        <v>525</v>
      </c>
      <c r="C232" s="158" t="s">
        <v>1102</v>
      </c>
      <c r="D232" s="158" t="s">
        <v>1103</v>
      </c>
      <c r="E232" s="158" t="s">
        <v>1104</v>
      </c>
      <c r="F232" s="158" t="s">
        <v>1105</v>
      </c>
      <c r="G232" s="159" t="s">
        <v>1106</v>
      </c>
      <c r="I232" s="169" t="s">
        <v>1107</v>
      </c>
      <c r="J232" s="159" t="s">
        <v>1108</v>
      </c>
    </row>
    <row r="233" spans="2:10" ht="15" hidden="1" outlineLevel="1" thickBot="1">
      <c r="B233" s="10" t="s">
        <v>1011</v>
      </c>
      <c r="C233" s="618">
        <f>($C196+$D196)*($C$227+$D$227)*'Annexe - Logistique'!$D$30/10^6</f>
        <v>8.9707800000000011E-3</v>
      </c>
      <c r="D233" s="305">
        <f>($C196+$D196)*($C$228+$D$228)*'Annexe - Logistique'!$D$30/10^6</f>
        <v>2.691234E-2</v>
      </c>
      <c r="E233" s="305">
        <f>($C196+$D196)*($C$229+$D$229)*'Annexe - Logistique'!$D$30/10^6</f>
        <v>3.7677275999999996E-2</v>
      </c>
      <c r="F233" s="618">
        <f>D233*$C$219/($C$219+$C$220) + E233*$C$220/($C$219+$C$220)</f>
        <v>2.83976335173232E-2</v>
      </c>
      <c r="G233" s="622">
        <f>F233*($C$219+$C$220)+C233*$C$218</f>
        <v>2.6454948165590877E-2</v>
      </c>
      <c r="I233" s="1040">
        <f>D227*(SUMPRODUCT(C196:C200,C13:C17)+SUMPRODUCT(D196:D200,C13:C17))*'Annexe - Logistique'!$D$30/10^6</f>
        <v>11.664372543917224</v>
      </c>
      <c r="J233" s="431">
        <f>M18-I233</f>
        <v>22.734015448372368</v>
      </c>
    </row>
    <row r="234" spans="2:10" ht="14.5" hidden="1" outlineLevel="1">
      <c r="B234" s="604" t="s">
        <v>960</v>
      </c>
      <c r="C234" s="618">
        <f>($C197+$D197)*($C$227+$D$227)*'Annexe - Logistique'!$D$30/10^6</f>
        <v>5.0933000000000003E-3</v>
      </c>
      <c r="D234" s="305">
        <f>($C197+$D197)*($C$228+$D$228)*'Annexe - Logistique'!$D$30/10^6</f>
        <v>1.5279899999999999E-2</v>
      </c>
      <c r="E234" s="305">
        <f>($C197+$D197)*($C$229+$D$229)*'Annexe - Logistique'!$D$30/10^6</f>
        <v>2.1391860000000002E-2</v>
      </c>
      <c r="F234" s="618">
        <f>D234*$C$219/($C$219+$C$220) + E234*$C$220/($C$219+$C$220)</f>
        <v>1.6123198517161524E-2</v>
      </c>
      <c r="G234" s="622">
        <f>F234*($C$219+$C$220)+C234*$C$218</f>
        <v>1.5020208665445371E-2</v>
      </c>
    </row>
    <row r="235" spans="2:10" ht="14.5" hidden="1" outlineLevel="1">
      <c r="B235" s="604" t="s">
        <v>993</v>
      </c>
      <c r="C235" s="618">
        <f>($C198+$D198)*($C$227+$D$227)*'Annexe - Logistique'!$D$30/10^6</f>
        <v>4.5593249999999995E-3</v>
      </c>
      <c r="D235" s="305">
        <f>($C198+$D198)*($C$228+$D$228)*'Annexe - Logistique'!$D$30/10^6</f>
        <v>1.3677975E-2</v>
      </c>
      <c r="E235" s="305">
        <f>($C198+$D198)*($C$229+$D$229)*'Annexe - Logistique'!$D$30/10^6</f>
        <v>1.9149164999999999E-2</v>
      </c>
      <c r="F235" s="618">
        <f>D235*$C$219/($C$219+$C$220) + E235*$C$220/($C$219+$C$220)</f>
        <v>1.4432863188749428E-2</v>
      </c>
      <c r="G235" s="622">
        <f>F235*($C$219+$C$220)+C235*$C$218</f>
        <v>1.3445509369874485E-2</v>
      </c>
    </row>
    <row r="236" spans="2:10" ht="14.5" hidden="1" outlineLevel="1">
      <c r="B236" s="604" t="s">
        <v>1015</v>
      </c>
      <c r="C236" s="618">
        <f>($C199+$D199)*($C$227+$D$227)*'Annexe - Logistique'!$D$30/10^6</f>
        <v>4.5593249999999995E-3</v>
      </c>
      <c r="D236" s="305">
        <f>($C199+$D199)*($C$228+$D$228)*'Annexe - Logistique'!$D$30/10^6</f>
        <v>1.3677975E-2</v>
      </c>
      <c r="E236" s="305">
        <f>($C199+$D199)*($C$229+$D$229)*'Annexe - Logistique'!$D$30/10^6</f>
        <v>1.9149164999999999E-2</v>
      </c>
      <c r="F236" s="618">
        <f>D236*$C$219/($C$219+$C$220) + E236*$C$220/($C$219+$C$220)</f>
        <v>1.4432863188749428E-2</v>
      </c>
      <c r="G236" s="622">
        <f>F236*($C$219+$C$220)+C236*$C$218</f>
        <v>1.3445509369874485E-2</v>
      </c>
    </row>
    <row r="237" spans="2:10" ht="15" hidden="1" outlineLevel="1" thickBot="1">
      <c r="B237" s="605" t="s">
        <v>961</v>
      </c>
      <c r="C237" s="619">
        <f>($C200+$D200)*($C$227+$D$227)*'Annexe - Logistique'!$D$30/10^6</f>
        <v>4.1075E-3</v>
      </c>
      <c r="D237" s="141">
        <f>($C200+$D200)*($C$228+$D$228)*'Annexe - Logistique'!$D$30/10^6</f>
        <v>1.23225E-2</v>
      </c>
      <c r="E237" s="141">
        <f>($C200+$D200)*($C$229+$D$229)*'Annexe - Logistique'!$D$30/10^6</f>
        <v>1.7251499999999999E-2</v>
      </c>
      <c r="F237" s="619">
        <f>D237*$C$219/($C$219+$C$220) + E237*$C$220/($C$219+$C$220)</f>
        <v>1.3002579449323811E-2</v>
      </c>
      <c r="G237" s="623">
        <f>F237*($C$219+$C$220)+C237*$C$218</f>
        <v>1.2113071504391429E-2</v>
      </c>
    </row>
    <row r="238" spans="2:10" hidden="1" outlineLevel="1"/>
    <row r="239" spans="2:10" collapsed="1"/>
    <row r="240" spans="2:10" ht="20">
      <c r="B240" s="216" t="s">
        <v>553</v>
      </c>
    </row>
    <row r="242" spans="2:5" hidden="1" outlineLevel="1">
      <c r="B242" s="1251" t="s">
        <v>1109</v>
      </c>
    </row>
    <row r="243" spans="2:5" ht="14.5" hidden="1" outlineLevel="1" thickBot="1">
      <c r="B243" s="1251" t="s">
        <v>1110</v>
      </c>
    </row>
    <row r="244" spans="2:5" ht="14.5" hidden="1" outlineLevel="1">
      <c r="B244" s="123"/>
      <c r="C244" s="158" t="s">
        <v>73</v>
      </c>
      <c r="D244" s="158" t="s">
        <v>301</v>
      </c>
      <c r="E244" s="159" t="s">
        <v>70</v>
      </c>
    </row>
    <row r="245" spans="2:5" ht="14.5" hidden="1" outlineLevel="1">
      <c r="B245" s="10" t="s">
        <v>1111</v>
      </c>
      <c r="C245" s="11">
        <v>386</v>
      </c>
      <c r="D245" s="1266" t="s">
        <v>1112</v>
      </c>
      <c r="E245" s="1283" t="s">
        <v>449</v>
      </c>
    </row>
    <row r="246" spans="2:5" ht="15" hidden="1" outlineLevel="1" thickBot="1">
      <c r="B246" s="13" t="s">
        <v>1113</v>
      </c>
      <c r="C246" s="637">
        <v>-241</v>
      </c>
      <c r="D246" s="1267" t="s">
        <v>1112</v>
      </c>
      <c r="E246" s="1285" t="s">
        <v>449</v>
      </c>
    </row>
    <row r="247" spans="2:5" hidden="1" outlineLevel="1"/>
    <row r="248" spans="2:5" hidden="1" outlineLevel="1">
      <c r="B248" s="1251" t="s">
        <v>1114</v>
      </c>
      <c r="E248" s="87" t="s">
        <v>1115</v>
      </c>
    </row>
    <row r="249" spans="2:5" ht="14.5" hidden="1" outlineLevel="1" thickBot="1">
      <c r="B249" s="1251" t="s">
        <v>927</v>
      </c>
      <c r="E249" s="1251" t="s">
        <v>1116</v>
      </c>
    </row>
    <row r="250" spans="2:5" ht="29" hidden="1" outlineLevel="1">
      <c r="B250" s="123" t="s">
        <v>525</v>
      </c>
      <c r="C250" s="159" t="s">
        <v>1117</v>
      </c>
      <c r="E250" s="1251" t="s">
        <v>1118</v>
      </c>
    </row>
    <row r="251" spans="2:5" ht="14.5" hidden="1" outlineLevel="1">
      <c r="B251" s="10" t="s">
        <v>1011</v>
      </c>
      <c r="C251" s="620">
        <f>(C196+D196)*C$245*10^-6</f>
        <v>4.4680272E-2</v>
      </c>
      <c r="E251" s="1251" t="s">
        <v>1119</v>
      </c>
    </row>
    <row r="252" spans="2:5" ht="14.5" hidden="1" outlineLevel="1">
      <c r="B252" s="604" t="s">
        <v>960</v>
      </c>
      <c r="C252" s="620">
        <f>(C197+D197)*C$245*10^-6</f>
        <v>2.5367919999999999E-2</v>
      </c>
    </row>
    <row r="253" spans="2:5" ht="14.5" hidden="1" outlineLevel="1">
      <c r="B253" s="604" t="s">
        <v>993</v>
      </c>
      <c r="C253" s="620">
        <f>(C198+D198)*C$245*10^-6</f>
        <v>2.270838E-2</v>
      </c>
      <c r="E253" s="3" t="s">
        <v>1120</v>
      </c>
    </row>
    <row r="254" spans="2:5" ht="14.5" hidden="1" outlineLevel="1">
      <c r="B254" s="604" t="s">
        <v>1015</v>
      </c>
      <c r="C254" s="620">
        <f>(C199+D199)*C$245*10^-6</f>
        <v>2.270838E-2</v>
      </c>
      <c r="E254" s="87" t="s">
        <v>1121</v>
      </c>
    </row>
    <row r="255" spans="2:5" ht="15" hidden="1" outlineLevel="1" thickBot="1">
      <c r="B255" s="605" t="s">
        <v>961</v>
      </c>
      <c r="C255" s="621">
        <f>(C200+D200)*C$245*10^-6</f>
        <v>2.0458E-2</v>
      </c>
      <c r="E255" s="1251" t="s">
        <v>1122</v>
      </c>
    </row>
    <row r="256" spans="2:5" hidden="1" outlineLevel="1"/>
    <row r="257" spans="2:2" hidden="1" outlineLevel="1"/>
    <row r="258" spans="2:2" hidden="1" outlineLevel="1"/>
    <row r="259" spans="2:2" hidden="1" outlineLevel="1"/>
    <row r="260" spans="2:2" hidden="1" outlineLevel="1">
      <c r="B260" s="87" t="s">
        <v>1123</v>
      </c>
    </row>
    <row r="261" spans="2:2" hidden="1" outlineLevel="1">
      <c r="B261" t="s">
        <v>1124</v>
      </c>
    </row>
    <row r="262" spans="2:2" hidden="1" outlineLevel="1">
      <c r="B262" s="1251" t="s">
        <v>1125</v>
      </c>
    </row>
    <row r="263" spans="2:2" hidden="1" outlineLevel="1"/>
    <row r="264" spans="2:2" hidden="1" outlineLevel="1"/>
    <row r="265" spans="2:2" hidden="1" outlineLevel="1"/>
    <row r="266" spans="2:2" hidden="1" outlineLevel="1"/>
    <row r="267" spans="2:2" hidden="1" outlineLevel="1"/>
    <row r="268" spans="2:2" hidden="1" outlineLevel="1"/>
    <row r="269" spans="2:2" hidden="1" outlineLevel="1"/>
    <row r="270" spans="2:2" collapsed="1"/>
  </sheetData>
  <mergeCells count="13">
    <mergeCell ref="A1:XFD2"/>
    <mergeCell ref="B79:B81"/>
    <mergeCell ref="B82:B83"/>
    <mergeCell ref="E79:E81"/>
    <mergeCell ref="E82:E83"/>
    <mergeCell ref="J11:O11"/>
    <mergeCell ref="B123:B124"/>
    <mergeCell ref="C11:C12"/>
    <mergeCell ref="B11:B12"/>
    <mergeCell ref="D11:I11"/>
    <mergeCell ref="B119:B120"/>
    <mergeCell ref="B118:C118"/>
    <mergeCell ref="B121:B122"/>
  </mergeCells>
  <phoneticPr fontId="33" type="noConversion"/>
  <conditionalFormatting sqref="A1:XFD2">
    <cfRule type="containsBlanks" dxfId="18" priority="2">
      <formula>LEN(TRIM(A1))=0</formula>
    </cfRule>
  </conditionalFormatting>
  <conditionalFormatting sqref="D210:E210">
    <cfRule type="colorScale" priority="1">
      <colorScale>
        <cfvo type="min"/>
        <cfvo type="percentile" val="50"/>
        <cfvo type="max"/>
        <color rgb="FFFCFCFF"/>
        <color rgb="FFDDF0C8"/>
        <color rgb="FF63BE7B"/>
      </colorScale>
    </cfRule>
  </conditionalFormatting>
  <hyperlinks>
    <hyperlink ref="B41" r:id="rId1" display="https://www.anses.fr/fr/system/files/CONSO2018SA0023Ra.pdf" xr:uid="{113B46A5-23B7-4DF8-BCC8-BDA49B42911A}"/>
    <hyperlink ref="C41" r:id="rId2" display="https://www.insee.fr/fr/statistiques/1893198" xr:uid="{39599F66-5CED-4664-AB08-60ABF0072325}"/>
    <hyperlink ref="B47" r:id="rId3" display="https://www.anses.fr/fr/system/files/CONSO2018SA0023Ra.pdf" xr:uid="{642D37F7-27DC-4347-9459-22D0AA2CD61B}"/>
    <hyperlink ref="B76" r:id="rId4" display="https://www.edana.org/docs/default-source/sustainability/edana-sustainability-report---2015.pdf" xr:uid="{73939FEF-6863-4CBE-8A66-1ED616A37E40}"/>
    <hyperlink ref="J67" r:id="rId5" display="https://api.environdec.com/api/v1/EPDLibrary/Files/6cbd0723-1396-470a-e7e4-08dce2df59bc/Data" xr:uid="{713A037B-AE31-4CD4-99D6-D4A9F8DB549D}"/>
    <hyperlink ref="J68" r:id="rId6" display="https://api.environdec.com/api/v1/EPDLibrary/Files/079e672e-48f6-4cf9-ae1d-08dcd72a0726/Data" xr:uid="{6DA338E5-0A66-4E17-8BB2-B9312673D0B7}"/>
    <hyperlink ref="J69" r:id="rId7" display="https://api.environdec.com/api/v1/EPDLibrary/Files/50eba46d-c551-4bc5-c058-08dcf74c4a94/Data" xr:uid="{20C3B5DD-CF87-4D9C-A6F9-1B773F57F64D}"/>
    <hyperlink ref="E74" r:id="rId8" display="https://susproc.jrc.ec.europa.eu/product-bureau/sites/default/files/2022-06/LCA screening study on AHP_update April 2022.pdf" xr:uid="{58F812D3-7877-446A-B0FE-63E4D121470C}"/>
    <hyperlink ref="J66" r:id="rId9" display="https://www.edana.org/docs/default-source/sustainability/edana-sustainability-report---2015.pdf" xr:uid="{3374FC32-47C4-45DE-952C-28DD7AFCA39D}"/>
    <hyperlink ref="J71" r:id="rId10" display="https://api.environdec.com/api/v1/EPDLibrary/Files/c51bbf9e-0c2d-49b8-9705-08dcd7053c2c/Data" xr:uid="{CE785CC9-6D26-4A6F-808B-AF764B2390CE}"/>
    <hyperlink ref="J70" r:id="rId11" display="https://api.environdec.com/api/v1/EPDLibrary/Files/4e8a601c-d777-4076-93d4-08dc3c72202b/Data" xr:uid="{6F9D6AAA-0580-4FE9-931C-EE24C3B63B31}"/>
    <hyperlink ref="J72" r:id="rId12" display="https://api.environdec.com/api/v1/EPDLibrary/Files/1d9dfc7e-8f0c-435e-1d20-08dcd6e296f9/Data" xr:uid="{298C91E1-E794-4298-BFF2-5AA787A37307}"/>
    <hyperlink ref="E100" r:id="rId13" display="https://opendata.agenceore.fr/explore/dataset/conso-elec-gaz-annuelle-par-naf-agregee-commune/table/?refine.libelle_categorie_consommation=Entreprises&amp;refine.libelle_grand_secteur=Industrie&amp;sort=conso&amp;dataChart=eyJxdWVyaWVzIjpbeyJjaGFydHMiOlt7InR5cGUiOiJjb2x1bW4iLCJmdW5jIjoiU1VNIiwieUF4aXMiOiJjb25zbyIsInNjaWVudGlmaWNEaXNwbGF5Ijp0cnVlLCJjb2xvciI6InJhbmdlLWN1c3RvbSJ9XSwieEF4aXMiOiJhbm5lZSIsIm1heHBvaW50cyI6IiIsInRpbWVzY2FsZSI6InllYXIiLCJzb3J0IjoiIiwic2VyaWVzQnJlYWtkb3duIjoiZmlsaWVyZSIsImNvbmZpZyI6eyJkYXRhc2V0IjoiY29uc28tZWxlYy1nYXotYW5udWVsbGUtcGFyLW5hZi1hZ3JlZ2VlLWNvbW11bmUiLCJvcHRpb25zIjp7InJlZmluZS5hbm5lZSI6IjIwMjEiLCJyZWZpbmUubGliZWxsZV9jYXRlZ29yaWVfY29uc29tbWF0aW9uIjoiRW50cmVwcmlzZXMiLCJyZWZpbmUubGliZWxsZV9ncmFuZF9zZWN0ZXVyIjoiSW5kdXN0cmllIiwicmVmaW5lLmxpYmVsbGVfc2VjdGV1cl9uYWYyIjoiQXV0cmVzIGluZHVzdHJpZXMgbWFudWZhY3R1cmlcdTAwRThyZXMifX19XSwiZGlzcGxheUxlZ2VuZCI6dHJ1ZSwiYWxpZ25Nb250aCI6dHJ1ZX0%3D&amp;refine.libelle_secteur_naf2=Industrie+du+papier+et+du+carton&amp;refine.code_departement=68&amp;refine.libelle_commune=Li%C3%A8pvre" xr:uid="{9CBE5345-126E-4955-B177-678CED8C291D}"/>
    <hyperlink ref="E101" r:id="rId14" display="https://www.lesechos.fr/2016/12/hygiene-ontex-ouvre-une-usine-ultramoderne-a-dourges-235665" xr:uid="{0DC78543-6F86-478F-8283-5F5A38DE186F}"/>
    <hyperlink ref="E103" r:id="rId15" location=":~:text=HARTMANN%20France%20a%20diminu%C3%A9%20son,de%20ces%205%20derni%C3%A8res%20ann%C3%A9es." display="https://www.hartmann.fr/portail/entreprise/actualites/engagement-rse-hartmann-2022.htm - :~:text=HARTMANN%20France%20a%20diminu%C3%A9%20son,de%20ces%205%20derni%C3%A8res%20ann%C3%A9es." xr:uid="{9B3181D3-654A-4E38-9E0E-4FE03BC772B2}"/>
    <hyperlink ref="E105" r:id="rId16" display="https://opendata.agenceore.fr/explore/dataset/conso-elec-gaz-annuelle-par-naf-agregee-commune/table/?refine.libelle_categorie_consommation=Entreprises&amp;refine.libelle_grand_secteur=Industrie&amp;sort=conso&amp;dataChart=eyJxdWVyaWVzIjpbeyJjaGFydHMiOlt7InR5cGUiOiJjb2x1bW4iLCJmdW5jIjoiU1VNIiwieUF4aXMiOiJjb25zbyIsInNjaWVudGlmaWNEaXNwbGF5Ijp0cnVlLCJjb2xvciI6InJhbmdlLWN1c3RvbSJ9XSwieEF4aXMiOiJhbm5lZSIsIm1heHBvaW50cyI6IiIsInRpbWVzY2FsZSI6InllYXIiLCJzb3J0IjoiIiwic2VyaWVzQnJlYWtkb3duIjoiZmlsaWVyZSIsImNvbmZpZyI6eyJkYXRhc2V0IjoiY29uc28tZWxlYy1nYXotYW5udWVsbGUtcGFyLW5hZi1hZ3JlZ2VlLWNvbW11bmUiLCJvcHRpb25zIjp7InJlZmluZS5hbm5lZSI6IjIwMjEiLCJyZWZpbmUubGliZWxsZV9jYXRlZ29yaWVfY29uc29tbWF0aW9uIjoiRW50cmVwcmlzZXMiLCJyZWZpbmUubGliZWxsZV9ncmFuZF9zZWN0ZXVyIjoiSW5kdXN0cmllIiwicmVmaW5lLmxpYmVsbGVfc2VjdGV1cl9uYWYyIjoiQXV0cmVzIGluZHVzdHJpZXMgbWFudWZhY3R1cmlcdTAwRThyZXMifX19XSwiZGlzcGxheUxlZ2VuZCI6dHJ1ZSwiYWxpZ25Nb250aCI6dHJ1ZX0%3D&amp;refine.code_departement=62&amp;refine.libelle_commune=Rouvroy&amp;refine.libelle_secteur_naf2=Industrie+du+papier+et+du+carton" xr:uid="{F21CD028-7753-4EAD-B93B-6346DBC2BEB7}"/>
    <hyperlink ref="E107" r:id="rId17" display="https://amd-incontinence.com/amd/sites-de-productions/" xr:uid="{BE3F0C96-B10F-4E01-9A52-CCB2C27534D2}"/>
    <hyperlink ref="E106" r:id="rId18" display="https://opendata.agenceore.fr/explore/dataset/conso-elec-gaz-annuelle-par-naf-agregee-commune/table/?refine.libelle_categorie_consommation=Entreprises&amp;refine.libelle_grand_secteur=Industrie&amp;sort=conso&amp;dataChart=eyJxdWVyaWVzIjpbeyJjaGFydHMiOlt7InR5cGUiOiJjb2x1bW4iLCJmdW5jIjoiU1VNIiwieUF4aXMiOiJjb25zbyIsInNjaWVudGlmaWNEaXNwbGF5Ijp0cnVlLCJjb2xvciI6InJhbmdlLWN1c3RvbSJ9XSwieEF4aXMiOiJhbm5lZSIsIm1heHBvaW50cyI6IiIsInRpbWVzY2FsZSI6InllYXIiLCJzb3J0IjoiIiwic2VyaWVzQnJlYWtkb3duIjoiZmlsaWVyZSIsImNvbmZpZyI6eyJkYXRhc2V0IjoiY29uc28tZWxlYy1nYXotYW5udWVsbGUtcGFyLW5hZi1hZ3JlZ2VlLWNvbW11bmUiLCJvcHRpb25zIjp7InJlZmluZS5hbm5lZSI6IjIwMjEiLCJyZWZpbmUubGliZWxsZV9jYXRlZ29yaWVfY29uc29tbWF0aW9uIjoiRW50cmVwcmlzZXMiLCJyZWZpbmUubGliZWxsZV9ncmFuZF9zZWN0ZXVyIjoiSW5kdXN0cmllIiwicmVmaW5lLmxpYmVsbGVfc2VjdGV1cl9uYWYyIjoiQXV0cmVzIGluZHVzdHJpZXMgbWFudWZhY3R1cmlcdTAwRThyZXMifX19XSwiZGlzcGxheUxlZ2VuZCI6dHJ1ZSwiYWxpZ25Nb250aCI6dHJ1ZX0%3D&amp;refine.code_departement=62&amp;refine.libelle_commune=Rouvroy&amp;refine.libelle_secteur_naf2=Industrie+du+papier+et+du+carton" xr:uid="{820A513F-6A24-4181-A58D-E33B98DB8C61}"/>
    <hyperlink ref="E156" r:id="rId19" display="https://www.lesechos.fr/2016/12/hygiene-ontex-ouvre-une-usine-ultramoderne-a-dourges-235665" xr:uid="{51076993-B821-4A94-9515-B0A147CFB9EF}"/>
    <hyperlink ref="E159" r:id="rId20" display="https://amd-incontinence.com/amd/sites-de-productions/" xr:uid="{94FDBBFC-FC4C-4E5A-AFA6-5244B3C249D0}"/>
    <hyperlink ref="E155" r:id="rId21" display="https://www.lesechos.fr/2016/12/hygiene-ontex-ouvre-une-usine-ultramoderne-a-dourges-235665" xr:uid="{F942760C-6093-4968-9BD2-02A0F2A3B807}"/>
    <hyperlink ref="E158" r:id="rId22" display="https://amd-incontinence.com/amd/sites-de-productions/" xr:uid="{44684C9D-CD1C-4EEC-BAFD-AE9573F9C5BC}"/>
    <hyperlink ref="C214" r:id="rId23" display="https://www.turennecapital.com/special-made-in-france-la-pme-naturopera-lance-officiellement-son-projet-dusine-eco-responsable-dediee-a-la-production-de-couches-ecologiques/" xr:uid="{42FAD303-4659-4F77-83DE-41CBDCC8D783}"/>
    <hyperlink ref="E248" r:id="rId24" xr:uid="{3154280C-CFE2-4EAE-8AE7-B40B40708DB0}"/>
    <hyperlink ref="E254" r:id="rId25" display="https://www.beleidsplanning.nl/documents/en/CE_Delft_2M03_LCA_of_waste_treatment_of_diaper_material_Def.pdf" xr:uid="{2D3A95CF-53C2-44D9-8736-49E3811378D5}"/>
    <hyperlink ref="B260" r:id="rId26" display="https://librairie.ademe.fr/ged/8030/Prefiguration-Filiere-REP-TSUU-synthese-v2.pdf" xr:uid="{D6C91A3E-D69F-4B42-8DE1-1CF417805D4F}"/>
  </hyperlinks>
  <pageMargins left="0.7" right="0.7" top="0.75" bottom="0.75" header="0.3" footer="0.3"/>
  <pageSetup paperSize="9" orientation="portrait" r:id="rId27"/>
  <drawing r:id="rId2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e249ac2a-b211-4fea-a23e-058f661af758">
      <Terms xmlns="http://schemas.microsoft.com/office/infopath/2007/PartnerControls"/>
    </lcf76f155ced4ddcb4097134ff3c332f>
    <TaxCatchAll xmlns="8f1b8a44-2e81-425d-8025-2e5e0436f25e" xsi:nil="true"/>
  </documentManagement>
</p:properties>
</file>

<file path=customXml/item3.xml>��< ? x m l   v e r s i o n = " 1 . 0 "   e n c o d i n g = " U T F - 1 6 "   s t a n d a l o n e = " n o " ? > < D a t a M a s h u p   x m l n s = " h t t p : / / s c h e m a s . m i c r o s o f t . c o m / D a t a M a s h u p " > A A A A A A k G A A B Q S w M E F A A G A A g A A A A h A C r d q k D S A A A A N w E A A B M A C A J b Q 2 9 u d G V u d F 9 U e X B l c 1 0 u e G 1 s I K I E A i i g A A I 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y P v U 7 E M B C E e y T e w d r + s o E C I Z T k C n 5 K u O J 4 g J W z y V n Y a 8 t e U O 7 t c S 5 U Q L k / M 9 9 M t 1 + C N 1 + c i 4 v S w 0 3 T g m G x c X Q y 9 / B + f N n d g y l K M p K P w j 2 c u c B + u L 7 q j u f E x V S 1 l B 5 O q u k B s d g T B y p N T C z 1 M s U c S O u Y Z 0 x k P 2 h m v G 3 b O 7 R R l E V 3 u n r A 0 D 3 x R J 9 e z f N S 1 1 u S A O Z x + 1 p B P S g v i s m T E 8 B / B Z X 3 S 0 I p e W d J a z N c r 1 X 3 V p t m N 7 I 5 U N Z X C t U Y K 2 Z y M x 6 2 g M 1 f n w v 6 x w A v t Y d v A A A A / / 8 D A F B L A w Q U A A I A C A A A A C E A 2 a 9 6 7 a 4 A A A D 4 A A A A E g A A A E N v b m Z p Z y 9 Q Y W N r Y W d l L n h t b H q / e 7 + N f U V u j k J Z a l F x Z n 6 e r Z K h n o G S Q n F J Y l 5 K Y k 5 + X q q t U l 6 + k r 0 d L 5 d N Q G J y d m J 6 q g J Q d V 6 x V U V x i q 1 S R k l J g Z W + f n l 5 u V 6 5 s V 5 + U b q + k Y G B o X 6 E r 0 9 w c k Z q b q I S X H E m Y c W 6 m X k g a 5 N T l e x s w i C u s T P S s z T T M 7 Q 0 M z P S M 7 D R h 4 n a + G b m I V Q Y A V 0 M k k U S t H E u z S k p L U q 1 S y v S d Q u y 0 Y d x b f S h n r A D A A A A / / 8 D A F B L A w Q U A A I A C A A A A C E A m 9 K o h R c B A A A T A w A A E w A A A E Z v c m 1 1 b G F z L 1 N l Y 3 R p b 2 4 x L m 3 s k U F L w z A U x + + F f o c Q L y 2 U p h s 4 R R k i 9 e J B G G z i Y X h I u 2 y L N O + V 5 N U 6 S j + Q n 8 M v Z r p 6 k e 3 s y V w S f n m 8 / y 9 5 T p W k E d h y 3 C e 3 Y R A G b i + t 2 r A L v p J F p V j G 2 Z x V i s K A + b X E x p b K k x d V p A u 5 U 9 F w y B F I A b m I 7 4 l q d y N E 2 7 Y p l I V O o T I p 6 H 2 6 w 3 d R m 1 J I S 7 q s l B O L p / x 6 c p n N p l e C h i D h 4 2 b i z q o a L c 2 x e P N O C N W B x 3 E y Z j 9 I k p m P H h 2 6 r F 8 P 5 P X n 1 v s e a s U M b v R W f 3 0 O 1 s c H p C s r w W 3 R m h y r x s B Q 5 a J j r 6 T r e I 6 m R v D y P G E 0 N C D 1 Q X 3 C O v 4 I d U P u B N 8 b b M 5 U P 4 M + h a P p L 9 z H Y a D h v P L Z 7 2 f R N P 4 f w Z + N 4 B s A A P / / A w B Q S w E C L Q A U A A Y A C A A A A C E A K t 2 q Q N I A A A A 3 A Q A A E w A A A A A A A A A A A A A A A A A A A A A A W 0 N v b n R l b n R f V H l w Z X N d L n h t b F B L A Q I t A B Q A A g A I A A A A I Q D Z r 3 r t r g A A A P g A A A A S A A A A A A A A A A A A A A A A A A s D A A B D b 2 5 m a W c v U G F j a 2 F n Z S 5 4 b W x Q S w E C L Q A U A A I A C A A A A C E A m 9 K o h R c B A A A T A w A A E w A A A A A A A A A A A A A A A A D p A w A A R m 9 y b X V s Y X M v U 2 V j d G l v b j E u b V B L B Q Y A A A A A A w A D A M I A A A A x B Q A A A A A R A Q A A 7 7 u / P D 9 4 b W w g d m V y c 2 l v b j 0 i M S 4 w I i B z d G F u Z G F s b 2 5 l P S J u b y I / P g 0 K P F B l c m 1 p c 3 N p b 2 5 M a X N 0 I H h t b G 5 z O n h z Z D 0 i a H R 0 c D o v L 3 d 3 d y 5 3 M y 5 v c m c v M j A w M S 9 Y T U x T Y 2 h l b W E i I H h t b G 5 z O n h z a T 0 i a H R 0 c D o v L 3 d 3 d y 5 3 M y 5 v c m c v M j A w M S 9 Y T U x T Y 2 h l b W E t a W 5 z d G F u Y 2 U i P j x D Y W 5 F d m F s d W F 0 Z U Z 1 d H V y Z V B h Y 2 t h Z 2 V z P m Z h b H N l P C 9 D Y W 5 F d m F s d W F 0 Z U Z 1 d H V y Z V B h Y 2 t h Z 2 V z P j x G a X J l d 2 F s b E V u Y W J s Z W Q + d H J 1 Z T w v R m l y Z X d h b G x F b m F i b G V k P j w v U G V y b W l z c 2 l v b k x p c 3 Q + O R M A A A A A A A A X E w A A 7 7 u / P D 9 4 b W w g d m V y c 2 l v b j 0 i M S 4 w I i B z d G F u Z G F s b 2 5 l P S J u b y I / P g 0 K P E x v Y 2 F s U G F j a 2 F n Z U 1 l d G F k Y X R h R m l s Z S B 4 b W x u c z p 4 c 2 Q 9 I m h 0 d H A 6 L y 9 3 d 3 c u d z M u b 3 J n L z I w M D E v W E 1 M U 2 N o Z W 1 h I i B 4 b W x u c z p 4 c 2 k 9 I m h 0 d H A 6 L y 9 3 d 3 c u d z M u b 3 J n L z I w M D E v W E 1 M U 2 N o Z W 1 h L W l u c 3 R h b m N l I j 4 8 S X R l b X M + P E l 0 Z W 0 + P E l 0 Z W 1 M b 2 N h d G l v b j 4 8 S X R l b V R 5 c G U + R m 9 y b X V s Y T w v S X R l b V R 5 c G U + P E l 0 Z W 1 Q Y X R o P l N l Y 3 R p b 2 4 x L 1 R h Y m x l J T I w M D w v S X R l b V B h d G g + P C 9 J d G V t T G 9 j Y X R p b 2 4 + P F N 0 Y W J s Z U V u d H J p Z X M + P E V u d H J 5 I F R 5 c G U 9 I k F k Z G V k V G 9 E Y X R h T W 9 k Z W w i I F Z h b H V l P S J s M C I v P j x F b n R y e S B U e X B l P S J C d W Z m Z X J O Z X h 0 U m V m c m V z a C I g V m F s d W U 9 I m w x I i 8 + P E V u d H J 5 I F R 5 c G U 9 I k Z p b G x D b 3 V u d C I g V m F s d W U 9 I m w y M S I v P j x F b n R y e S B U e X B l P S J G a W x s R W 5 h Y m x l Z C I g V m F s d W U 9 I m w w I i 8 + P E V u d H J 5 I F R 5 c G U 9 I k Z p b G x F c n J v c k N v Z G U i I F Z h b H V l P S J z V W 5 r b m 9 3 b i I v P j x F b n R y e S B U e X B l P S J G a W x s R X J y b 3 J D b 3 V u d C I g V m F s d W U 9 I m w w I i 8 + P E V u d H J 5 I F R 5 c G U 9 I k Z p b G x M Y X N 0 V X B k Y X R l Z C I g V m F s d W U 9 I m Q y M D I 0 L T A 5 L T A 2 V D E 1 O j U y O j Q 2 L j k 1 M D Y 1 N D N a I i 8 + P E V u d H J 5 I F R 5 c G U 9 I k Z p b G x D b 2 x 1 b W 5 U e X B l c y I g V m F s d W U 9 I n N C Z 1 l H Q m d Z P S I v P j x F b n R y e S B U e X B l P S J G a W x s Q 2 9 s d W 1 u T m F t Z X M i I F Z h b H V l P S J z W y Z x d W 9 0 O 0 N v b X B v b m V u d C Z x d W 9 0 O y w m c X V v d D t J b n B 1 d H M m c X V v d D s s J n F 1 b 3 Q 7 Q W 1 v d W 5 0 J n F 1 b 3 Q 7 L C Z x d W 9 0 O 1 V u a X Q m c X V v d D s s J n F 1 b 3 Q 7 U 2 9 1 c m N l J n F 1 b 3 Q 7 X S I v P j x F b n R y e S B U e X B l P S J G a W x s Z W R D b 2 1 w b G V 0 Z V J l c 3 V s d F R v V 2 9 y a 3 N o Z W V 0 I i B W Y W x 1 Z T 0 i b D E i L z 4 8 R W 5 0 c n k g V H l w Z T 0 i R m l s b F N 0 Y X R 1 c y I g V m F s d W U 9 I n N D b 2 1 w b G V 0 Z S I v P j x F b n R y e S B U e X B l P S J G a W x s V G 9 E Y X R h T W 9 k Z W x F b m F i b G V k I i B W Y W x 1 Z T 0 i b D A i L z 4 8 R W 5 0 c n k g V H l w Z T 0 i S X N Q c m l 2 Y X R l I i B W Y W x 1 Z T 0 i b D A i L z 4 8 R W 5 0 c n k g V H l w Z T 0 i U m V s Y X R p b 2 5 z a G l w S W 5 m b 0 N v b n R h a W 5 l c i I g V m F s d W U 9 I n N 7 J n F 1 b 3 Q 7 Y 2 9 s d W 1 u Q 2 9 1 b n Q m c X V v d D s 6 N S w m c X V v d D t r Z X l D b 2 x 1 b W 5 O Y W 1 l c y Z x d W 9 0 O z p b X S w m c X V v d D t x d W V y e V J l b G F 0 a W 9 u c 2 h p c H M m c X V v d D s 6 W 1 0 s J n F 1 b 3 Q 7 Y 2 9 s d W 1 u S W R l b n R p d G l l c y Z x d W 9 0 O z p b J n F 1 b 3 Q 7 U 2 V j d G l v b j E v V G F i b G U g M C 9 U e X B l I G 1 v Z G l m a c O p L n t D b 2 1 w b 2 5 l b n Q s M H 0 m c X V v d D s s J n F 1 b 3 Q 7 U 2 V j d G l v b j E v V G F i b G U g M C 9 U e X B l I G 1 v Z G l m a c O p L n t J b n B 1 d H M s M X 0 m c X V v d D s s J n F 1 b 3 Q 7 U 2 V j d G l v b j E v V G F i b G U g M C 9 U e X B l I G 1 v Z G l m a c O p L n t B b W 9 1 b n Q s M n 0 m c X V v d D s s J n F 1 b 3 Q 7 U 2 V j d G l v b j E v V G F i b G U g M C 9 U e X B l I G 1 v Z G l m a c O p L n t V b m l 0 L D N 9 J n F 1 b 3 Q 7 L C Z x d W 9 0 O 1 N l Y 3 R p b 2 4 x L 1 R h Y m x l I D A v V H l w Z S B t b 2 R p Z m n D q S 5 7 U 2 9 1 c m N l L D R 9 J n F 1 b 3 Q 7 X S w m c X V v d D t D b 2 x 1 b W 5 D b 3 V u d C Z x d W 9 0 O z o 1 L C Z x d W 9 0 O 0 t l e U N v b H V t b k 5 h b W V z J n F 1 b 3 Q 7 O l t d L C Z x d W 9 0 O 0 N v b H V t b k l k Z W 5 0 a X R p Z X M m c X V v d D s 6 W y Z x d W 9 0 O 1 N l Y 3 R p b 2 4 x L 1 R h Y m x l I D A v V H l w Z S B t b 2 R p Z m n D q S 5 7 Q 2 9 t c G 9 u Z W 5 0 L D B 9 J n F 1 b 3 Q 7 L C Z x d W 9 0 O 1 N l Y 3 R p b 2 4 x L 1 R h Y m x l I D A v V H l w Z S B t b 2 R p Z m n D q S 5 7 S W 5 w d X R z L D F 9 J n F 1 b 3 Q 7 L C Z x d W 9 0 O 1 N l Y 3 R p b 2 4 x L 1 R h Y m x l I D A v V H l w Z S B t b 2 R p Z m n D q S 5 7 Q W 1 v d W 5 0 L D J 9 J n F 1 b 3 Q 7 L C Z x d W 9 0 O 1 N l Y 3 R p b 2 4 x L 1 R h Y m x l I D A v V H l w Z S B t b 2 R p Z m n D q S 5 7 V W 5 p d C w z f S Z x d W 9 0 O y w m c X V v d D t T Z W N 0 a W 9 u M S 9 U Y W J s Z S A w L 1 R 5 c G U g b W 9 k a W Z p w 6 k u e 1 N v d X J j Z S w 0 f S Z x d W 9 0 O 1 0 s J n F 1 b 3 Q 7 U m V s Y X R p b 2 5 z a G l w S W 5 m b y Z x d W 9 0 O z p b X X 0 i L z 4 8 R W 5 0 c n k g V H l w Z T 0 i U m V z d W x 0 V H l w Z S I g V m F s d W U 9 I n N U Y W J s Z S I v P j x F b n R y e S B U e X B l P S J G a W x s T 2 J q Z W N 0 V H l w Z S I g V m F s d W U 9 I n N D b 2 5 u Z W N 0 a W 9 u T 2 5 s e S I v P j x F b n R y e S B U e X B l P S J O Y W 1 l V X B k Y X R l Z E F m d G V y R m l s b C I g V m F s d W U 9 I m w w I i 8 + P C 9 T d G F i b G V F b n R y a W V z P j w v S X R l b T 4 8 S X R l b T 4 8 S X R l b U x v Y 2 F 0 a W 9 u P j x J d G V t V H l w Z T 5 G b 3 J t d W x h P C 9 J d G V t V H l w Z T 4 8 S X R l b V B h d G g + U 2 V j d G l v b j E v V G F i b G U l M j A w J T I w K D I p P C 9 J d G V t U G F 0 a D 4 8 L 0 l 0 Z W 1 M b 2 N h d G l v b j 4 8 U 3 R h Y m x l R W 5 0 c m l l c z 4 8 R W 5 0 c n k g V H l w Z T 0 i Q W R k Z W R U b 0 R h d G F N b 2 R l b C I g V m F s d W U 9 I m w w I i 8 + P E V u d H J 5 I F R 5 c G U 9 I k J 1 Z m Z l c k 5 l e H R S Z W Z y Z X N o I i B W Y W x 1 Z T 0 i b D E i L z 4 8 R W 5 0 c n k g V H l w Z T 0 i R m l s b E N v d W 5 0 I i B W Y W x 1 Z T 0 i b D I x I i 8 + P E V u d H J 5 I F R 5 c G U 9 I k Z p b G x F b m F i b G V k I i B W Y W x 1 Z T 0 i b D A i L z 4 8 R W 5 0 c n k g V H l w Z T 0 i R m l s b E V y c m 9 y Q 2 9 k Z S I g V m F s d W U 9 I n N V b m t u b 3 d u I i 8 + P E V u d H J 5 I F R 5 c G U 9 I k Z p b G x F c n J v c k N v d W 5 0 I i B W Y W x 1 Z T 0 i b D A i L z 4 8 R W 5 0 c n k g V H l w Z T 0 i R m l s b E x h c 3 R V c G R h d G V k I i B W Y W x 1 Z T 0 i Z D I w M j Q t M D k t M D Z U M T U 6 N T I 6 N D Y u O T U w N j U 0 M 1 o i L z 4 8 R W 5 0 c n k g V H l w Z T 0 i R m l s b E N v b H V t b l R 5 c G V z I i B W Y W x 1 Z T 0 i c 0 J n W U d C Z 1 k 9 I i 8 + P E V u d H J 5 I F R 5 c G U 9 I k Z p b G x D b 2 x 1 b W 5 O Y W 1 l c y I g V m F s d W U 9 I n N b J n F 1 b 3 Q 7 Q 2 9 t c G 9 u Z W 5 0 J n F 1 b 3 Q 7 L C Z x d W 9 0 O 0 l u c H V 0 c y Z x d W 9 0 O y w m c X V v d D t B b W 9 1 b n Q m c X V v d D s s J n F 1 b 3 Q 7 V W 5 p d C Z x d W 9 0 O y w m c X V v d D t T b 3 V y Y 2 U m c X V v d D t d I i 8 + P E V u d H J 5 I F R 5 c G U 9 I k Z p b G x l Z E N v b X B s Z X R l U m V z d W x 0 V G 9 X b 3 J r c 2 h l Z X Q i I F Z h b H V l P S J s M S I v P j x F b n R y e S B U e X B l P S J G a W x s U 3 R h d H V z I i B W Y W x 1 Z T 0 i c 0 N v b X B s Z X R l I i 8 + P E V u d H J 5 I F R 5 c G U 9 I k Z p b G x U b 0 R h d G F N b 2 R l b E V u Y W J s Z W Q i I F Z h b H V l P S J s M C I v P j x F b n R y e S B U e X B l P S J J c 1 B y a X Z h d G U i I F Z h b H V l P S J s M C I v P j x F b n R y e S B U e X B l P S J S Z W x h d G l v b n N o a X B J b m Z v Q 2 9 u d G F p b m V y I i B W Y W x 1 Z T 0 i c 3 s m c X V v d D t j b 2 x 1 b W 5 D b 3 V u d C Z x d W 9 0 O z o 1 L C Z x d W 9 0 O 2 t l e U N v b H V t b k 5 h b W V z J n F 1 b 3 Q 7 O l t d L C Z x d W 9 0 O 3 F 1 Z X J 5 U m V s Y X R p b 2 5 z a G l w c y Z x d W 9 0 O z p b X S w m c X V v d D t j b 2 x 1 b W 5 J Z G V u d G l 0 a W V z J n F 1 b 3 Q 7 O l s m c X V v d D t T Z W N 0 a W 9 u M S 9 U Y W J s Z S A w L 1 R 5 c G U g b W 9 k a W Z p w 6 k u e 0 N v b X B v b m V u d C w w f S Z x d W 9 0 O y w m c X V v d D t T Z W N 0 a W 9 u M S 9 U Y W J s Z S A w L 1 R 5 c G U g b W 9 k a W Z p w 6 k u e 0 l u c H V 0 c y w x f S Z x d W 9 0 O y w m c X V v d D t T Z W N 0 a W 9 u M S 9 U Y W J s Z S A w L 1 R 5 c G U g b W 9 k a W Z p w 6 k u e 0 F t b 3 V u d C w y f S Z x d W 9 0 O y w m c X V v d D t T Z W N 0 a W 9 u M S 9 U Y W J s Z S A w L 1 R 5 c G U g b W 9 k a W Z p w 6 k u e 1 V u a X Q s M 3 0 m c X V v d D s s J n F 1 b 3 Q 7 U 2 V j d G l v b j E v V G F i b G U g M C 9 U e X B l I G 1 v Z G l m a c O p L n t T b 3 V y Y 2 U s N H 0 m c X V v d D t d L C Z x d W 9 0 O 0 N v b H V t b k N v d W 5 0 J n F 1 b 3 Q 7 O j U s J n F 1 b 3 Q 7 S 2 V 5 Q 2 9 s d W 1 u T m F t Z X M m c X V v d D s 6 W 1 0 s J n F 1 b 3 Q 7 Q 2 9 s d W 1 u S W R l b n R p d G l l c y Z x d W 9 0 O z p b J n F 1 b 3 Q 7 U 2 V j d G l v b j E v V G F i b G U g M C 9 U e X B l I G 1 v Z G l m a c O p L n t D b 2 1 w b 2 5 l b n Q s M H 0 m c X V v d D s s J n F 1 b 3 Q 7 U 2 V j d G l v b j E v V G F i b G U g M C 9 U e X B l I G 1 v Z G l m a c O p L n t J b n B 1 d H M s M X 0 m c X V v d D s s J n F 1 b 3 Q 7 U 2 V j d G l v b j E v V G F i b G U g M C 9 U e X B l I G 1 v Z G l m a c O p L n t B b W 9 1 b n Q s M n 0 m c X V v d D s s J n F 1 b 3 Q 7 U 2 V j d G l v b j E v V G F i b G U g M C 9 U e X B l I G 1 v Z G l m a c O p L n t V b m l 0 L D N 9 J n F 1 b 3 Q 7 L C Z x d W 9 0 O 1 N l Y 3 R p b 2 4 x L 1 R h Y m x l I D A v V H l w Z S B t b 2 R p Z m n D q S 5 7 U 2 9 1 c m N l L D R 9 J n F 1 b 3 Q 7 X S w m c X V v d D t S Z W x h d G l v b n N o a X B J b m Z v J n F 1 b 3 Q 7 O l t d f S I v P j x F b n R y e S B U e X B l P S J S Z X N 1 b H R U e X B l I i B W Y W x 1 Z T 0 i c 1 R h Y m x l I i 8 + P E V u d H J 5 I F R 5 c G U 9 I k Z p b G x P Y m p l Y 3 R U e X B l I i B W Y W x 1 Z T 0 i c 0 N v b m 5 l Y 3 R p b 2 5 P b m x 5 I i 8 + P E V u d H J 5 I F R 5 c G U 9 I k x v Y W R l Z F R v Q W 5 h b H l z a X N T Z X J 2 a W N l c y I g V m F s d W U 9 I m w w I i 8 + P C 9 T d G F i b G V F b n R y a W V z P j w v S X R l b T 4 8 S X R l b T 4 8 S X R l b U x v Y 2 F 0 a W 9 u P j x J d G V t V H l w Z T 5 G b 3 J t d W x h P C 9 J d G V t V H l w Z T 4 8 S X R l b V B h d G g + U 2 V j d G l v b j E v V G F i b G U l M j A w L 1 N v d X J j Z T w v S X R l b V B h d G g + P C 9 J d G V t T G 9 j Y X R p b 2 4 + P F N 0 Y W J s Z U V u d H J p Z X M v P j w v S X R l b T 4 8 S X R l b T 4 8 S X R l b U x v Y 2 F 0 a W 9 u P j x J d G V t V H l w Z T 5 G b 3 J t d W x h P C 9 J d G V t V H l w Z T 4 8 S X R l b V B h d G g + U 2 V j d G l v b j E v V G F i b G U l M j A w L 0 R h d G E w P C 9 J d G V t U G F 0 a D 4 8 L 0 l 0 Z W 1 M b 2 N h d G l v b j 4 8 U 3 R h Y m x l R W 5 0 c m l l c y 8 + P C 9 J d G V t P j x J d G V t P j x J d G V t T G 9 j Y X R p b 2 4 + P E l 0 Z W 1 U e X B l P k Z v c m 1 1 b G E 8 L 0 l 0 Z W 1 U e X B l P j x J d G V t U G F 0 a D 5 T Z W N 0 a W 9 u M S 9 U Y W J s Z S U y M D A v V H l w Z S U y M G 1 v Z G l m a S V D M y V B O T w v S X R l b V B h d G g + P C 9 J d G V t T G 9 j Y X R p b 2 4 + P F N 0 Y W J s Z U V u d H J p Z X M v P j w v S X R l b T 4 8 S X R l b T 4 8 S X R l b U x v Y 2 F 0 a W 9 u P j x J d G V t V H l w Z T 5 G b 3 J t d W x h P C 9 J d G V t V H l w Z T 4 8 S X R l b V B h d G g + U 2 V j d G l v b j E v V G F i b G U l M j A w J T I w K D I p L 1 N v d X J j Z T w v S X R l b V B h d G g + P C 9 J d G V t T G 9 j Y X R p b 2 4 + P F N 0 Y W J s Z U V u d H J p Z X M v P j w v S X R l b T 4 8 S X R l b T 4 8 S X R l b U x v Y 2 F 0 a W 9 u P j x J d G V t V H l w Z T 5 G b 3 J t d W x h P C 9 J d G V t V H l w Z T 4 8 S X R l b V B h d G g + U 2 V j d G l v b j E v V G F i b G U l M j A w J T I w K D I p L 0 R h d G E w P C 9 J d G V t U G F 0 a D 4 8 L 0 l 0 Z W 1 M b 2 N h d G l v b j 4 8 U 3 R h Y m x l R W 5 0 c m l l c y 8 + P C 9 J d G V t P j x J d G V t P j x J d G V t T G 9 j Y X R p b 2 4 + P E l 0 Z W 1 U e X B l P k Z v c m 1 1 b G E 8 L 0 l 0 Z W 1 U e X B l P j x J d G V t U G F 0 a D 5 T Z W N 0 a W 9 u M S 9 U Y W J s Z S U y M D A l M j A o M i k v V H l w Z S U y M G 1 v Z G l m a S V D M y V B O T w v S X R l b V B h d G g + P C 9 J d G V t T G 9 j Y X R p b 2 4 + P F N 0 Y W J s Z U V u d H J p Z X M v P j w v S X R l b T 4 8 S X R l b T 4 8 S X R l b U x v Y 2 F 0 a W 9 u P j x J d G V t V H l w Z T 5 B b G x G b 3 J t d W x h c z w v S X R l b V R 5 c G U + P E l 0 Z W 1 Q Y X R o P j w v S X R l b V B h d G g + P C 9 J d G V t T G 9 j Y X R p b 2 4 + P F N 0 Y W J s Z U V u d H J p Z X M + P E V u d H J 5 I F R 5 c G U 9 I l F 1 Z X J 5 R 3 J v d X B z I i B W Y W x 1 Z T 0 i c 0 F B Q U F B Q T 0 9 I i 8 + P E V u d H J 5 I F R 5 c G U 9 I l J l b G F 0 a W 9 u c 2 h p c H M i I F Z h b H V l P S J z Q U F B Q U F B P T 0 i L z 4 8 L 1 N 0 Y W J s Z U V u d H J p Z X M + P C 9 J d G V t P j w v S X R l b X M + P C 9 M b 2 N h b F B h Y 2 t h Z 2 V N Z X R h Z G F 0 Y U Z p b G U + F g A A A F B L B Q Y A A A A A A A A A A A A A A A A A A A A A A A A m A Q A A A Q A A A N C M n d 8 B F d E R j H o A w E / C l + s B A A A A v F Q A f r 7 B b k W z R h i L V v E w K A A A A A A C A A A A A A A Q Z g A A A A E A A C A A A A A F c I G 5 f U B 7 f A N X h F 2 R f u i c 7 X i G a I u g 7 0 s X h I f J P w r 3 P A A A A A A O g A A A A A I A A C A A A A A q A U B c 7 P J u 6 9 J h E 8 w H 6 6 H L t Y 1 d r 4 n Y Y f A v s k d k w X d z M V A A A A B O + M h h j 6 e 0 L w A q J E 6 i L t a f M W 4 w v 4 Q b W H o f 9 / 5 5 Z 5 5 J D z R W S w K + + e p M M e R j w k r c y q N t 8 u 3 s Y s u e b t z 9 M 5 + Z S 4 r / u G 8 N d C r g p g y C f a J U K c 9 b f k A A A A A u j R h j c G l D B m i H t Z g j j f y i g R y 9 o + c Z X T T M 6 d o F o t q B J o S B 9 w / 7 Z 3 P f 4 P i w c 3 Y k I w K h 7 U f Z B h n K 4 m Z I 8 u 1 M U C 7 n < / D a t a M a s h u p > 
</file>

<file path=customXml/item4.xml><?xml version="1.0" encoding="utf-8"?>
<ct:contentTypeSchema xmlns:ct="http://schemas.microsoft.com/office/2006/metadata/contentType" xmlns:ma="http://schemas.microsoft.com/office/2006/metadata/properties/metaAttributes" ct:_="" ma:_="" ma:contentTypeName="Document" ma:contentTypeID="0x01010059F8D0E12706CA4F88F078CAAF1F0285" ma:contentTypeVersion="13" ma:contentTypeDescription="Crée un document." ma:contentTypeScope="" ma:versionID="65e44b94b80c847526fb1aad9e5e7274">
  <xsd:schema xmlns:xsd="http://www.w3.org/2001/XMLSchema" xmlns:xs="http://www.w3.org/2001/XMLSchema" xmlns:p="http://schemas.microsoft.com/office/2006/metadata/properties" xmlns:ns2="e249ac2a-b211-4fea-a23e-058f661af758" xmlns:ns3="8f1b8a44-2e81-425d-8025-2e5e0436f25e" targetNamespace="http://schemas.microsoft.com/office/2006/metadata/properties" ma:root="true" ma:fieldsID="55ef6f2f567e5000964d2f8daa3d1dd4" ns2:_="" ns3:_="">
    <xsd:import namespace="e249ac2a-b211-4fea-a23e-058f661af758"/>
    <xsd:import namespace="8f1b8a44-2e81-425d-8025-2e5e0436f25e"/>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DateTaken"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LengthInSeconds" minOccurs="0"/>
                <xsd:element ref="ns2:MediaServiceLocation"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249ac2a-b211-4fea-a23e-058f661af75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DateTaken" ma:index="11" nillable="true" ma:displayName="MediaServiceDateTaken" ma:hidden="true" ma:indexed="true" ma:internalName="MediaServiceDateTaken" ma:readOnly="true">
      <xsd:simpleType>
        <xsd:restriction base="dms:Text"/>
      </xsd:simpleType>
    </xsd:element>
    <xsd:element name="lcf76f155ced4ddcb4097134ff3c332f" ma:index="13" nillable="true" ma:taxonomy="true" ma:internalName="lcf76f155ced4ddcb4097134ff3c332f" ma:taxonomyFieldName="MediaServiceImageTags" ma:displayName="Balises d’images" ma:readOnly="false" ma:fieldId="{5cf76f15-5ced-4ddc-b409-7134ff3c332f}" ma:taxonomyMulti="true" ma:sspId="9c47289d-44d4-4518-8531-d864f6d3e1e1" ma:termSetId="09814cd3-568e-fe90-9814-8d621ff8fb84" ma:anchorId="fba54fb3-c3e1-fe81-a776-ca4b69148c4d" ma:open="true" ma:isKeyword="false">
      <xsd:complexType>
        <xsd:sequence>
          <xsd:element ref="pc:Terms" minOccurs="0" maxOccurs="1"/>
        </xsd:sequence>
      </xsd:complex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18" nillable="true" ma:displayName="MediaLengthInSeconds" ma:hidden="true" ma:internalName="MediaLengthInSeconds" ma:readOnly="true">
      <xsd:simpleType>
        <xsd:restriction base="dms:Unknown"/>
      </xsd:simpleType>
    </xsd:element>
    <xsd:element name="MediaServiceLocation" ma:index="19" nillable="true" ma:displayName="Location" ma:indexed="true" ma:internalName="MediaServiceLocation" ma:readOnly="true">
      <xsd:simpleType>
        <xsd:restriction base="dms:Text"/>
      </xsd:simpleType>
    </xsd:element>
    <xsd:element name="MediaServiceBillingMetadata" ma:index="20"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8f1b8a44-2e81-425d-8025-2e5e0436f25e"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7f8f2c3c-97c3-401f-9e00-dc202c827de0}" ma:internalName="TaxCatchAll" ma:showField="CatchAllData" ma:web="8f1b8a44-2e81-425d-8025-2e5e0436f25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40162BA-50D7-43A6-81D0-41EF1B73D9AA}">
  <ds:schemaRefs>
    <ds:schemaRef ds:uri="http://schemas.microsoft.com/sharepoint/v3/contenttype/forms"/>
  </ds:schemaRefs>
</ds:datastoreItem>
</file>

<file path=customXml/itemProps2.xml><?xml version="1.0" encoding="utf-8"?>
<ds:datastoreItem xmlns:ds="http://schemas.openxmlformats.org/officeDocument/2006/customXml" ds:itemID="{3E0BA6AE-80DC-4EA9-8CCB-498C75A254C0}">
  <ds:schemaRefs>
    <ds:schemaRef ds:uri="http://schemas.microsoft.com/office/2006/metadata/properties"/>
    <ds:schemaRef ds:uri="http://schemas.microsoft.com/office/infopath/2007/PartnerControls"/>
    <ds:schemaRef ds:uri="e249ac2a-b211-4fea-a23e-058f661af758"/>
    <ds:schemaRef ds:uri="8f1b8a44-2e81-425d-8025-2e5e0436f25e"/>
  </ds:schemaRefs>
</ds:datastoreItem>
</file>

<file path=customXml/itemProps3.xml><?xml version="1.0" encoding="utf-8"?>
<ds:datastoreItem xmlns:ds="http://schemas.openxmlformats.org/officeDocument/2006/customXml" ds:itemID="{B0F7D93D-1376-4F53-9012-FFB6D75CC8D2}">
  <ds:schemaRefs>
    <ds:schemaRef ds:uri="http://schemas.microsoft.com/DataMashup"/>
  </ds:schemaRefs>
</ds:datastoreItem>
</file>

<file path=customXml/itemProps4.xml><?xml version="1.0" encoding="utf-8"?>
<ds:datastoreItem xmlns:ds="http://schemas.openxmlformats.org/officeDocument/2006/customXml" ds:itemID="{02D66FA2-1DEF-43D1-BF67-A82AF26337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249ac2a-b211-4fea-a23e-058f661af758"/>
    <ds:schemaRef ds:uri="8f1b8a44-2e81-425d-8025-2e5e0436f25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27</vt:i4>
      </vt:variant>
      <vt:variant>
        <vt:lpstr>Plages nommées</vt:lpstr>
      </vt:variant>
      <vt:variant>
        <vt:i4>1</vt:i4>
      </vt:variant>
    </vt:vector>
  </HeadingPairs>
  <TitlesOfParts>
    <vt:vector size="28" baseType="lpstr">
      <vt:lpstr>Lisez-moi</vt:lpstr>
      <vt:lpstr>Résultats généraux</vt:lpstr>
      <vt:lpstr>Résultats relocalisation</vt:lpstr>
      <vt:lpstr>Couverture périmètre</vt:lpstr>
      <vt:lpstr>Consommables - consos hôpital</vt:lpstr>
      <vt:lpstr>EPI</vt:lpstr>
      <vt:lpstr>Consommables plastiques</vt:lpstr>
      <vt:lpstr>Dispositifs urologie</vt:lpstr>
      <vt:lpstr>Incontinence</vt:lpstr>
      <vt:lpstr>Pansements</vt:lpstr>
      <vt:lpstr>Trait. &amp; surv. diabète</vt:lpstr>
      <vt:lpstr>Instruments</vt:lpstr>
      <vt:lpstr>Optique</vt:lpstr>
      <vt:lpstr>Aides auditives</vt:lpstr>
      <vt:lpstr>Orthèses</vt:lpstr>
      <vt:lpstr>Aides techniques</vt:lpstr>
      <vt:lpstr>Equipements d'imagerie</vt:lpstr>
      <vt:lpstr>Equipements path. respiratoire</vt:lpstr>
      <vt:lpstr>Equipements électro-médicaux</vt:lpstr>
      <vt:lpstr>Implants orthopédiques</vt:lpstr>
      <vt:lpstr>DM-DIV</vt:lpstr>
      <vt:lpstr>Corpo et R&amp;D</vt:lpstr>
      <vt:lpstr>Compléments alimentaires</vt:lpstr>
      <vt:lpstr>Annexe - Logistique</vt:lpstr>
      <vt:lpstr>Annexe - stérilisation</vt:lpstr>
      <vt:lpstr>Annexe - Matériaux</vt:lpstr>
      <vt:lpstr>Annexe - Salles blanches</vt:lpstr>
      <vt:lpstr>Instruments!_ftn1</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Verneuil Baptiste X2018</dc:creator>
  <cp:keywords/>
  <dc:description/>
  <cp:lastModifiedBy>Baptiste Verneuil</cp:lastModifiedBy>
  <cp:revision/>
  <dcterms:created xsi:type="dcterms:W3CDTF">2024-08-15T10:46:26Z</dcterms:created>
  <dcterms:modified xsi:type="dcterms:W3CDTF">2025-10-20T16:18:13Z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0x01010059F8D0E12706CA4F88F078CAAF1F0285</vt:lpwstr>
  </property>
  <property fmtid="{D5CDD505-2E9C-101B-9397-08002B2CF9AE}" pid="3" name="MediaServiceImageTags">
    <vt:lpwstr/>
  </property>
</Properties>
</file>