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theshiftpr0ject.sharepoint.com/sites/TSP/Projets/Programme Numérique/4 - Projets/2025 - PIA/6 - RF/"/>
    </mc:Choice>
  </mc:AlternateContent>
  <xr:revisionPtr revIDLastSave="50" documentId="8_{14428052-BF85-1249-BA74-2AD82E8B8CB4}" xr6:coauthVersionLast="47" xr6:coauthVersionMax="47" xr10:uidLastSave="{31D94B4C-DB7D-4300-AFA4-DEBFFD9C29EA}"/>
  <bookViews>
    <workbookView xWindow="-120" yWindow="-120" windowWidth="29040" windowHeight="15720" tabRatio="781" xr2:uid="{00000000-000D-0000-FFFF-FFFF00000000}"/>
  </bookViews>
  <sheets>
    <sheet name="0 - Refs hors TSP" sheetId="37" r:id="rId1"/>
    <sheet name="1 - Taux de croissance hist" sheetId="32" r:id="rId2"/>
    <sheet name="2 - Conso élec état des lieux" sheetId="34" r:id="rId3"/>
    <sheet name="3 - Conso élec TWh monde" sheetId="38" r:id="rId4"/>
    <sheet name="4 - Emissions GES scénarios" sheetId="19" r:id="rId5"/>
    <sheet name="5 - Declinaison d'obj GES à TWh" sheetId="36" r:id="rId6"/>
    <sheet name="6 - Conso élec TWh Europe" sheetId="39" r:id="rId7"/>
    <sheet name="Références" sheetId="33" r:id="rId8"/>
    <sheet name="Analyse FE et GES IEA 2025" sheetId="21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3" i="19" l="1"/>
  <c r="N86" i="39"/>
  <c r="J93" i="39"/>
  <c r="J101" i="39"/>
  <c r="K101" i="39" s="1"/>
  <c r="L101" i="39" s="1"/>
  <c r="M101" i="39" s="1"/>
  <c r="N101" i="39" s="1"/>
  <c r="O101" i="39" s="1"/>
  <c r="F101" i="39"/>
  <c r="G101" i="39"/>
  <c r="H101" i="39"/>
  <c r="I101" i="39"/>
  <c r="E101" i="39"/>
  <c r="E103" i="39"/>
  <c r="F103" i="39"/>
  <c r="G103" i="39"/>
  <c r="H103" i="39"/>
  <c r="I103" i="39"/>
  <c r="J103" i="39"/>
  <c r="K103" i="39"/>
  <c r="L103" i="39"/>
  <c r="M103" i="39"/>
  <c r="N103" i="39"/>
  <c r="O103" i="39"/>
  <c r="D103" i="39"/>
  <c r="D119" i="39"/>
  <c r="E119" i="39"/>
  <c r="F119" i="39"/>
  <c r="G119" i="39"/>
  <c r="H119" i="39"/>
  <c r="I119" i="39"/>
  <c r="C120" i="39"/>
  <c r="C119" i="39"/>
  <c r="D102" i="39"/>
  <c r="E102" i="39" s="1"/>
  <c r="F102" i="39" s="1"/>
  <c r="G102" i="39" s="1"/>
  <c r="H102" i="39" s="1"/>
  <c r="I102" i="39" s="1"/>
  <c r="J102" i="39" s="1"/>
  <c r="K102" i="39" s="1"/>
  <c r="L102" i="39" s="1"/>
  <c r="M102" i="39" s="1"/>
  <c r="N102" i="39" s="1"/>
  <c r="O102" i="39" s="1"/>
  <c r="C104" i="39"/>
  <c r="D95" i="39"/>
  <c r="C94" i="39"/>
  <c r="C93" i="39"/>
  <c r="O76" i="39"/>
  <c r="G20" i="39"/>
  <c r="F20" i="39"/>
  <c r="C58" i="39"/>
  <c r="C61" i="39" s="1"/>
  <c r="M58" i="39"/>
  <c r="H58" i="39"/>
  <c r="J11" i="38"/>
  <c r="J7" i="38"/>
  <c r="E120" i="37"/>
  <c r="C6" i="34"/>
  <c r="D6" i="34" s="1"/>
  <c r="H120" i="37"/>
  <c r="D7" i="34"/>
  <c r="C5" i="34"/>
  <c r="C5" i="38"/>
  <c r="C4" i="38"/>
  <c r="C22" i="34"/>
  <c r="C27" i="34" s="1"/>
  <c r="C29" i="34"/>
  <c r="C28" i="34"/>
  <c r="C96" i="39" l="1"/>
  <c r="E95" i="39"/>
  <c r="F95" i="39" s="1"/>
  <c r="G95" i="39" s="1"/>
  <c r="H95" i="39" s="1"/>
  <c r="I95" i="39" s="1"/>
  <c r="J95" i="39" s="1"/>
  <c r="K95" i="39" s="1"/>
  <c r="L95" i="39" s="1"/>
  <c r="M95" i="39" s="1"/>
  <c r="N95" i="39" s="1"/>
  <c r="O95" i="39" s="1"/>
  <c r="H66" i="39"/>
  <c r="G65" i="39"/>
  <c r="F64" i="39"/>
  <c r="E63" i="39"/>
  <c r="D62" i="39"/>
  <c r="M71" i="39"/>
  <c r="L70" i="39"/>
  <c r="K69" i="39"/>
  <c r="J68" i="39"/>
  <c r="I67" i="39"/>
  <c r="C82" i="39"/>
  <c r="D61" i="39"/>
  <c r="C3" i="38"/>
  <c r="D3" i="38" s="1"/>
  <c r="E3" i="38" s="1"/>
  <c r="F3" i="38" s="1"/>
  <c r="G3" i="38" s="1"/>
  <c r="H3" i="38" s="1"/>
  <c r="I3" i="38" s="1"/>
  <c r="J3" i="38" s="1"/>
  <c r="K3" i="38" s="1"/>
  <c r="L3" i="38" s="1"/>
  <c r="M3" i="38" s="1"/>
  <c r="N3" i="38" s="1"/>
  <c r="O3" i="38" s="1"/>
  <c r="D4" i="38"/>
  <c r="E4" i="38" s="1"/>
  <c r="F4" i="38" s="1"/>
  <c r="G4" i="38" s="1"/>
  <c r="H4" i="38" s="1"/>
  <c r="I4" i="38" s="1"/>
  <c r="J4" i="38" s="1"/>
  <c r="K4" i="38" s="1"/>
  <c r="L4" i="38" s="1"/>
  <c r="M4" i="38" s="1"/>
  <c r="N4" i="38" s="1"/>
  <c r="O4" i="38" s="1"/>
  <c r="J146" i="37"/>
  <c r="P10" i="38"/>
  <c r="F4" i="19"/>
  <c r="D5" i="38"/>
  <c r="E5" i="38" s="1"/>
  <c r="F5" i="38" s="1"/>
  <c r="G5" i="38" s="1"/>
  <c r="H5" i="38" s="1"/>
  <c r="I5" i="38" s="1"/>
  <c r="J5" i="38" s="1"/>
  <c r="K5" i="38" s="1"/>
  <c r="L5" i="38" s="1"/>
  <c r="M5" i="38" s="1"/>
  <c r="N5" i="38" s="1"/>
  <c r="O5" i="38" s="1"/>
  <c r="I15" i="19"/>
  <c r="I14" i="19"/>
  <c r="B2" i="19"/>
  <c r="C11" i="19"/>
  <c r="I9" i="36"/>
  <c r="J9" i="36"/>
  <c r="I14" i="36"/>
  <c r="J14" i="36"/>
  <c r="I15" i="36"/>
  <c r="J15" i="36"/>
  <c r="I19" i="36"/>
  <c r="J19" i="36"/>
  <c r="J4" i="36"/>
  <c r="H24" i="36"/>
  <c r="I24" i="36" s="1"/>
  <c r="H19" i="36"/>
  <c r="H14" i="36"/>
  <c r="H15" i="36" s="1"/>
  <c r="H9" i="36"/>
  <c r="H4" i="36"/>
  <c r="I4" i="36" s="1"/>
  <c r="K4" i="36"/>
  <c r="F5" i="36"/>
  <c r="F6" i="36"/>
  <c r="F7" i="36"/>
  <c r="F8" i="36" s="1"/>
  <c r="F9" i="36" s="1"/>
  <c r="F10" i="36" s="1"/>
  <c r="C68" i="37"/>
  <c r="D68" i="37" s="1"/>
  <c r="E115" i="37"/>
  <c r="D115" i="37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H4" i="32"/>
  <c r="C7" i="19"/>
  <c r="C2" i="36" s="1"/>
  <c r="C3" i="36" s="1"/>
  <c r="D14" i="19" l="1"/>
  <c r="C14" i="19" s="1"/>
  <c r="F15" i="19"/>
  <c r="C15" i="19" s="1"/>
  <c r="D15" i="19" s="1"/>
  <c r="E15" i="19" s="1"/>
  <c r="D82" i="39"/>
  <c r="E61" i="39"/>
  <c r="K9" i="36"/>
  <c r="J24" i="36"/>
  <c r="H5" i="36"/>
  <c r="H25" i="36"/>
  <c r="H20" i="36"/>
  <c r="H16" i="36"/>
  <c r="H10" i="36"/>
  <c r="F11" i="36"/>
  <c r="E14" i="19" l="1"/>
  <c r="F61" i="39"/>
  <c r="I10" i="36"/>
  <c r="J10" i="36"/>
  <c r="I16" i="36"/>
  <c r="J16" i="36"/>
  <c r="J20" i="36"/>
  <c r="I20" i="36"/>
  <c r="J25" i="36"/>
  <c r="I25" i="36"/>
  <c r="H6" i="36"/>
  <c r="J5" i="36"/>
  <c r="I5" i="36"/>
  <c r="K5" i="36"/>
  <c r="F12" i="36"/>
  <c r="K11" i="36"/>
  <c r="K10" i="36"/>
  <c r="H26" i="36"/>
  <c r="H21" i="36"/>
  <c r="H17" i="36"/>
  <c r="H11" i="36"/>
  <c r="D4" i="19"/>
  <c r="O6" i="19"/>
  <c r="P6" i="19"/>
  <c r="Q6" i="19"/>
  <c r="N6" i="19"/>
  <c r="H6" i="19"/>
  <c r="I6" i="19"/>
  <c r="J6" i="19"/>
  <c r="K6" i="19"/>
  <c r="L6" i="19"/>
  <c r="G6" i="19"/>
  <c r="G61" i="39" l="1"/>
  <c r="E4" i="19"/>
  <c r="E11" i="19" s="1"/>
  <c r="D11" i="19"/>
  <c r="H7" i="36"/>
  <c r="I6" i="36"/>
  <c r="J6" i="36"/>
  <c r="K6" i="36"/>
  <c r="J11" i="36"/>
  <c r="I11" i="36"/>
  <c r="J17" i="36"/>
  <c r="I17" i="36"/>
  <c r="I21" i="36"/>
  <c r="J21" i="36"/>
  <c r="I26" i="36"/>
  <c r="J26" i="36"/>
  <c r="F13" i="36"/>
  <c r="K12" i="36"/>
  <c r="H27" i="36"/>
  <c r="H22" i="36"/>
  <c r="H18" i="36"/>
  <c r="H12" i="36"/>
  <c r="D7" i="19"/>
  <c r="H61" i="39" l="1"/>
  <c r="E7" i="19"/>
  <c r="I27" i="36"/>
  <c r="J27" i="36"/>
  <c r="F14" i="36"/>
  <c r="H8" i="36"/>
  <c r="J7" i="36"/>
  <c r="I7" i="36"/>
  <c r="K7" i="36"/>
  <c r="I12" i="36"/>
  <c r="J12" i="36"/>
  <c r="I18" i="36"/>
  <c r="J18" i="36"/>
  <c r="I22" i="36"/>
  <c r="J22" i="36"/>
  <c r="H28" i="36"/>
  <c r="H23" i="36"/>
  <c r="H13" i="36"/>
  <c r="I61" i="39" l="1"/>
  <c r="I13" i="36"/>
  <c r="J13" i="36"/>
  <c r="I8" i="36"/>
  <c r="J8" i="36"/>
  <c r="K8" i="36"/>
  <c r="J23" i="36"/>
  <c r="I23" i="36"/>
  <c r="K13" i="36"/>
  <c r="I28" i="36"/>
  <c r="J28" i="36"/>
  <c r="F15" i="36"/>
  <c r="K14" i="36"/>
  <c r="J61" i="39" l="1"/>
  <c r="F16" i="36"/>
  <c r="K15" i="36"/>
  <c r="K61" i="39" l="1"/>
  <c r="F17" i="36"/>
  <c r="K16" i="36"/>
  <c r="L61" i="39" l="1"/>
  <c r="F18" i="36"/>
  <c r="K17" i="36"/>
  <c r="M61" i="39" l="1"/>
  <c r="F19" i="36"/>
  <c r="K18" i="36"/>
  <c r="P39" i="21"/>
  <c r="M38" i="21"/>
  <c r="N38" i="21"/>
  <c r="O38" i="21"/>
  <c r="P38" i="21"/>
  <c r="M39" i="21"/>
  <c r="N39" i="21"/>
  <c r="O39" i="21"/>
  <c r="L39" i="21"/>
  <c r="M32" i="21"/>
  <c r="N32" i="21"/>
  <c r="O32" i="21"/>
  <c r="P32" i="21"/>
  <c r="M33" i="21"/>
  <c r="N33" i="21"/>
  <c r="O33" i="21"/>
  <c r="P33" i="21"/>
  <c r="M34" i="21"/>
  <c r="N34" i="21"/>
  <c r="O34" i="21"/>
  <c r="P34" i="21"/>
  <c r="M35" i="21"/>
  <c r="N35" i="21"/>
  <c r="O35" i="21"/>
  <c r="P35" i="21"/>
  <c r="M36" i="21"/>
  <c r="N36" i="21"/>
  <c r="O36" i="21"/>
  <c r="P36" i="21"/>
  <c r="M37" i="21"/>
  <c r="N37" i="21"/>
  <c r="O37" i="21"/>
  <c r="P37" i="21"/>
  <c r="L33" i="21"/>
  <c r="L34" i="21"/>
  <c r="L35" i="21"/>
  <c r="L36" i="21"/>
  <c r="L37" i="21"/>
  <c r="L32" i="21"/>
  <c r="C38" i="21"/>
  <c r="D38" i="21"/>
  <c r="K37" i="21"/>
  <c r="K36" i="21"/>
  <c r="K35" i="21"/>
  <c r="K34" i="21"/>
  <c r="K33" i="21"/>
  <c r="K32" i="21"/>
  <c r="J27" i="21"/>
  <c r="H27" i="21"/>
  <c r="G32" i="21"/>
  <c r="F33" i="21"/>
  <c r="F34" i="21" s="1"/>
  <c r="F35" i="21" s="1"/>
  <c r="F36" i="21" s="1"/>
  <c r="F37" i="21" s="1"/>
  <c r="D33" i="21"/>
  <c r="D34" i="21"/>
  <c r="D35" i="21" s="1"/>
  <c r="D36" i="21" s="1"/>
  <c r="C33" i="21"/>
  <c r="C34" i="21" s="1"/>
  <c r="C35" i="21" s="1"/>
  <c r="C36" i="21" s="1"/>
  <c r="C37" i="21" s="1"/>
  <c r="E33" i="21"/>
  <c r="E34" i="21" s="1"/>
  <c r="E35" i="21" s="1"/>
  <c r="E36" i="21" s="1"/>
  <c r="E37" i="21" s="1"/>
  <c r="J23" i="21"/>
  <c r="J24" i="21"/>
  <c r="J25" i="21"/>
  <c r="K25" i="21"/>
  <c r="J22" i="21"/>
  <c r="J26" i="21" s="1"/>
  <c r="H22" i="21"/>
  <c r="H25" i="21"/>
  <c r="H24" i="21"/>
  <c r="H23" i="21"/>
  <c r="F25" i="21"/>
  <c r="F24" i="21"/>
  <c r="K24" i="21" s="1"/>
  <c r="F23" i="21"/>
  <c r="K23" i="21" s="1"/>
  <c r="F22" i="21"/>
  <c r="K22" i="21" s="1"/>
  <c r="K26" i="21" s="1"/>
  <c r="E23" i="21"/>
  <c r="I23" i="21" s="1"/>
  <c r="E24" i="21"/>
  <c r="I24" i="21" s="1"/>
  <c r="D26" i="21"/>
  <c r="C26" i="21"/>
  <c r="E25" i="21" s="1"/>
  <c r="I25" i="21" s="1"/>
  <c r="C15" i="21"/>
  <c r="D15" i="21"/>
  <c r="F14" i="21"/>
  <c r="F20" i="36" l="1"/>
  <c r="K19" i="36"/>
  <c r="L38" i="21"/>
  <c r="F38" i="21"/>
  <c r="J33" i="21"/>
  <c r="E38" i="21"/>
  <c r="I35" i="21" s="1"/>
  <c r="I33" i="21"/>
  <c r="E22" i="21"/>
  <c r="I22" i="21" s="1"/>
  <c r="I26" i="21" s="1"/>
  <c r="G33" i="21"/>
  <c r="G34" i="21" s="1"/>
  <c r="H26" i="21"/>
  <c r="D37" i="21"/>
  <c r="J3" i="21"/>
  <c r="K3" i="21" s="1"/>
  <c r="L3" i="21" s="1"/>
  <c r="M3" i="21" s="1"/>
  <c r="J4" i="21"/>
  <c r="K4" i="21" s="1"/>
  <c r="L4" i="21" s="1"/>
  <c r="M4" i="21" s="1"/>
  <c r="J5" i="21"/>
  <c r="K5" i="21"/>
  <c r="L5" i="21" s="1"/>
  <c r="M5" i="21" s="1"/>
  <c r="J6" i="21"/>
  <c r="K6" i="21" s="1"/>
  <c r="L6" i="21" s="1"/>
  <c r="M6" i="21" s="1"/>
  <c r="J7" i="21"/>
  <c r="K7" i="21"/>
  <c r="L7" i="21" s="1"/>
  <c r="M7" i="21" s="1"/>
  <c r="F16" i="21"/>
  <c r="H16" i="21" s="1"/>
  <c r="F17" i="21"/>
  <c r="H17" i="21" s="1"/>
  <c r="F15" i="21"/>
  <c r="H15" i="21" s="1"/>
  <c r="G7" i="21"/>
  <c r="G13" i="21"/>
  <c r="F3" i="21"/>
  <c r="H3" i="21" s="1"/>
  <c r="F11" i="21"/>
  <c r="H11" i="21" s="1"/>
  <c r="F12" i="21"/>
  <c r="H12" i="21" s="1"/>
  <c r="F13" i="21"/>
  <c r="H13" i="21" s="1"/>
  <c r="F10" i="21"/>
  <c r="H10" i="21" s="1"/>
  <c r="F4" i="21"/>
  <c r="H4" i="21" s="1"/>
  <c r="F5" i="21"/>
  <c r="H5" i="21" s="1"/>
  <c r="F6" i="21"/>
  <c r="H6" i="21" s="1"/>
  <c r="F7" i="21"/>
  <c r="F21" i="36" l="1"/>
  <c r="K20" i="36"/>
  <c r="I32" i="21"/>
  <c r="I37" i="21"/>
  <c r="J32" i="21"/>
  <c r="J35" i="21"/>
  <c r="J36" i="21"/>
  <c r="J37" i="21"/>
  <c r="I34" i="21"/>
  <c r="J34" i="21"/>
  <c r="I36" i="21"/>
  <c r="G35" i="21"/>
  <c r="H7" i="21"/>
  <c r="F22" i="36" l="1"/>
  <c r="K21" i="36"/>
  <c r="G36" i="21"/>
  <c r="F23" i="36" l="1"/>
  <c r="K22" i="36"/>
  <c r="G37" i="21"/>
  <c r="G38" i="21"/>
  <c r="F24" i="36" l="1"/>
  <c r="K23" i="36"/>
  <c r="H32" i="21"/>
  <c r="H34" i="21"/>
  <c r="H33" i="21"/>
  <c r="H35" i="21"/>
  <c r="H37" i="21"/>
  <c r="H36" i="21"/>
  <c r="F25" i="36" l="1"/>
  <c r="K24" i="36"/>
  <c r="F26" i="36" l="1"/>
  <c r="K25" i="36"/>
  <c r="F27" i="36" l="1"/>
  <c r="K26" i="36"/>
  <c r="F28" i="36" l="1"/>
  <c r="K28" i="36" s="1"/>
  <c r="K27" i="36"/>
  <c r="O6" i="38"/>
  <c r="N6" i="38"/>
  <c r="M6" i="38"/>
  <c r="L6" i="38"/>
  <c r="K6" i="38"/>
  <c r="J6" i="38"/>
  <c r="I6" i="38"/>
  <c r="H6" i="38"/>
  <c r="G6" i="38"/>
  <c r="F6" i="38"/>
  <c r="E6" i="38"/>
  <c r="D6" i="38"/>
  <c r="C6" i="38"/>
  <c r="R6" i="38" l="1"/>
  <c r="P9" i="38" s="1"/>
  <c r="F7" i="19"/>
  <c r="F11" i="19"/>
  <c r="C10" i="38"/>
  <c r="D10" i="38" s="1"/>
  <c r="E10" i="38" s="1"/>
  <c r="F10" i="38" s="1"/>
  <c r="G10" i="38" s="1"/>
  <c r="H10" i="38" s="1"/>
  <c r="I10" i="38" s="1"/>
  <c r="J10" i="38" s="1"/>
  <c r="K10" i="38" s="1"/>
  <c r="L10" i="38" s="1"/>
  <c r="M10" i="38" s="1"/>
  <c r="N10" i="38" s="1"/>
  <c r="O10" i="38" s="1"/>
  <c r="D9" i="38" l="1"/>
  <c r="G4" i="19" s="1"/>
  <c r="G7" i="19" s="1"/>
  <c r="E9" i="38"/>
  <c r="G11" i="19" l="1"/>
  <c r="F9" i="38"/>
  <c r="H4" i="19"/>
  <c r="H7" i="19" s="1"/>
  <c r="H11" i="19" l="1"/>
  <c r="I4" i="19"/>
  <c r="I11" i="19" s="1"/>
  <c r="G9" i="38"/>
  <c r="I7" i="19" l="1"/>
  <c r="I8" i="19" s="1"/>
  <c r="J4" i="19"/>
  <c r="J11" i="19" s="1"/>
  <c r="H9" i="38"/>
  <c r="J7" i="19" l="1"/>
  <c r="J8" i="19" s="1"/>
  <c r="I9" i="38"/>
  <c r="K4" i="19"/>
  <c r="K11" i="19" s="1"/>
  <c r="K7" i="19" l="1"/>
  <c r="K8" i="19" s="1"/>
  <c r="L4" i="19"/>
  <c r="L7" i="19" s="1"/>
  <c r="J9" i="38"/>
  <c r="L8" i="19" l="1"/>
  <c r="L11" i="19"/>
  <c r="K9" i="38"/>
  <c r="M4" i="19"/>
  <c r="M11" i="19" s="1"/>
  <c r="M7" i="19" l="1"/>
  <c r="Q14" i="19" s="1"/>
  <c r="L9" i="38"/>
  <c r="N4" i="19"/>
  <c r="N11" i="19" s="1"/>
  <c r="R15" i="19"/>
  <c r="O15" i="19"/>
  <c r="P15" i="19"/>
  <c r="Q15" i="19"/>
  <c r="N15" i="19"/>
  <c r="R14" i="19" l="1"/>
  <c r="O14" i="19"/>
  <c r="M8" i="19"/>
  <c r="N14" i="19"/>
  <c r="P14" i="19"/>
  <c r="N7" i="19"/>
  <c r="N8" i="19" s="1"/>
  <c r="M9" i="38"/>
  <c r="O4" i="19"/>
  <c r="O7" i="19" s="1"/>
  <c r="O8" i="19" l="1"/>
  <c r="O11" i="19"/>
  <c r="N9" i="38"/>
  <c r="P4" i="19"/>
  <c r="P7" i="19" s="1"/>
  <c r="P8" i="19" s="1"/>
  <c r="P11" i="19" l="1"/>
  <c r="O9" i="38"/>
  <c r="R4" i="19" s="1"/>
  <c r="Q4" i="19"/>
  <c r="Q11" i="19" s="1"/>
  <c r="Q7" i="19" l="1"/>
  <c r="Q8" i="19" s="1"/>
  <c r="R7" i="19"/>
  <c r="R11" i="19"/>
  <c r="R8" i="19" l="1"/>
  <c r="D5" i="34"/>
  <c r="D14" i="34" s="1"/>
  <c r="C14" i="34"/>
  <c r="D76" i="39"/>
  <c r="E82" i="39" s="1"/>
  <c r="E76" i="39"/>
  <c r="F82" i="39" s="1"/>
  <c r="F76" i="39"/>
  <c r="G82" i="39" s="1"/>
  <c r="C109" i="39" s="1"/>
  <c r="G76" i="39" l="1"/>
  <c r="H82" i="39" l="1"/>
  <c r="C84" i="39" s="1"/>
  <c r="H76" i="39"/>
  <c r="I82" i="39" l="1"/>
  <c r="I76" i="39"/>
  <c r="D101" i="39"/>
  <c r="D104" i="39" s="1"/>
  <c r="D120" i="39" s="1"/>
  <c r="D93" i="39"/>
  <c r="D94" i="39"/>
  <c r="E94" i="39" s="1"/>
  <c r="F94" i="39" s="1"/>
  <c r="G94" i="39" s="1"/>
  <c r="H94" i="39" s="1"/>
  <c r="I94" i="39" s="1"/>
  <c r="J94" i="39" s="1"/>
  <c r="K94" i="39" s="1"/>
  <c r="L94" i="39" s="1"/>
  <c r="M94" i="39" s="1"/>
  <c r="N94" i="39" s="1"/>
  <c r="O94" i="39" s="1"/>
  <c r="D96" i="39" l="1"/>
  <c r="J82" i="39"/>
  <c r="J76" i="39"/>
  <c r="K82" i="39" l="1"/>
  <c r="K76" i="39"/>
  <c r="M82" i="39" l="1"/>
  <c r="H85" i="39" s="1"/>
  <c r="L82" i="39"/>
  <c r="E93" i="39" l="1"/>
  <c r="E104" i="39" l="1"/>
  <c r="E120" i="39" s="1"/>
  <c r="F93" i="39"/>
  <c r="E96" i="39"/>
  <c r="F96" i="39" l="1"/>
  <c r="G93" i="39"/>
  <c r="F104" i="39"/>
  <c r="F120" i="39" s="1"/>
  <c r="G104" i="39" l="1"/>
  <c r="G120" i="39" s="1"/>
  <c r="H93" i="39"/>
  <c r="G96" i="39"/>
  <c r="H96" i="39" l="1"/>
  <c r="I93" i="39"/>
  <c r="H104" i="39"/>
  <c r="H120" i="39" s="1"/>
  <c r="I104" i="39" l="1"/>
  <c r="I120" i="39" s="1"/>
  <c r="C110" i="39"/>
  <c r="C111" i="39" s="1"/>
  <c r="I96" i="39"/>
  <c r="J96" i="39" l="1"/>
  <c r="J119" i="39" s="1"/>
  <c r="K93" i="39"/>
  <c r="J104" i="39"/>
  <c r="J120" i="39" s="1"/>
  <c r="K96" i="39" l="1"/>
  <c r="K119" i="39" s="1"/>
  <c r="L93" i="39"/>
  <c r="K104" i="39"/>
  <c r="K120" i="39" s="1"/>
  <c r="L104" i="39" l="1"/>
  <c r="L120" i="39" s="1"/>
  <c r="L96" i="39"/>
  <c r="L119" i="39" s="1"/>
  <c r="M93" i="39"/>
  <c r="N93" i="39" l="1"/>
  <c r="M96" i="39"/>
  <c r="M119" i="39" s="1"/>
  <c r="M104" i="39"/>
  <c r="M120" i="39" s="1"/>
  <c r="O104" i="39" l="1"/>
  <c r="O120" i="39" s="1"/>
  <c r="N104" i="39"/>
  <c r="N120" i="39" s="1"/>
  <c r="N96" i="39"/>
  <c r="N119" i="39" s="1"/>
  <c r="O93" i="39"/>
  <c r="O96" i="39" s="1"/>
  <c r="O119" i="39" s="1"/>
</calcChain>
</file>

<file path=xl/sharedStrings.xml><?xml version="1.0" encoding="utf-8"?>
<sst xmlns="http://schemas.openxmlformats.org/spreadsheetml/2006/main" count="387" uniqueCount="309">
  <si>
    <t>LBNL, 2024</t>
  </si>
  <si>
    <t xml:space="preserve">Data center : run phase : final energy consumption (TWh) </t>
  </si>
  <si>
    <t>US - LBNL, 2024 - low</t>
  </si>
  <si>
    <t>US - LBNL, 2024 - high</t>
  </si>
  <si>
    <t>IEA, 2025</t>
  </si>
  <si>
    <t xml:space="preserve">Data center : run phase : total energy consumption (TWh) </t>
  </si>
  <si>
    <t>IEA, 2025 - Base</t>
  </si>
  <si>
    <t>IEA, 2025 - Lift-off</t>
  </si>
  <si>
    <t>IEA, 2025 - High efficiency</t>
  </si>
  <si>
    <t>IEA, 2025 - Headwinds</t>
  </si>
  <si>
    <t xml:space="preserve">Data center : run phase : total installed capacity (GW) </t>
  </si>
  <si>
    <t>IEA, 2025 - Historic - Data center : Run phase</t>
  </si>
  <si>
    <t>Total electricity consumption (TWh)</t>
  </si>
  <si>
    <t>IT electricity consumption (TWh)</t>
  </si>
  <si>
    <t>Total installed capacity (GW)</t>
  </si>
  <si>
    <t>IT installed capacity (GW)</t>
  </si>
  <si>
    <t xml:space="preserve">Schneider Electric, 2024 </t>
  </si>
  <si>
    <t xml:space="preserve">Schneider Electric, 2024 : AI : run phase : total electricity consumption (TWh) </t>
  </si>
  <si>
    <t>Schneider Electric, 2024 - Sustainable AI</t>
  </si>
  <si>
    <t>Schneider Electric, 2024 - Limits to growth</t>
  </si>
  <si>
    <t>Schneider Electric, 2024 - Abundance without boundaries</t>
  </si>
  <si>
    <t>Schneider Electric, 2024 - Energy crunch</t>
  </si>
  <si>
    <t>Deloitte, 2024</t>
  </si>
  <si>
    <t>Deloitte, 2024 - Baseline</t>
  </si>
  <si>
    <t>Deloitte, 2024 - High adoption</t>
  </si>
  <si>
    <t>DCByte, 2024</t>
  </si>
  <si>
    <t xml:space="preserve">Data center : operational IT power installed (GW) </t>
  </si>
  <si>
    <t>CAGR</t>
  </si>
  <si>
    <t>DCByte, 2024 - Americas - IT</t>
  </si>
  <si>
    <t>DCByte, 2024 - APAC - IT</t>
  </si>
  <si>
    <t xml:space="preserve">DCByte, 2024 - EMEA - IT </t>
  </si>
  <si>
    <t>DCByte, 2024 - IT</t>
  </si>
  <si>
    <t>DCByte, 2025</t>
  </si>
  <si>
    <t>DCByte, 2025 - Americas - IT</t>
  </si>
  <si>
    <t>DCByte, 2025 - APAC - IT</t>
  </si>
  <si>
    <t xml:space="preserve">DCByte, 2025 - EMEA - IT </t>
  </si>
  <si>
    <t>DCByte, 2025 - IT</t>
  </si>
  <si>
    <t>IEA, 2024</t>
  </si>
  <si>
    <t>IEA, 2024 - Low case</t>
  </si>
  <si>
    <t>IEA, 2024 - Base case</t>
  </si>
  <si>
    <t>IEA, 2024 - High case</t>
  </si>
  <si>
    <t>IEA, 2024 - US</t>
  </si>
  <si>
    <t>IEA, 2024 - EU</t>
  </si>
  <si>
    <t>IEA, 2024 - China (China's State Grid Energy Research Institute)</t>
  </si>
  <si>
    <t>EDNA, 2025</t>
  </si>
  <si>
    <t>TWh, 2023, sans crypto</t>
  </si>
  <si>
    <t>Min</t>
  </si>
  <si>
    <t>Max</t>
  </si>
  <si>
    <t xml:space="preserve">North America </t>
  </si>
  <si>
    <t xml:space="preserve">Zoom US </t>
  </si>
  <si>
    <t>Zoom Canada</t>
  </si>
  <si>
    <t xml:space="preserve">Asia Pacific </t>
  </si>
  <si>
    <t>Zoom China</t>
  </si>
  <si>
    <t>Zoom Japan</t>
  </si>
  <si>
    <t>Zoom Australia</t>
  </si>
  <si>
    <t>Zoom India</t>
  </si>
  <si>
    <t>Zoom Singapore</t>
  </si>
  <si>
    <t>Zoom South Korea</t>
  </si>
  <si>
    <t xml:space="preserve">Zoom Malysia </t>
  </si>
  <si>
    <t xml:space="preserve">Europe </t>
  </si>
  <si>
    <t>Zoom EU27</t>
  </si>
  <si>
    <t xml:space="preserve">Zoom UK </t>
  </si>
  <si>
    <t>Zoom Norway</t>
  </si>
  <si>
    <t>Zoom Iceland</t>
  </si>
  <si>
    <t xml:space="preserve">Other regions </t>
  </si>
  <si>
    <t>Zoom Latin America</t>
  </si>
  <si>
    <t>Zoom Africa</t>
  </si>
  <si>
    <t>Zoom Middle East</t>
  </si>
  <si>
    <t>The Shift Project, 2021</t>
  </si>
  <si>
    <t xml:space="preserve">Run phase (TWh) </t>
  </si>
  <si>
    <t>TSP - Lean ICT, 2021 - Conservative</t>
  </si>
  <si>
    <t>TSP - Lean ICT, 2021 - Growth</t>
  </si>
  <si>
    <t xml:space="preserve">TSP - Lean ICT, 2021 - Growth Less EE </t>
  </si>
  <si>
    <t>TSP - Lean ICT, 2021 - New Sobriety</t>
  </si>
  <si>
    <t>The Shift Project, 2018</t>
  </si>
  <si>
    <t>TSP - Lean ICT, 2018 - Phase I</t>
  </si>
  <si>
    <t>Borderstep, 2019</t>
  </si>
  <si>
    <t>Borderstep (Hintemann, Hinterholzer, 2020)</t>
  </si>
  <si>
    <t>Borderstep, 2022</t>
  </si>
  <si>
    <t>Comparaison avec Borderstep pour EU28 dans European Commission, 2024</t>
  </si>
  <si>
    <t>TWh</t>
  </si>
  <si>
    <t>CAGR 2010 -2022</t>
  </si>
  <si>
    <t>CAGR 2019-2022</t>
  </si>
  <si>
    <t>EU27</t>
  </si>
  <si>
    <t>Monde</t>
  </si>
  <si>
    <t>SemiAnalysis, 2024</t>
  </si>
  <si>
    <t xml:space="preserve"> </t>
  </si>
  <si>
    <t>Global DC power usage per year (TWh)</t>
  </si>
  <si>
    <t>SemiAnalysis, 2024 - Limited AI Impact</t>
  </si>
  <si>
    <t>SemiAnalysis, 2024 - Base Case</t>
  </si>
  <si>
    <t>SemiAnalysis, 2024 - Accelerated Case</t>
  </si>
  <si>
    <t>McKinsey Eu, 2024</t>
  </si>
  <si>
    <t>Europe (UE27+UK) - McKinsey, 2024</t>
  </si>
  <si>
    <t>McKinsey, 2024</t>
  </si>
  <si>
    <t xml:space="preserve">Data center : demand for data center total capacity (GW) </t>
  </si>
  <si>
    <t xml:space="preserve">McKinsey, 2024 - Low-range </t>
  </si>
  <si>
    <t xml:space="preserve">McKinsey, 2024 - Midrange </t>
  </si>
  <si>
    <t>McKinsey, 2024 - Upper-range</t>
  </si>
  <si>
    <t>Zoom crypto</t>
  </si>
  <si>
    <t xml:space="preserve">CBECI, 2025 - TWh </t>
  </si>
  <si>
    <t>CAGR 2019-2023</t>
  </si>
  <si>
    <t>CBECI En TWh</t>
  </si>
  <si>
    <t xml:space="preserve">Crypto (TWh) </t>
  </si>
  <si>
    <t xml:space="preserve">CBECI - bitcoin </t>
  </si>
  <si>
    <t>LBNL, 2024 - US (p. 60-64)</t>
  </si>
  <si>
    <t>IEA, tracking report global trends</t>
  </si>
  <si>
    <t>Digiconomist</t>
  </si>
  <si>
    <t>176 - 16 GW</t>
  </si>
  <si>
    <t>European Commission, 2024</t>
  </si>
  <si>
    <t>Données disponibles - McKinsey, ICIS, DC Byte</t>
  </si>
  <si>
    <t xml:space="preserve">Mc Kinsey </t>
  </si>
  <si>
    <t>cagr</t>
  </si>
  <si>
    <t>conso hors crypto</t>
  </si>
  <si>
    <t>% hyperscalers</t>
  </si>
  <si>
    <t xml:space="preserve">% colocation </t>
  </si>
  <si>
    <t>% enterprise</t>
  </si>
  <si>
    <t>puissance IT installée</t>
  </si>
  <si>
    <t>ICIS</t>
  </si>
  <si>
    <t>% colocation non hpc</t>
  </si>
  <si>
    <t>DC Byte</t>
  </si>
  <si>
    <t>cagr 2019-2024</t>
  </si>
  <si>
    <t>cagr 2024-2029</t>
  </si>
  <si>
    <t>puissance IT (?) installée EMEA</t>
  </si>
  <si>
    <t>CBRE</t>
  </si>
  <si>
    <t xml:space="preserve">colocation supply (GW) </t>
  </si>
  <si>
    <t>Rappel des données du modèle France (The Shift Project)</t>
  </si>
  <si>
    <t>Modèle France</t>
  </si>
  <si>
    <t>Hyper /GW</t>
  </si>
  <si>
    <t> </t>
  </si>
  <si>
    <t>HPC/GW</t>
  </si>
  <si>
    <t>Coloc/GW</t>
  </si>
  <si>
    <t>Hyper + HPC + Coloc / GW</t>
  </si>
  <si>
    <t>Hyper /TWh</t>
  </si>
  <si>
    <t>HPC/TWh</t>
  </si>
  <si>
    <t>Coloc/TWh</t>
  </si>
  <si>
    <t>Hyper + HPC + Coloc / TWh</t>
  </si>
  <si>
    <t>Résultats</t>
  </si>
  <si>
    <t>Méthode</t>
  </si>
  <si>
    <t>1/ La démarche est la suivante : on construit une séquence d’installation de DC (hyper + HPC + coloc) sur la base des chiffres de DCByte pour 2019, 2024 et 2029.
2/ Ensuite, on formalise une hypothèse d’évolution du facteur de charge en fonction de l’ancienneté de mise en service du DC : cette hypothèse « moyennise » les choix faits dans le modèle France, qui prend des hypothèses distinctes pour hyperscalers, HPC et coloc.
3/ On calcule ensuite la consommation IT théorique année par année à partir de ces deux tableaux (idem modèle France), ce qui permet de calculer un CAGR pour les périodes 2019/2024 et 2024/2029.
4/ Pour la période 2029 à 2035, on suppose que le CAGR est de 15 %, ce qui correspond, avec un décalage de phase de 5 ans, au CAGR de l’évolution de la puissance IT.
5/ Dans un premier temps, on fait l’hypothèse d’un PUE constant, ce qui permet donc d’appliquer ces CAGR à des consommations IT + non IT.
6/ Pour 2023, on s’appuie sur le chiffre retenu dans le scénario Monde pour l’Europe : 97 TWh dont 7 TWh de crypto. On considère (sur la base des rapports McKinsey et ICIS) que 60 % des 90 TWh restants proviennent de hyper + HPC + coloc, et 40 % des entreprises et de l’edge. On applique les CAGR et on obtient une séquence de consommations annuelles qui correspond au scénario High.
7/ Le scénario « Low » prend ensuite en compte :
d’une part, une amélioration forte du PUE qui passe de 1,38 en 2030 à 1,27 en 2035, ce qui induit une baisse de 1,6 point des CAGR à partir de 2030 (pas avant, en raison de la montée en charge des nouveaux DC, dont le PUE ne s’améliore vraiment que lorsqu’ils sont suffisamment chargés) ;
et d’autre part, un taux de croissance annuel de la consommation IT plus faible d’un point entre 2024 et 2035.
8/ Pour les lignes « entreprises et edge » et cryptomonnaies :
dans le scénario High, on applique les CAGR retenus dans le scénario Monde : respectivement 8 % et 15 % ;
dans le scénario Low, on applique des CAGR de 3 % et 10 %.</t>
  </si>
  <si>
    <t>Calculs</t>
  </si>
  <si>
    <t>Puissance hyperscalers, HPC et colocation (DC Byte)</t>
  </si>
  <si>
    <t>Puissance IT DcByte</t>
  </si>
  <si>
    <t>Puissance disponible</t>
  </si>
  <si>
    <t>Facteur de charge</t>
  </si>
  <si>
    <t>Cagr appliqué</t>
  </si>
  <si>
    <t>Hyperscalers, HPC et colocation</t>
  </si>
  <si>
    <t>Consommation IT DcByte (TWh)</t>
  </si>
  <si>
    <t>Consommation</t>
  </si>
  <si>
    <t>Consommation Totale (TWh)</t>
  </si>
  <si>
    <t>Dont crypto</t>
  </si>
  <si>
    <t>Modèle Europe high (post 2030)</t>
  </si>
  <si>
    <t>Entreprises et edge</t>
  </si>
  <si>
    <t>Cryptomonnaies</t>
  </si>
  <si>
    <t>Total</t>
  </si>
  <si>
    <t>Modèle Europe low (post 2030)</t>
  </si>
  <si>
    <t>Scénario low</t>
  </si>
  <si>
    <t>PUE</t>
  </si>
  <si>
    <t>Hypothèses</t>
  </si>
  <si>
    <t>PUE Hyperscalers, HPC et colocation en 2023</t>
  </si>
  <si>
    <t>Dans le scénario low, le cagr de la part "hyper +hpc+coloc" est réduit à partir de 2030 du fait de l'amélioration du PUE passant de 1,37 à 1,26</t>
  </si>
  <si>
    <t>PUE Hyperscalers, HPC et colocation en 2029</t>
  </si>
  <si>
    <t>PUE Hyperscalers, HPC et colocation en 2035</t>
  </si>
  <si>
    <t>"cagr"</t>
  </si>
  <si>
    <t>Consommation high</t>
  </si>
  <si>
    <t>Consommation low</t>
  </si>
  <si>
    <t>Graphiques</t>
  </si>
  <si>
    <t>IEA, 2025, Fig. 2.3 - Hist. (sans crypto)</t>
  </si>
  <si>
    <t>Consommation d'électricité en phase d'usage (TWh)</t>
  </si>
  <si>
    <t>CAGR (glissant sur les 5 ans précédents)</t>
  </si>
  <si>
    <t xml:space="preserve">Construction approche régionalisée et études de réfs : </t>
  </si>
  <si>
    <t>2023 (crypto comptés selon les cas)</t>
  </si>
  <si>
    <t>2023 (avec crypto dans tous les cas)</t>
  </si>
  <si>
    <t>Hyp de 150 TWh de crypto répartis avec (Hashrate Index, Q3 2025)</t>
  </si>
  <si>
    <t>Etats-Unis (LBNL, 2024)</t>
  </si>
  <si>
    <t>crypto inclus basé volume de serveurs</t>
  </si>
  <si>
    <t xml:space="preserve">Europe (Borderstep, 2022) </t>
  </si>
  <si>
    <t>90 TWh en 2022 et 4 % CAGR, crypto inclus basé sur volume de serveurs</t>
  </si>
  <si>
    <t>Chine (EDNA, 2025)</t>
  </si>
  <si>
    <t>correspond valeur max EDNA - comme peu d'info hyp crypto inclus</t>
  </si>
  <si>
    <t>Asie-Pacifique (EDNA, 2025)</t>
  </si>
  <si>
    <t xml:space="preserve">crypto ajouté à hauteur de 8 % de 150 TWh </t>
  </si>
  <si>
    <t>Amérique du Nord (sans Etats-Unis) (IEA, 2025)</t>
  </si>
  <si>
    <t xml:space="preserve">crypto ajouté à hauteur de 6 % de 150 TWh </t>
  </si>
  <si>
    <t>Amérique centrale et du Sud (IEA, 2025)</t>
  </si>
  <si>
    <t xml:space="preserve">crypto ajouté à hauteur de 7 % de 150 TWh </t>
  </si>
  <si>
    <t>Afrique(IEA, 2025)</t>
  </si>
  <si>
    <t xml:space="preserve">crypto ajouté à hauteur de 4 % de 150 TWh </t>
  </si>
  <si>
    <t>Moyen-Orient (IEA, 2025)</t>
  </si>
  <si>
    <t xml:space="preserve">crypto ajouté à hauteur de 5 % de 150 TWh </t>
  </si>
  <si>
    <t>Russie (Hypothèse)</t>
  </si>
  <si>
    <t xml:space="preserve">crypto ajouté à hauteur de 10 % de 150 TWh </t>
  </si>
  <si>
    <t xml:space="preserve">TOTAL </t>
  </si>
  <si>
    <t xml:space="preserve">Répartition par type de services : </t>
  </si>
  <si>
    <t>Répartition par type de services</t>
  </si>
  <si>
    <t xml:space="preserve">Total </t>
  </si>
  <si>
    <t>Part "IA" due au "phénomène IA générative" (voir partie VI.)</t>
  </si>
  <si>
    <t>Part cryptomonnaies (non étudiée dans le cadre de ce rapport)</t>
  </si>
  <si>
    <t>Part "hors IA"</t>
  </si>
  <si>
    <t xml:space="preserve">Comparaison : </t>
  </si>
  <si>
    <t>Consommation électrique phase d'usage (TWh)</t>
  </si>
  <si>
    <t xml:space="preserve">TSP, 2025 - Sans crypto </t>
  </si>
  <si>
    <t>IEA, 2025 - Sans crypto</t>
  </si>
  <si>
    <t>IEA, 2025 - Crypto seul</t>
  </si>
  <si>
    <t xml:space="preserve">121 TWh avec bitcoin seul (CBECI) </t>
  </si>
  <si>
    <t>EDNA, 2025 - Sans crypto</t>
  </si>
  <si>
    <t>[300; 380] ; [290 ; 480]</t>
  </si>
  <si>
    <t>CAGR 2023-2030 (input)</t>
  </si>
  <si>
    <t>CAGR 2030-2035 (input)</t>
  </si>
  <si>
    <t>CAGR 2023-2035 (output)</t>
  </si>
  <si>
    <t>CAGR caractéristique de la période à laquelle le cloud s’est développé (CAGR historique entre 2014-2019 et 2015-2020)</t>
  </si>
  <si>
    <t>A partir de notre analyse portant sur le parc de serveurs accélérés (voir la partie VI.) (résultat : 774 TWh en 2030) et est proche dans l'esprit des scénarios « Abundance » (Schneider Electric, 2024) (Valeur 2035 = 1370 TWh = Abundance, Schneider Electric, 2024), « Lift-off » (IEA, 2025) et « High adoption » (Deloitte, 2024) mais avec un peu de viscosité pour 2030 pour représenter le passage de la fabrication des serveurs à la mise en place des data centers et de l'offre de services (540 TWh au lieu de 620-880 TWh pour Schneider Electric par ex)</t>
  </si>
  <si>
    <t>Non étudiée dans ce rapport, la part cryptomonnaie est modélisée avec le même taux de croissance que l’ensemble de la part « hors IA » et de la part « IA ». 
Ce taux est inférieur au CAGR bitcoin de ces dernières années : CAGR 2019-2023 de 22 % (CBECI, 2025)</t>
  </si>
  <si>
    <t>CAGR 2023-2035 (input)</t>
  </si>
  <si>
    <t>Scénario exploratoire de déploiement indifférencié de l'offre de calcul et de son adoption généralisée</t>
  </si>
  <si>
    <t>Tendance conservatrice (taux de croissance 2024-2019 conservé, alors que croissant, cf. Annexe 1)</t>
  </si>
  <si>
    <t>Scénario Stated Policies STEPS pour la réduction de l'intensité carbone de la génération d'électricité (IEA WEO, 2024)</t>
  </si>
  <si>
    <t>Consommation électrique en phase d'usage (TWh)</t>
  </si>
  <si>
    <t>Proportion phase fabrication par rapport à phase d'usage</t>
  </si>
  <si>
    <r>
      <t>Facteur d'émission de l'électricité (gCO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e/kWh)</t>
    </r>
  </si>
  <si>
    <r>
      <t>Emissions de gaz à effets de serre  (MtCO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e)</t>
    </r>
  </si>
  <si>
    <t>Sensibilité à un scénario de transition énergétique contrariée (intensité carbone de la génération d'électricité constante)</t>
  </si>
  <si>
    <t>Hausse 2030 vs 2020</t>
  </si>
  <si>
    <t>Valeur abs.</t>
  </si>
  <si>
    <t>en %</t>
  </si>
  <si>
    <t>CAGR 2020-2030</t>
  </si>
  <si>
    <t xml:space="preserve">Par comparaison à 54 GtCO2eq en 2030 en limitant le réchauffement à 3°C (&gt;50%), Table SPM.2 (Intergovernmental Panel On Climate Change (Ipcc), 2023), on obtient x % </t>
  </si>
  <si>
    <r>
      <t>Si on compare à 44 GtCO2eq en 2030 (en limitant le réchauffement à 2°C (&gt;67%), Table SPM. 2 (Intergovernmental Panel On Climate Change (Ipcc), 2023), on obtient x %. La compatibilité entre ces scénarios sur les centres de données et une trajectoire 2°C (&gt;67%) à l’échelle mondiale étant plus que discutable, puisque cette “hausse surprise” de 0,86 GtCO</t>
    </r>
    <r>
      <rPr>
        <vertAlign val="subscript"/>
        <sz val="6.6"/>
        <color rgb="FF777777"/>
        <rFont val="Arial"/>
        <family val="2"/>
      </rPr>
      <t>2</t>
    </r>
    <r>
      <rPr>
        <sz val="8"/>
        <color rgb="FF777777"/>
        <rFont val="Arial"/>
        <family val="2"/>
      </rPr>
      <t>e n’est pas compensée par une prise en compte dans les scénarios des autres secteurs.</t>
    </r>
  </si>
  <si>
    <t>Cible - 45 % de GES entre 2020 et 2030 (SBTi, 2020)</t>
  </si>
  <si>
    <t>Cible - 90 % de GES entre 2020 et 2050</t>
  </si>
  <si>
    <r>
      <t>Emissions de gaz à effets de serre en 2020 (MtCO</t>
    </r>
    <r>
      <rPr>
        <b/>
        <vertAlign val="subscript"/>
        <sz val="11"/>
        <color rgb="FFFFFFFF"/>
        <rFont val="Calibri"/>
        <family val="2"/>
        <scheme val="minor"/>
      </rPr>
      <t>2</t>
    </r>
    <r>
      <rPr>
        <b/>
        <sz val="11"/>
        <color rgb="FFFFFFFF"/>
        <rFont val="Calibri"/>
        <family val="2"/>
        <scheme val="minor"/>
      </rPr>
      <t>e)</t>
    </r>
  </si>
  <si>
    <t>Scénario cible à -90% d'émissions de gaz à effets de serre entre 2020 et 2050</t>
  </si>
  <si>
    <t>Application d'un objectif de -90% à horizon 2050  (travail vers un objectif de neutralité 2050) (MtCO2e)</t>
  </si>
  <si>
    <r>
      <t>Cible d'émissions de GES (MtCO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e)</t>
    </r>
  </si>
  <si>
    <r>
      <t>Facteur d'émission de l'électricité (gCO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e/kWh)</t>
    </r>
  </si>
  <si>
    <t>Proportion phase fabrication par rapport à phase d'usage (*)</t>
  </si>
  <si>
    <t>Part phase fabrication</t>
  </si>
  <si>
    <t>Part phase usage</t>
  </si>
  <si>
    <t>Plafond consommation électricité phase d'usage (TWh)</t>
  </si>
  <si>
    <t>(*) Pas de modélisation du lien entre décarbonation de l'électricité et évolution de la proportion phase fabrication par rapport à phase d'usage (voir partie V.D. du rapport)</t>
  </si>
  <si>
    <t>Références</t>
  </si>
  <si>
    <t>Borderstep (Hintemann, Hinyerholzer), 2020</t>
  </si>
  <si>
    <r>
      <rPr>
        <i/>
        <sz val="11"/>
        <color theme="9"/>
        <rFont val="Calibri"/>
        <family val="2"/>
        <scheme val="minor"/>
      </rPr>
      <t>Energy consumption of data centers worldwide</t>
    </r>
    <r>
      <rPr>
        <sz val="11"/>
        <color theme="9"/>
        <rFont val="Calibri"/>
        <family val="2"/>
        <scheme val="minor"/>
      </rPr>
      <t>. https://www.researchgate.net/publication/341427004_Energy_consumption_of_data_centers_worldwide_How_will_the_Internet_become_green</t>
    </r>
  </si>
  <si>
    <t>Borderstep (Hintemann, Hinyerholzer), 2022</t>
  </si>
  <si>
    <r>
      <rPr>
        <i/>
        <sz val="11"/>
        <color theme="9"/>
        <rFont val="Calibri"/>
        <family val="2"/>
        <scheme val="minor"/>
      </rPr>
      <t>Borderstep 2022—Besoins croissants en énergie et en ressources du secteur des centres de données</t>
    </r>
    <r>
      <rPr>
        <sz val="11"/>
        <color theme="9"/>
        <rFont val="Calibri"/>
        <family val="2"/>
        <scheme val="minor"/>
      </rPr>
      <t>. https://www.borderstep.de/publikation/hintemann-r-hinterholzer-s-2023-rechenzentren-2022-steigender-energie-und-ressourcenbedarf-der-rechenzentrumsbranche-berlin-borderstep-institut/</t>
    </r>
  </si>
  <si>
    <t>CBECI</t>
  </si>
  <si>
    <r>
      <t>C</t>
    </r>
    <r>
      <rPr>
        <i/>
        <sz val="11"/>
        <color theme="9"/>
        <rFont val="Public Sans"/>
      </rPr>
      <t>ambridge Bitcoin Electricity Consumption Index</t>
    </r>
    <r>
      <rPr>
        <sz val="11"/>
        <color theme="9"/>
        <rFont val="Public Sans"/>
      </rPr>
      <t>. https://ccaf.io/cbnsi/cbeci</t>
    </r>
  </si>
  <si>
    <r>
      <rPr>
        <i/>
        <sz val="11"/>
        <color theme="9"/>
        <rFont val="Arial"/>
        <family val="2"/>
      </rPr>
      <t>Global Data Centre Index</t>
    </r>
    <r>
      <rPr>
        <sz val="11"/>
        <color theme="9"/>
        <rFont val="Arial"/>
        <family val="2"/>
      </rPr>
      <t xml:space="preserve">. https://www.dcbyte.com/global-data-centre-index/2024-global-data-centre-index/ </t>
    </r>
  </si>
  <si>
    <r>
      <rPr>
        <i/>
        <sz val="11"/>
        <color theme="9"/>
        <rFont val="Calibri"/>
        <family val="2"/>
        <scheme val="minor"/>
      </rPr>
      <t>Global Data Centre Index</t>
    </r>
    <r>
      <rPr>
        <sz val="11"/>
        <color theme="9"/>
        <rFont val="Calibri"/>
        <family val="2"/>
        <scheme val="minor"/>
      </rPr>
      <t>. https://www.dcbyte.com/global-data-centre-index/2025-global-data-centre-index/</t>
    </r>
  </si>
  <si>
    <r>
      <rPr>
        <i/>
        <sz val="11"/>
        <color theme="9"/>
        <rFont val="Arial"/>
        <family val="2"/>
      </rPr>
      <t>Powering artificial intelligence A study of AI’s environmental footprint</t>
    </r>
    <r>
      <rPr>
        <sz val="11"/>
        <color theme="9"/>
        <rFont val="Arial"/>
        <family val="2"/>
      </rPr>
      <t>—Today and tomorrow. https://www.deloitte.com/global/en/issues/climate/powering-ai.html</t>
    </r>
  </si>
  <si>
    <r>
      <rPr>
        <i/>
        <sz val="11"/>
        <color theme="9"/>
        <rFont val="Calibri"/>
        <family val="2"/>
        <scheme val="minor"/>
      </rPr>
      <t>Data Centre Energy Use : Critical Review of Models and Results</t>
    </r>
    <r>
      <rPr>
        <sz val="11"/>
        <color theme="9"/>
        <rFont val="Calibri"/>
        <family val="2"/>
        <scheme val="minor"/>
      </rPr>
      <t>. https://www.iea-4e.org/wp-content/uploads/2025/05/Data-Centre-Energy-Use-Critical-Review-of-Models-and-Results.pdf</t>
    </r>
  </si>
  <si>
    <r>
      <rPr>
        <i/>
        <sz val="11"/>
        <color theme="9"/>
        <rFont val="Calibri"/>
        <family val="2"/>
        <scheme val="minor"/>
      </rPr>
      <t>Energy Consumption in Data Centres and Broadband Communication Networks in the EU</t>
    </r>
    <r>
      <rPr>
        <sz val="11"/>
        <color theme="9"/>
        <rFont val="Calibri"/>
        <family val="2"/>
        <scheme val="minor"/>
      </rPr>
      <t>. https://publications.jrc.ec.europa.eu/repository/handle/JRC135926</t>
    </r>
  </si>
  <si>
    <r>
      <rPr>
        <i/>
        <sz val="11"/>
        <color theme="9"/>
        <rFont val="Calibri"/>
        <family val="2"/>
        <scheme val="minor"/>
      </rPr>
      <t>Electricity 2024—Analysis and forecast to 2026</t>
    </r>
    <r>
      <rPr>
        <sz val="11"/>
        <color theme="9"/>
        <rFont val="Calibri"/>
        <family val="2"/>
        <scheme val="minor"/>
      </rPr>
      <t>. https://www.iea.org/reports/electricity-2024</t>
    </r>
  </si>
  <si>
    <r>
      <rPr>
        <i/>
        <sz val="11"/>
        <color theme="9"/>
        <rFont val="Public Sans"/>
      </rPr>
      <t>Energy and AI</t>
    </r>
    <r>
      <rPr>
        <sz val="11"/>
        <color theme="9"/>
        <rFont val="Public Sans"/>
      </rPr>
      <t>. https://www.iea.org/reports/energy-and-ai</t>
    </r>
  </si>
  <si>
    <t>Lawrence Berkeley National Laboratory, Berkeley, California, Shehabi A., Smith, S.J., Hubbard, A., Newkirk, A., Lei, N., Siddik, M.A.B., Holecek, B., &amp; Koomey J., Masanet, E., Sartor, D. (2024). 2024 United States Data Center Energy Usage Report. https://eta-publications.lbl.gov/sites/default/files/2024-12/lbnl-2024-united-states-data-center-energy-usage-report.pdf</t>
  </si>
  <si>
    <r>
      <rPr>
        <i/>
        <sz val="11"/>
        <color theme="9"/>
        <rFont val="Calibri"/>
        <family val="2"/>
        <scheme val="minor"/>
      </rPr>
      <t>The role of power in unlocking the European AI revolution</t>
    </r>
    <r>
      <rPr>
        <sz val="11"/>
        <color theme="9"/>
        <rFont val="Calibri"/>
        <family val="2"/>
        <scheme val="minor"/>
      </rPr>
      <t>. https://www.mckinsey.com/industries/electric-power-and-natural-gas/our-insights/the-role-of-power-in-unlocking-the-european-ai-revolution</t>
    </r>
  </si>
  <si>
    <r>
      <rPr>
        <i/>
        <sz val="11"/>
        <color theme="9"/>
        <rFont val="Calibri"/>
        <family val="2"/>
        <scheme val="minor"/>
      </rPr>
      <t>AI power : Expanding data center capacity to meet growing demand</t>
    </r>
    <r>
      <rPr>
        <sz val="11"/>
        <color theme="9"/>
        <rFont val="Calibri"/>
        <family val="2"/>
        <scheme val="minor"/>
      </rPr>
      <t>. https://www.mckinsey.com/industries/technology-media-and-telecommunications/our-insights/ai-power-expanding-data-center-capacity-to-meet-growing-demand</t>
    </r>
  </si>
  <si>
    <t>Schneider Electric, 2024</t>
  </si>
  <si>
    <r>
      <rPr>
        <i/>
        <sz val="11"/>
        <color theme="9"/>
        <rFont val="Public Sans"/>
      </rPr>
      <t>Artificial Intelligence and Electricity—A System Dynamics Approach</t>
    </r>
    <r>
      <rPr>
        <sz val="11"/>
        <color theme="9"/>
        <rFont val="Public Sans"/>
      </rPr>
      <t>. https://www.se.com/ww/en/download/document/TLA_System_Dynamics_Approach/</t>
    </r>
  </si>
  <si>
    <r>
      <rPr>
        <i/>
        <sz val="11"/>
        <color theme="9"/>
        <rFont val="Calibri"/>
        <family val="2"/>
        <scheme val="minor"/>
      </rPr>
      <t>AI Datacenter Energy Dilemma – Race for AI Datacenter Space Gigawatt Dreams and Matroyshka Brains Limited By Datacenters Not Chips</t>
    </r>
    <r>
      <rPr>
        <sz val="11"/>
        <color theme="9"/>
        <rFont val="Calibri"/>
        <family val="2"/>
        <scheme val="minor"/>
      </rPr>
      <t>. https://semianalysis.com/2024/03/13/ai-datacenter-energy-dilemma-race/#datacenter-math</t>
    </r>
  </si>
  <si>
    <r>
      <rPr>
        <i/>
        <sz val="11"/>
        <color theme="9"/>
        <rFont val="Calibri"/>
        <family val="2"/>
        <scheme val="minor"/>
      </rPr>
      <t>Lean ICT : Pour une sobriété numérique</t>
    </r>
    <r>
      <rPr>
        <sz val="11"/>
        <color theme="9"/>
        <rFont val="Calibri"/>
        <family val="2"/>
        <scheme val="minor"/>
      </rPr>
      <t xml:space="preserve">. The Shift Project. https://theshiftproject.org/article/pour-une-sobriete-numerique-rapport-shift/ </t>
    </r>
  </si>
  <si>
    <r>
      <rPr>
        <i/>
        <sz val="11"/>
        <color theme="9"/>
        <rFont val="Calibri"/>
        <family val="2"/>
        <scheme val="minor"/>
      </rPr>
      <t>Impact environnemental du numérique : Tendances à 5 ans et gouvernance de la 5G</t>
    </r>
    <r>
      <rPr>
        <sz val="11"/>
        <color theme="9"/>
        <rFont val="Calibri"/>
        <family val="2"/>
        <scheme val="minor"/>
      </rPr>
      <t>. The Shift Project. https://theshiftproject.org/article/impact-environnemental-du-numerique-5g-nouvelle-etude-du-shift/</t>
    </r>
  </si>
  <si>
    <t>GW, Scénario "Base", IEA 2025</t>
  </si>
  <si>
    <t>2024-2030</t>
  </si>
  <si>
    <t>2031-2035</t>
  </si>
  <si>
    <t xml:space="preserve">Utilisé à plein potentiel </t>
  </si>
  <si>
    <t>GW</t>
  </si>
  <si>
    <t>GW %</t>
  </si>
  <si>
    <t>GES</t>
  </si>
  <si>
    <t xml:space="preserve">Charbon </t>
  </si>
  <si>
    <t>Gaz naturel</t>
  </si>
  <si>
    <t>Nucléaire</t>
  </si>
  <si>
    <t>Battery storage</t>
  </si>
  <si>
    <t>Renouvelables</t>
  </si>
  <si>
    <t>Mt / TWh</t>
  </si>
  <si>
    <t>TWh en 2035, IEA 2025</t>
  </si>
  <si>
    <t>Base</t>
  </si>
  <si>
    <t>Lift-off</t>
  </si>
  <si>
    <t xml:space="preserve">Renouvelables </t>
  </si>
  <si>
    <t>(100 TWh de trop dans ces graphiques…)</t>
  </si>
  <si>
    <t>A partir fig 2.23</t>
  </si>
  <si>
    <t>Base (MtCO2e)</t>
  </si>
  <si>
    <t>Lift-off (MtCO2e)</t>
  </si>
  <si>
    <t>Répartition (en %) - Base</t>
  </si>
  <si>
    <t>Répartition (en %) - Lift-off</t>
  </si>
  <si>
    <t>FE (MtCO2e/TWh)</t>
  </si>
  <si>
    <t>(à partir chiffres graphique)</t>
  </si>
  <si>
    <t>(à partir somme rapport)</t>
  </si>
  <si>
    <t>Somme sur le graphique</t>
  </si>
  <si>
    <t>Somme</t>
  </si>
  <si>
    <t>Chiffre somme dans le rapport</t>
  </si>
  <si>
    <t xml:space="preserve">FE moyen </t>
  </si>
  <si>
    <t>A partir fig 2.20</t>
  </si>
  <si>
    <t>% en 2024</t>
  </si>
  <si>
    <t>% en 2030</t>
  </si>
  <si>
    <t>% en 2035</t>
  </si>
  <si>
    <t>MtCO2e 2020</t>
  </si>
  <si>
    <t>MtCO2e 2025</t>
  </si>
  <si>
    <t>MtCO2e 2030</t>
  </si>
  <si>
    <t>MtCO2e 2035</t>
  </si>
  <si>
    <t>MtCO2e 2024</t>
  </si>
  <si>
    <t>Solaire PV</t>
  </si>
  <si>
    <t>Vent</t>
  </si>
  <si>
    <t>Other renewable</t>
  </si>
  <si>
    <t>Utilisation</t>
  </si>
  <si>
    <t>Fabrication</t>
  </si>
  <si>
    <t>Composants informatiques</t>
  </si>
  <si>
    <t xml:space="preserve">Autres </t>
  </si>
  <si>
    <t>Sensibilité à une transition énergétique contrariée</t>
  </si>
  <si>
    <t>Scénario énergie "Stated Policies" (IEA,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</si>
</sst>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-* #,##0.000_-;\-* #,##0.000_-;_-* &quot;-&quot;??_-;_-@_-"/>
    <numFmt numFmtId="167" formatCode="_-* #,##0.0\ _€_-;\-* #,##0.0\ _€_-;_-* &quot;-&quot;?\ _€_-;_-@_-"/>
    <numFmt numFmtId="168" formatCode="_-* #,##0.00\ _€_-;\-* #,##0.00\ _€_-;_-* &quot;-&quot;??\ _€_-;_-@_-"/>
    <numFmt numFmtId="169" formatCode="0.000"/>
    <numFmt numFmtId="170" formatCode="0.0"/>
  </numFmts>
  <fonts count="4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rgb="FF00005A"/>
      <name val="Arial"/>
      <family val="2"/>
    </font>
    <font>
      <sz val="8"/>
      <color rgb="FF00005A"/>
      <name val="Arial"/>
      <family val="2"/>
    </font>
    <font>
      <sz val="11"/>
      <color theme="9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name val="Arial"/>
      <family val="2"/>
    </font>
    <font>
      <sz val="8"/>
      <color rgb="FF777777"/>
      <name val="Arial"/>
      <family val="2"/>
    </font>
    <font>
      <sz val="11"/>
      <color rgb="FF777777"/>
      <name val="Calibri"/>
      <family val="2"/>
      <scheme val="minor"/>
    </font>
    <font>
      <i/>
      <sz val="11"/>
      <color rgb="FF777777"/>
      <name val="Calibri"/>
      <family val="2"/>
      <scheme val="minor"/>
    </font>
    <font>
      <sz val="9"/>
      <color rgb="FF777777"/>
      <name val="Calibri"/>
      <family val="2"/>
      <scheme val="minor"/>
    </font>
    <font>
      <vertAlign val="subscript"/>
      <sz val="6.6"/>
      <color rgb="FF777777"/>
      <name val="Arial"/>
      <family val="2"/>
    </font>
    <font>
      <sz val="11"/>
      <color rgb="FFC0C0C0"/>
      <name val="Calibri"/>
      <family val="2"/>
      <scheme val="minor"/>
    </font>
    <font>
      <sz val="11"/>
      <color rgb="FF595959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9"/>
      <color theme="9"/>
      <name val="Calibri"/>
      <family val="2"/>
      <scheme val="minor"/>
    </font>
    <font>
      <sz val="9"/>
      <color theme="9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Public Sans"/>
    </font>
    <font>
      <i/>
      <sz val="11"/>
      <color theme="9"/>
      <name val="Public Sans"/>
    </font>
    <font>
      <i/>
      <sz val="11"/>
      <color theme="9"/>
      <name val="Arial"/>
      <family val="2"/>
    </font>
    <font>
      <sz val="11"/>
      <color theme="9"/>
      <name val="Arial"/>
      <family val="2"/>
    </font>
    <font>
      <i/>
      <sz val="11"/>
      <color theme="9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vertAlign val="subscript"/>
      <sz val="11"/>
      <color rgb="FFFFFFFF"/>
      <name val="Calibri"/>
      <family val="2"/>
      <scheme val="minor"/>
    </font>
    <font>
      <b/>
      <sz val="9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9"/>
      <color rgb="FFC0C0C0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color rgb="FF00005A"/>
      <name val="Calibri"/>
      <family val="2"/>
    </font>
    <font>
      <b/>
      <sz val="11"/>
      <color rgb="FF00005A"/>
      <name val="Calibri"/>
      <family val="2"/>
    </font>
    <font>
      <sz val="11"/>
      <color rgb="FFFF0000"/>
      <name val="Calibri"/>
      <family val="2"/>
    </font>
    <font>
      <sz val="14"/>
      <color rgb="FF00005A"/>
      <name val="Calibri"/>
      <family val="2"/>
    </font>
    <font>
      <b/>
      <sz val="12"/>
      <color rgb="FF00008E"/>
      <name val="Calibri"/>
      <family val="2"/>
    </font>
    <font>
      <b/>
      <sz val="12"/>
      <color rgb="FF00005A"/>
      <name val="Calibri"/>
      <family val="2"/>
    </font>
    <font>
      <b/>
      <sz val="11"/>
      <color rgb="FF00008E"/>
      <name val="Arial"/>
      <family val="2"/>
    </font>
    <font>
      <b/>
      <sz val="12"/>
      <color rgb="FFFFFFFF"/>
      <name val="Calibri"/>
      <family val="2"/>
    </font>
    <font>
      <b/>
      <sz val="11"/>
      <color rgb="FF00008E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00005A"/>
        <bgColor rgb="FF00005A"/>
      </patternFill>
    </fill>
    <fill>
      <patternFill patternType="solid">
        <fgColor rgb="FF0028DC"/>
        <bgColor rgb="FF0028DC"/>
      </patternFill>
    </fill>
    <fill>
      <patternFill patternType="solid">
        <fgColor rgb="FFFF8200"/>
        <bgColor rgb="FFFF8200"/>
      </patternFill>
    </fill>
    <fill>
      <patternFill patternType="solid">
        <fgColor rgb="FFFFDC23"/>
        <bgColor rgb="FFFFDC23"/>
      </patternFill>
    </fill>
    <fill>
      <patternFill patternType="solid">
        <fgColor theme="4"/>
        <bgColor rgb="FFFF8200"/>
      </patternFill>
    </fill>
    <fill>
      <patternFill patternType="solid">
        <fgColor theme="4"/>
        <bgColor rgb="FF00005A"/>
      </patternFill>
    </fill>
    <fill>
      <patternFill patternType="solid">
        <fgColor theme="9"/>
        <bgColor rgb="FF0028DC"/>
      </patternFill>
    </fill>
    <fill>
      <patternFill patternType="solid">
        <fgColor theme="7"/>
        <bgColor rgb="FF00005A"/>
      </patternFill>
    </fill>
    <fill>
      <patternFill patternType="solid">
        <fgColor theme="8"/>
        <bgColor rgb="FFFF8200"/>
      </patternFill>
    </fill>
    <fill>
      <patternFill patternType="lightUp"/>
    </fill>
    <fill>
      <patternFill patternType="lightUp">
        <fgColor indexed="65"/>
      </patternFill>
    </fill>
    <fill>
      <patternFill patternType="lightUp">
        <fgColor rgb="FF00005A"/>
        <bgColor rgb="FF00005A"/>
      </patternFill>
    </fill>
    <fill>
      <patternFill patternType="lightUp">
        <fgColor rgb="FF0028DC"/>
        <bgColor rgb="FF0028DC"/>
      </patternFill>
    </fill>
    <fill>
      <patternFill patternType="lightUp">
        <fgColor rgb="FF0028DC"/>
        <bgColor theme="4"/>
      </patternFill>
    </fill>
    <fill>
      <patternFill patternType="lightUp">
        <fgColor rgb="FFFF8200"/>
        <bgColor rgb="FFFF8200"/>
      </patternFill>
    </fill>
    <fill>
      <patternFill patternType="lightUp">
        <fgColor rgb="FFFFDC23"/>
        <bgColor rgb="FFFFDC23"/>
      </patternFill>
    </fill>
    <fill>
      <patternFill patternType="solid">
        <fgColor theme="7"/>
        <bgColor rgb="FFFF8200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rgb="FF0028DC"/>
      </patternFill>
    </fill>
    <fill>
      <patternFill patternType="solid">
        <fgColor theme="6"/>
        <bgColor rgb="FFFF8200"/>
      </patternFill>
    </fill>
    <fill>
      <patternFill patternType="solid">
        <fgColor theme="8"/>
        <bgColor rgb="FFFFDC23"/>
      </patternFill>
    </fill>
    <fill>
      <patternFill patternType="solid">
        <fgColor rgb="FFFFFFFF"/>
        <bgColor rgb="FF00005A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rgb="FF00005A"/>
      </patternFill>
    </fill>
    <fill>
      <patternFill patternType="solid">
        <fgColor theme="5"/>
        <bgColor rgb="FFFF8200"/>
      </patternFill>
    </fill>
    <fill>
      <patternFill patternType="solid">
        <fgColor theme="3"/>
        <bgColor rgb="FFFF8200"/>
      </patternFill>
    </fill>
    <fill>
      <patternFill patternType="solid">
        <fgColor theme="5"/>
        <bgColor rgb="FF00005A"/>
      </patternFill>
    </fill>
    <fill>
      <patternFill patternType="solid">
        <fgColor theme="8"/>
        <bgColor rgb="FF00005A"/>
      </patternFill>
    </fill>
    <fill>
      <patternFill patternType="solid">
        <fgColor rgb="FF00CAFE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rgb="FF00005A"/>
      </bottom>
      <diagonal/>
    </border>
    <border>
      <left/>
      <right style="thin">
        <color auto="1"/>
      </right>
      <top/>
      <bottom style="dotted">
        <color rgb="FF00005A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tted">
        <color rgb="FF00005A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rgb="FF00005A"/>
      </bottom>
      <diagonal/>
    </border>
    <border>
      <left style="thin">
        <color auto="1"/>
      </left>
      <right style="dotted">
        <color rgb="FF00005A"/>
      </right>
      <top style="thin">
        <color auto="1"/>
      </top>
      <bottom style="dotted">
        <color rgb="FF00005A"/>
      </bottom>
      <diagonal/>
    </border>
    <border>
      <left/>
      <right style="thin">
        <color auto="1"/>
      </right>
      <top style="thin">
        <color auto="1"/>
      </top>
      <bottom style="dotted">
        <color rgb="FF00005A"/>
      </bottom>
      <diagonal/>
    </border>
    <border>
      <left style="thin">
        <color auto="1"/>
      </left>
      <right style="dotted">
        <color rgb="FF00005A"/>
      </right>
      <top/>
      <bottom style="dotted">
        <color rgb="FF00005A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rgb="FF00005A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0" fillId="0" borderId="0" applyFont="0" applyFill="0" applyBorder="0" applyProtection="0"/>
    <xf numFmtId="43" fontId="10" fillId="0" borderId="0" applyFont="0" applyFill="0" applyBorder="0" applyProtection="0"/>
    <xf numFmtId="0" fontId="10" fillId="0" borderId="0"/>
  </cellStyleXfs>
  <cellXfs count="286">
    <xf numFmtId="0" fontId="0" fillId="0" borderId="0" xfId="0"/>
    <xf numFmtId="164" fontId="3" fillId="0" borderId="4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0" fillId="0" borderId="7" xfId="0" applyBorder="1"/>
    <xf numFmtId="164" fontId="3" fillId="0" borderId="8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164" fontId="3" fillId="0" borderId="13" xfId="1" applyNumberFormat="1" applyFont="1" applyBorder="1" applyAlignment="1">
      <alignment horizontal="center" vertical="center" wrapText="1"/>
    </xf>
    <xf numFmtId="164" fontId="0" fillId="0" borderId="0" xfId="0" applyNumberFormat="1"/>
    <xf numFmtId="164" fontId="3" fillId="0" borderId="14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8" fillId="0" borderId="0" xfId="0" applyFont="1"/>
    <xf numFmtId="0" fontId="11" fillId="3" borderId="3" xfId="0" applyFont="1" applyFill="1" applyBorder="1" applyAlignment="1">
      <alignment horizontal="left" vertical="center" wrapText="1" indent="1"/>
    </xf>
    <xf numFmtId="0" fontId="11" fillId="4" borderId="3" xfId="0" applyFont="1" applyFill="1" applyBorder="1" applyAlignment="1">
      <alignment horizontal="left" vertical="center" wrapText="1" indent="1"/>
    </xf>
    <xf numFmtId="0" fontId="11" fillId="5" borderId="3" xfId="0" applyFont="1" applyFill="1" applyBorder="1" applyAlignment="1">
      <alignment horizontal="left" vertical="center" wrapText="1" indent="1"/>
    </xf>
    <xf numFmtId="0" fontId="9" fillId="6" borderId="2" xfId="0" applyFont="1" applyFill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left" vertical="center" wrapText="1" indent="1"/>
    </xf>
    <xf numFmtId="164" fontId="3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3" fillId="0" borderId="12" xfId="1" applyFont="1" applyBorder="1" applyAlignment="1">
      <alignment horizontal="center" vertical="center" wrapText="1"/>
    </xf>
    <xf numFmtId="43" fontId="3" fillId="0" borderId="13" xfId="1" applyFont="1" applyBorder="1" applyAlignment="1">
      <alignment horizontal="center" vertical="center" wrapText="1"/>
    </xf>
    <xf numFmtId="43" fontId="3" fillId="0" borderId="14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1" fillId="7" borderId="3" xfId="0" applyFont="1" applyFill="1" applyBorder="1" applyAlignment="1">
      <alignment horizontal="left" vertical="center" wrapText="1" indent="1"/>
    </xf>
    <xf numFmtId="0" fontId="11" fillId="9" borderId="3" xfId="0" applyFont="1" applyFill="1" applyBorder="1" applyAlignment="1">
      <alignment horizontal="left" vertical="center" wrapText="1" indent="1"/>
    </xf>
    <xf numFmtId="0" fontId="11" fillId="11" borderId="3" xfId="0" applyFont="1" applyFill="1" applyBorder="1" applyAlignment="1">
      <alignment horizontal="left" vertical="center" wrapText="1" indent="1"/>
    </xf>
    <xf numFmtId="164" fontId="3" fillId="0" borderId="1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43" fontId="0" fillId="0" borderId="26" xfId="1" applyFont="1" applyBorder="1"/>
    <xf numFmtId="0" fontId="0" fillId="0" borderId="28" xfId="0" applyBorder="1"/>
    <xf numFmtId="164" fontId="2" fillId="2" borderId="10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43" fontId="3" fillId="0" borderId="4" xfId="1" applyFont="1" applyBorder="1"/>
    <xf numFmtId="1" fontId="0" fillId="0" borderId="29" xfId="0" applyNumberFormat="1" applyBorder="1"/>
    <xf numFmtId="1" fontId="0" fillId="0" borderId="9" xfId="0" applyNumberFormat="1" applyBorder="1"/>
    <xf numFmtId="43" fontId="0" fillId="0" borderId="9" xfId="0" applyNumberFormat="1" applyBorder="1"/>
    <xf numFmtId="0" fontId="0" fillId="0" borderId="29" xfId="0" applyBorder="1"/>
    <xf numFmtId="0" fontId="0" fillId="0" borderId="9" xfId="0" applyBorder="1"/>
    <xf numFmtId="43" fontId="3" fillId="0" borderId="11" xfId="1" applyFont="1" applyBorder="1"/>
    <xf numFmtId="43" fontId="3" fillId="0" borderId="13" xfId="1" applyFont="1" applyBorder="1"/>
    <xf numFmtId="43" fontId="3" fillId="0" borderId="3" xfId="1" applyFont="1" applyBorder="1"/>
    <xf numFmtId="43" fontId="3" fillId="0" borderId="2" xfId="1" applyFont="1" applyBorder="1"/>
    <xf numFmtId="43" fontId="3" fillId="0" borderId="5" xfId="1" applyFont="1" applyBorder="1"/>
    <xf numFmtId="43" fontId="0" fillId="0" borderId="31" xfId="1" applyFont="1" applyBorder="1"/>
    <xf numFmtId="0" fontId="0" fillId="12" borderId="20" xfId="0" applyFill="1" applyBorder="1"/>
    <xf numFmtId="0" fontId="0" fillId="12" borderId="21" xfId="0" applyFill="1" applyBorder="1"/>
    <xf numFmtId="0" fontId="0" fillId="12" borderId="22" xfId="0" applyFill="1" applyBorder="1"/>
    <xf numFmtId="0" fontId="0" fillId="12" borderId="23" xfId="0" applyFill="1" applyBorder="1"/>
    <xf numFmtId="0" fontId="12" fillId="13" borderId="1" xfId="0" applyFont="1" applyFill="1" applyBorder="1" applyAlignment="1">
      <alignment horizontal="left" vertical="center" wrapText="1" indent="1"/>
    </xf>
    <xf numFmtId="164" fontId="2" fillId="13" borderId="1" xfId="1" applyNumberFormat="1" applyFont="1" applyFill="1" applyBorder="1" applyAlignment="1">
      <alignment horizontal="center" vertical="center" wrapText="1"/>
    </xf>
    <xf numFmtId="0" fontId="0" fillId="12" borderId="0" xfId="0" applyFill="1"/>
    <xf numFmtId="0" fontId="11" fillId="14" borderId="3" xfId="0" applyFont="1" applyFill="1" applyBorder="1" applyAlignment="1">
      <alignment horizontal="left" vertical="center" wrapText="1" indent="1"/>
    </xf>
    <xf numFmtId="165" fontId="3" fillId="12" borderId="12" xfId="1" applyNumberFormat="1" applyFont="1" applyFill="1" applyBorder="1" applyAlignment="1">
      <alignment horizontal="center" vertical="center" wrapText="1"/>
    </xf>
    <xf numFmtId="165" fontId="3" fillId="12" borderId="13" xfId="1" applyNumberFormat="1" applyFont="1" applyFill="1" applyBorder="1" applyAlignment="1">
      <alignment horizontal="center" vertical="center" wrapText="1"/>
    </xf>
    <xf numFmtId="167" fontId="0" fillId="12" borderId="0" xfId="0" applyNumberFormat="1" applyFill="1"/>
    <xf numFmtId="167" fontId="0" fillId="12" borderId="24" xfId="0" applyNumberFormat="1" applyFill="1" applyBorder="1"/>
    <xf numFmtId="0" fontId="11" fillId="15" borderId="3" xfId="0" applyFont="1" applyFill="1" applyBorder="1" applyAlignment="1">
      <alignment horizontal="left" vertical="center" wrapText="1" indent="1"/>
    </xf>
    <xf numFmtId="165" fontId="3" fillId="12" borderId="14" xfId="1" applyNumberFormat="1" applyFont="1" applyFill="1" applyBorder="1" applyAlignment="1">
      <alignment horizontal="center" vertical="center" wrapText="1"/>
    </xf>
    <xf numFmtId="165" fontId="3" fillId="12" borderId="4" xfId="1" applyNumberFormat="1" applyFont="1" applyFill="1" applyBorder="1" applyAlignment="1">
      <alignment horizontal="center" vertical="center" wrapText="1"/>
    </xf>
    <xf numFmtId="0" fontId="11" fillId="16" borderId="3" xfId="0" applyFont="1" applyFill="1" applyBorder="1" applyAlignment="1">
      <alignment horizontal="left" vertical="center" wrapText="1" indent="1"/>
    </xf>
    <xf numFmtId="0" fontId="11" fillId="17" borderId="3" xfId="0" applyFont="1" applyFill="1" applyBorder="1" applyAlignment="1">
      <alignment horizontal="left" vertical="center" wrapText="1" indent="1"/>
    </xf>
    <xf numFmtId="0" fontId="9" fillId="18" borderId="2" xfId="0" applyFont="1" applyFill="1" applyBorder="1" applyAlignment="1">
      <alignment horizontal="left" vertical="center" wrapText="1" indent="1"/>
    </xf>
    <xf numFmtId="165" fontId="3" fillId="12" borderId="8" xfId="1" applyNumberFormat="1" applyFont="1" applyFill="1" applyBorder="1" applyAlignment="1">
      <alignment horizontal="center" vertical="center" wrapText="1"/>
    </xf>
    <xf numFmtId="165" fontId="3" fillId="12" borderId="5" xfId="1" applyNumberFormat="1" applyFont="1" applyFill="1" applyBorder="1" applyAlignment="1">
      <alignment horizontal="center" vertical="center" wrapText="1"/>
    </xf>
    <xf numFmtId="0" fontId="0" fillId="12" borderId="24" xfId="0" applyFill="1" applyBorder="1"/>
    <xf numFmtId="164" fontId="3" fillId="12" borderId="12" xfId="1" applyNumberFormat="1" applyFont="1" applyFill="1" applyBorder="1" applyAlignment="1">
      <alignment horizontal="center" vertical="center" wrapText="1"/>
    </xf>
    <xf numFmtId="164" fontId="3" fillId="12" borderId="13" xfId="1" applyNumberFormat="1" applyFont="1" applyFill="1" applyBorder="1" applyAlignment="1">
      <alignment horizontal="center" vertical="center" wrapText="1"/>
    </xf>
    <xf numFmtId="164" fontId="0" fillId="12" borderId="0" xfId="0" applyNumberFormat="1" applyFill="1"/>
    <xf numFmtId="164" fontId="3" fillId="12" borderId="14" xfId="1" applyNumberFormat="1" applyFont="1" applyFill="1" applyBorder="1" applyAlignment="1">
      <alignment horizontal="center" vertical="center" wrapText="1"/>
    </xf>
    <xf numFmtId="164" fontId="3" fillId="12" borderId="4" xfId="1" applyNumberFormat="1" applyFont="1" applyFill="1" applyBorder="1" applyAlignment="1">
      <alignment horizontal="center" vertical="center" wrapText="1"/>
    </xf>
    <xf numFmtId="164" fontId="3" fillId="12" borderId="8" xfId="1" applyNumberFormat="1" applyFont="1" applyFill="1" applyBorder="1" applyAlignment="1">
      <alignment horizontal="center" vertical="center" wrapText="1"/>
    </xf>
    <xf numFmtId="164" fontId="3" fillId="12" borderId="5" xfId="1" applyNumberFormat="1" applyFont="1" applyFill="1" applyBorder="1" applyAlignment="1">
      <alignment horizontal="center" vertical="center" wrapText="1"/>
    </xf>
    <xf numFmtId="164" fontId="3" fillId="12" borderId="15" xfId="1" applyNumberFormat="1" applyFont="1" applyFill="1" applyBorder="1" applyAlignment="1">
      <alignment horizontal="center" vertical="center" wrapText="1"/>
    </xf>
    <xf numFmtId="164" fontId="3" fillId="12" borderId="16" xfId="1" applyNumberFormat="1" applyFont="1" applyFill="1" applyBorder="1" applyAlignment="1">
      <alignment horizontal="center" vertical="center" wrapText="1"/>
    </xf>
    <xf numFmtId="0" fontId="0" fillId="12" borderId="25" xfId="0" applyFill="1" applyBorder="1"/>
    <xf numFmtId="0" fontId="0" fillId="12" borderId="26" xfId="0" applyFill="1" applyBorder="1"/>
    <xf numFmtId="0" fontId="0" fillId="12" borderId="27" xfId="0" applyFill="1" applyBorder="1"/>
    <xf numFmtId="0" fontId="14" fillId="0" borderId="0" xfId="0" applyFont="1"/>
    <xf numFmtId="0" fontId="15" fillId="0" borderId="0" xfId="0" applyFont="1"/>
    <xf numFmtId="0" fontId="2" fillId="2" borderId="17" xfId="0" applyFont="1" applyFill="1" applyBorder="1" applyAlignment="1">
      <alignment horizontal="center" vertical="center" wrapText="1"/>
    </xf>
    <xf numFmtId="164" fontId="14" fillId="0" borderId="0" xfId="0" applyNumberFormat="1" applyFont="1"/>
    <xf numFmtId="168" fontId="14" fillId="0" borderId="0" xfId="0" applyNumberFormat="1" applyFont="1"/>
    <xf numFmtId="0" fontId="19" fillId="0" borderId="0" xfId="0" applyFont="1" applyAlignment="1">
      <alignment horizontal="center" vertical="center" readingOrder="1"/>
    </xf>
    <xf numFmtId="0" fontId="20" fillId="0" borderId="0" xfId="0" applyFont="1" applyAlignment="1">
      <alignment horizontal="center" vertical="center" readingOrder="1"/>
    </xf>
    <xf numFmtId="0" fontId="21" fillId="2" borderId="1" xfId="0" applyFont="1" applyFill="1" applyBorder="1" applyAlignment="1">
      <alignment horizontal="left" vertical="center" wrapText="1" indent="1"/>
    </xf>
    <xf numFmtId="164" fontId="21" fillId="2" borderId="17" xfId="1" applyNumberFormat="1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left" vertical="center" wrapText="1"/>
    </xf>
    <xf numFmtId="164" fontId="22" fillId="0" borderId="1" xfId="1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166" fontId="22" fillId="0" borderId="1" xfId="1" applyNumberFormat="1" applyFont="1" applyBorder="1" applyAlignment="1">
      <alignment vertical="center"/>
    </xf>
    <xf numFmtId="0" fontId="23" fillId="21" borderId="1" xfId="0" applyFont="1" applyFill="1" applyBorder="1" applyAlignment="1">
      <alignment horizontal="left" vertical="center" wrapText="1"/>
    </xf>
    <xf numFmtId="0" fontId="22" fillId="0" borderId="0" xfId="0" applyFont="1"/>
    <xf numFmtId="0" fontId="25" fillId="2" borderId="1" xfId="0" applyFont="1" applyFill="1" applyBorder="1" applyAlignment="1">
      <alignment horizontal="left" vertical="center" wrapText="1" indent="1"/>
    </xf>
    <xf numFmtId="164" fontId="25" fillId="2" borderId="17" xfId="1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left" vertical="center" wrapText="1" indent="1"/>
    </xf>
    <xf numFmtId="164" fontId="4" fillId="0" borderId="1" xfId="1" applyNumberFormat="1" applyFont="1" applyBorder="1" applyAlignment="1">
      <alignment horizontal="center" vertical="center" wrapText="1"/>
    </xf>
    <xf numFmtId="0" fontId="24" fillId="23" borderId="1" xfId="0" applyFont="1" applyFill="1" applyBorder="1" applyAlignment="1">
      <alignment horizontal="left" vertical="center" wrapText="1" indent="1"/>
    </xf>
    <xf numFmtId="0" fontId="24" fillId="24" borderId="1" xfId="0" applyFont="1" applyFill="1" applyBorder="1" applyAlignment="1">
      <alignment horizontal="left" vertical="center" wrapText="1" indent="1"/>
    </xf>
    <xf numFmtId="0" fontId="24" fillId="25" borderId="1" xfId="0" applyFont="1" applyFill="1" applyBorder="1" applyAlignment="1">
      <alignment horizontal="left" vertical="center" wrapText="1" indent="1"/>
    </xf>
    <xf numFmtId="0" fontId="22" fillId="0" borderId="7" xfId="0" applyFont="1" applyBorder="1"/>
    <xf numFmtId="0" fontId="26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1" fillId="0" borderId="0" xfId="0" applyFont="1"/>
    <xf numFmtId="43" fontId="4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22" fillId="0" borderId="0" xfId="1" applyNumberFormat="1" applyFont="1" applyBorder="1" applyAlignment="1">
      <alignment horizontal="center" vertical="center" wrapText="1"/>
    </xf>
    <xf numFmtId="1" fontId="22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24" fillId="21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vertical="center"/>
    </xf>
    <xf numFmtId="43" fontId="6" fillId="0" borderId="7" xfId="1" applyFont="1" applyBorder="1"/>
    <xf numFmtId="0" fontId="6" fillId="0" borderId="17" xfId="0" applyFont="1" applyBorder="1" applyAlignment="1">
      <alignment horizontal="center" vertical="center" wrapText="1"/>
    </xf>
    <xf numFmtId="43" fontId="6" fillId="0" borderId="0" xfId="1" applyFont="1" applyBorder="1"/>
    <xf numFmtId="0" fontId="6" fillId="0" borderId="17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7" xfId="0" applyFont="1" applyBorder="1"/>
    <xf numFmtId="0" fontId="6" fillId="0" borderId="6" xfId="0" applyFont="1" applyBorder="1"/>
    <xf numFmtId="0" fontId="6" fillId="0" borderId="2" xfId="0" applyFont="1" applyBorder="1"/>
    <xf numFmtId="43" fontId="6" fillId="0" borderId="32" xfId="1" applyFont="1" applyBorder="1"/>
    <xf numFmtId="43" fontId="6" fillId="0" borderId="16" xfId="1" applyFont="1" applyBorder="1"/>
    <xf numFmtId="43" fontId="6" fillId="0" borderId="28" xfId="1" applyFont="1" applyBorder="1"/>
    <xf numFmtId="43" fontId="6" fillId="0" borderId="5" xfId="1" applyFont="1" applyBorder="1"/>
    <xf numFmtId="0" fontId="6" fillId="0" borderId="1" xfId="0" applyFont="1" applyBorder="1"/>
    <xf numFmtId="164" fontId="6" fillId="0" borderId="1" xfId="1" applyNumberFormat="1" applyFont="1" applyBorder="1"/>
    <xf numFmtId="0" fontId="6" fillId="0" borderId="0" xfId="0" applyFont="1"/>
    <xf numFmtId="43" fontId="22" fillId="0" borderId="1" xfId="1" applyFont="1" applyBorder="1" applyAlignment="1">
      <alignment horizontal="center" vertical="center" wrapText="1"/>
    </xf>
    <xf numFmtId="0" fontId="33" fillId="26" borderId="1" xfId="0" applyFont="1" applyFill="1" applyBorder="1" applyAlignment="1">
      <alignment horizontal="left" vertical="center" wrapText="1"/>
    </xf>
    <xf numFmtId="0" fontId="33" fillId="27" borderId="1" xfId="0" applyFont="1" applyFill="1" applyBorder="1" applyAlignment="1">
      <alignment horizontal="left" vertical="center" wrapText="1"/>
    </xf>
    <xf numFmtId="0" fontId="7" fillId="27" borderId="1" xfId="0" applyFont="1" applyFill="1" applyBorder="1" applyAlignment="1">
      <alignment horizontal="left" vertical="center" wrapText="1"/>
    </xf>
    <xf numFmtId="0" fontId="24" fillId="22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9" fontId="24" fillId="20" borderId="1" xfId="0" applyNumberFormat="1" applyFont="1" applyFill="1" applyBorder="1" applyAlignment="1">
      <alignment vertical="center" wrapText="1"/>
    </xf>
    <xf numFmtId="0" fontId="24" fillId="28" borderId="1" xfId="0" applyFont="1" applyFill="1" applyBorder="1" applyAlignment="1">
      <alignment vertical="center" wrapText="1"/>
    </xf>
    <xf numFmtId="0" fontId="21" fillId="0" borderId="0" xfId="0" applyFont="1"/>
    <xf numFmtId="0" fontId="21" fillId="0" borderId="7" xfId="0" applyFont="1" applyBorder="1"/>
    <xf numFmtId="164" fontId="13" fillId="2" borderId="1" xfId="1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43" fontId="14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left" vertical="center" wrapText="1"/>
    </xf>
    <xf numFmtId="164" fontId="35" fillId="0" borderId="1" xfId="1" applyNumberFormat="1" applyFont="1" applyBorder="1" applyAlignment="1">
      <alignment horizontal="center" vertical="center" wrapText="1"/>
    </xf>
    <xf numFmtId="0" fontId="24" fillId="29" borderId="1" xfId="0" applyFont="1" applyFill="1" applyBorder="1" applyAlignment="1">
      <alignment horizontal="left" vertical="center" wrapText="1"/>
    </xf>
    <xf numFmtId="0" fontId="24" fillId="2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4" fontId="22" fillId="0" borderId="1" xfId="1" applyNumberFormat="1" applyFont="1" applyBorder="1" applyAlignment="1">
      <alignment vertical="center"/>
    </xf>
    <xf numFmtId="164" fontId="22" fillId="12" borderId="1" xfId="1" applyNumberFormat="1" applyFont="1" applyFill="1" applyBorder="1" applyAlignment="1">
      <alignment horizontal="center" vertical="center" wrapText="1"/>
    </xf>
    <xf numFmtId="43" fontId="22" fillId="12" borderId="1" xfId="1" applyFont="1" applyFill="1" applyBorder="1" applyAlignment="1">
      <alignment horizontal="center" vertical="center" wrapText="1"/>
    </xf>
    <xf numFmtId="43" fontId="22" fillId="0" borderId="1" xfId="1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36" fillId="0" borderId="0" xfId="0" applyFont="1"/>
    <xf numFmtId="43" fontId="18" fillId="0" borderId="0" xfId="1" applyFont="1"/>
    <xf numFmtId="0" fontId="18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24" fillId="30" borderId="1" xfId="0" applyFont="1" applyFill="1" applyBorder="1" applyAlignment="1">
      <alignment horizontal="left" vertical="center" wrapText="1" indent="1"/>
    </xf>
    <xf numFmtId="0" fontId="37" fillId="0" borderId="0" xfId="0" applyFont="1"/>
    <xf numFmtId="164" fontId="25" fillId="2" borderId="17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7" fillId="2" borderId="17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right"/>
    </xf>
    <xf numFmtId="0" fontId="14" fillId="0" borderId="0" xfId="0" applyFont="1" applyAlignment="1">
      <alignment horizontal="right"/>
    </xf>
    <xf numFmtId="164" fontId="6" fillId="2" borderId="1" xfId="1" applyNumberFormat="1" applyFont="1" applyFill="1" applyBorder="1" applyAlignment="1">
      <alignment horizontal="right" vertical="center" wrapText="1"/>
    </xf>
    <xf numFmtId="0" fontId="24" fillId="21" borderId="1" xfId="0" applyFont="1" applyFill="1" applyBorder="1" applyAlignment="1">
      <alignment horizontal="left" vertical="top" wrapText="1"/>
    </xf>
    <xf numFmtId="0" fontId="24" fillId="29" borderId="1" xfId="0" applyFont="1" applyFill="1" applyBorder="1" applyAlignment="1">
      <alignment horizontal="left" vertical="top" wrapText="1"/>
    </xf>
    <xf numFmtId="0" fontId="24" fillId="22" borderId="1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 wrapText="1"/>
    </xf>
    <xf numFmtId="0" fontId="25" fillId="2" borderId="1" xfId="0" applyFont="1" applyFill="1" applyBorder="1" applyAlignment="1">
      <alignment vertical="top" wrapText="1"/>
    </xf>
    <xf numFmtId="0" fontId="24" fillId="30" borderId="1" xfId="0" applyFont="1" applyFill="1" applyBorder="1" applyAlignment="1">
      <alignment vertical="top" wrapText="1"/>
    </xf>
    <xf numFmtId="0" fontId="24" fillId="31" borderId="1" xfId="0" applyFont="1" applyFill="1" applyBorder="1" applyAlignment="1">
      <alignment vertical="top" wrapText="1"/>
    </xf>
    <xf numFmtId="0" fontId="24" fillId="10" borderId="1" xfId="0" applyFont="1" applyFill="1" applyBorder="1" applyAlignment="1">
      <alignment vertical="top" wrapText="1"/>
    </xf>
    <xf numFmtId="0" fontId="24" fillId="32" borderId="1" xfId="0" applyFont="1" applyFill="1" applyBorder="1" applyAlignment="1">
      <alignment vertical="top" wrapText="1"/>
    </xf>
    <xf numFmtId="164" fontId="6" fillId="0" borderId="1" xfId="0" applyNumberFormat="1" applyFont="1" applyBorder="1"/>
    <xf numFmtId="0" fontId="24" fillId="20" borderId="1" xfId="0" applyFont="1" applyFill="1" applyBorder="1" applyAlignment="1">
      <alignment horizontal="left" vertical="top" wrapText="1"/>
    </xf>
    <xf numFmtId="0" fontId="24" fillId="19" borderId="1" xfId="0" applyFont="1" applyFill="1" applyBorder="1" applyAlignment="1">
      <alignment horizontal="left" vertical="center" wrapText="1" indent="1"/>
    </xf>
    <xf numFmtId="164" fontId="4" fillId="0" borderId="1" xfId="1" applyNumberFormat="1" applyFont="1" applyBorder="1"/>
    <xf numFmtId="0" fontId="24" fillId="8" borderId="1" xfId="0" applyFont="1" applyFill="1" applyBorder="1" applyAlignment="1">
      <alignment horizontal="center" vertical="center" wrapText="1"/>
    </xf>
    <xf numFmtId="0" fontId="24" fillId="33" borderId="1" xfId="0" applyFont="1" applyFill="1" applyBorder="1" applyAlignment="1">
      <alignment horizontal="left" vertical="center" wrapText="1" indent="1"/>
    </xf>
    <xf numFmtId="0" fontId="24" fillId="33" borderId="1" xfId="0" applyFont="1" applyFill="1" applyBorder="1" applyAlignment="1">
      <alignment horizontal="center" vertical="center" wrapText="1"/>
    </xf>
    <xf numFmtId="0" fontId="24" fillId="30" borderId="1" xfId="0" applyFont="1" applyFill="1" applyBorder="1" applyAlignment="1">
      <alignment horizontal="center" vertical="center" wrapText="1"/>
    </xf>
    <xf numFmtId="0" fontId="24" fillId="34" borderId="1" xfId="0" applyFont="1" applyFill="1" applyBorder="1" applyAlignment="1">
      <alignment horizontal="left" vertical="center" wrapText="1" indent="1"/>
    </xf>
    <xf numFmtId="0" fontId="24" fillId="34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0" fontId="24" fillId="20" borderId="1" xfId="0" applyFont="1" applyFill="1" applyBorder="1" applyAlignment="1">
      <alignment horizontal="left" vertical="center" wrapText="1" indent="1"/>
    </xf>
    <xf numFmtId="2" fontId="18" fillId="0" borderId="0" xfId="0" applyNumberFormat="1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166" fontId="3" fillId="0" borderId="18" xfId="1" applyNumberFormat="1" applyFont="1" applyBorder="1" applyAlignment="1">
      <alignment horizontal="center" vertical="center" wrapText="1"/>
    </xf>
    <xf numFmtId="166" fontId="3" fillId="0" borderId="19" xfId="1" applyNumberFormat="1" applyFont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9" fontId="38" fillId="0" borderId="0" xfId="0" applyNumberFormat="1" applyFont="1"/>
    <xf numFmtId="0" fontId="38" fillId="0" borderId="7" xfId="0" applyFont="1" applyBorder="1"/>
    <xf numFmtId="0" fontId="38" fillId="0" borderId="32" xfId="0" applyFont="1" applyBorder="1"/>
    <xf numFmtId="0" fontId="38" fillId="0" borderId="15" xfId="0" applyFont="1" applyBorder="1"/>
    <xf numFmtId="0" fontId="38" fillId="0" borderId="16" xfId="0" applyFont="1" applyBorder="1"/>
    <xf numFmtId="0" fontId="40" fillId="0" borderId="19" xfId="0" applyFont="1" applyBorder="1"/>
    <xf numFmtId="0" fontId="40" fillId="0" borderId="28" xfId="0" applyFont="1" applyBorder="1"/>
    <xf numFmtId="0" fontId="38" fillId="0" borderId="28" xfId="0" applyFont="1" applyBorder="1"/>
    <xf numFmtId="0" fontId="38" fillId="0" borderId="5" xfId="0" applyFont="1" applyBorder="1"/>
    <xf numFmtId="0" fontId="42" fillId="35" borderId="1" xfId="0" applyFont="1" applyFill="1" applyBorder="1"/>
    <xf numFmtId="0" fontId="42" fillId="35" borderId="9" xfId="0" applyFont="1" applyFill="1" applyBorder="1"/>
    <xf numFmtId="0" fontId="42" fillId="35" borderId="29" xfId="0" applyFont="1" applyFill="1" applyBorder="1"/>
    <xf numFmtId="0" fontId="43" fillId="0" borderId="2" xfId="0" applyFont="1" applyBorder="1"/>
    <xf numFmtId="0" fontId="43" fillId="0" borderId="5" xfId="0" applyFont="1" applyBorder="1"/>
    <xf numFmtId="0" fontId="38" fillId="0" borderId="2" xfId="0" applyFont="1" applyBorder="1"/>
    <xf numFmtId="0" fontId="38" fillId="0" borderId="19" xfId="0" applyFont="1" applyBorder="1"/>
    <xf numFmtId="0" fontId="44" fillId="35" borderId="9" xfId="0" applyFont="1" applyFill="1" applyBorder="1"/>
    <xf numFmtId="0" fontId="39" fillId="0" borderId="35" xfId="0" applyFont="1" applyBorder="1"/>
    <xf numFmtId="0" fontId="38" fillId="0" borderId="35" xfId="0" applyFont="1" applyBorder="1"/>
    <xf numFmtId="9" fontId="38" fillId="0" borderId="35" xfId="0" applyNumberFormat="1" applyFont="1" applyBorder="1"/>
    <xf numFmtId="0" fontId="41" fillId="0" borderId="0" xfId="0" applyFont="1" applyAlignment="1">
      <alignment horizontal="left" vertical="top" wrapText="1"/>
    </xf>
    <xf numFmtId="0" fontId="39" fillId="0" borderId="5" xfId="0" applyFont="1" applyBorder="1"/>
    <xf numFmtId="0" fontId="42" fillId="35" borderId="17" xfId="0" applyFont="1" applyFill="1" applyBorder="1"/>
    <xf numFmtId="0" fontId="42" fillId="35" borderId="32" xfId="0" applyFont="1" applyFill="1" applyBorder="1"/>
    <xf numFmtId="164" fontId="1" fillId="0" borderId="0" xfId="1" applyNumberFormat="1" applyFont="1"/>
    <xf numFmtId="0" fontId="1" fillId="12" borderId="0" xfId="0" applyFont="1" applyFill="1"/>
    <xf numFmtId="0" fontId="1" fillId="12" borderId="24" xfId="0" applyFont="1" applyFill="1" applyBorder="1"/>
    <xf numFmtId="0" fontId="1" fillId="0" borderId="20" xfId="0" applyFont="1" applyBorder="1"/>
    <xf numFmtId="0" fontId="1" fillId="0" borderId="10" xfId="0" applyFont="1" applyBorder="1"/>
    <xf numFmtId="0" fontId="1" fillId="0" borderId="30" xfId="0" applyFont="1" applyBorder="1"/>
    <xf numFmtId="170" fontId="38" fillId="0" borderId="35" xfId="0" applyNumberFormat="1" applyFont="1" applyBorder="1"/>
    <xf numFmtId="1" fontId="38" fillId="0" borderId="35" xfId="0" applyNumberFormat="1" applyFont="1" applyBorder="1"/>
    <xf numFmtId="2" fontId="38" fillId="0" borderId="5" xfId="0" applyNumberFormat="1" applyFont="1" applyBorder="1"/>
    <xf numFmtId="1" fontId="42" fillId="35" borderId="32" xfId="0" applyNumberFormat="1" applyFont="1" applyFill="1" applyBorder="1"/>
    <xf numFmtId="1" fontId="42" fillId="35" borderId="7" xfId="0" applyNumberFormat="1" applyFont="1" applyFill="1" applyBorder="1"/>
    <xf numFmtId="1" fontId="42" fillId="35" borderId="17" xfId="0" applyNumberFormat="1" applyFont="1" applyFill="1" applyBorder="1"/>
    <xf numFmtId="0" fontId="0" fillId="0" borderId="35" xfId="0" applyBorder="1"/>
    <xf numFmtId="1" fontId="0" fillId="0" borderId="35" xfId="0" applyNumberFormat="1" applyBorder="1"/>
    <xf numFmtId="0" fontId="42" fillId="35" borderId="35" xfId="0" applyFont="1" applyFill="1" applyBorder="1"/>
    <xf numFmtId="0" fontId="38" fillId="0" borderId="1" xfId="0" applyFont="1" applyBorder="1"/>
    <xf numFmtId="2" fontId="0" fillId="0" borderId="1" xfId="0" applyNumberFormat="1" applyBorder="1"/>
    <xf numFmtId="169" fontId="38" fillId="0" borderId="1" xfId="0" applyNumberFormat="1" applyFont="1" applyBorder="1"/>
    <xf numFmtId="2" fontId="38" fillId="0" borderId="1" xfId="0" applyNumberFormat="1" applyFont="1" applyBorder="1"/>
    <xf numFmtId="0" fontId="0" fillId="0" borderId="1" xfId="0" applyBorder="1"/>
    <xf numFmtId="0" fontId="42" fillId="35" borderId="1" xfId="0" applyFont="1" applyFill="1" applyBorder="1" applyAlignment="1">
      <alignment wrapText="1"/>
    </xf>
    <xf numFmtId="9" fontId="0" fillId="0" borderId="35" xfId="0" applyNumberFormat="1" applyBorder="1"/>
    <xf numFmtId="0" fontId="38" fillId="0" borderId="37" xfId="0" applyFont="1" applyBorder="1"/>
    <xf numFmtId="9" fontId="38" fillId="0" borderId="36" xfId="0" applyNumberFormat="1" applyFont="1" applyBorder="1"/>
    <xf numFmtId="0" fontId="46" fillId="35" borderId="1" xfId="0" applyFont="1" applyFill="1" applyBorder="1" applyAlignment="1">
      <alignment wrapText="1"/>
    </xf>
    <xf numFmtId="0" fontId="46" fillId="35" borderId="1" xfId="0" applyFont="1" applyFill="1" applyBorder="1" applyAlignment="1">
      <alignment horizontal="left" vertical="top" wrapText="1"/>
    </xf>
    <xf numFmtId="0" fontId="38" fillId="0" borderId="33" xfId="0" applyFont="1" applyBorder="1"/>
    <xf numFmtId="0" fontId="38" fillId="0" borderId="0" xfId="0" applyFont="1" applyAlignment="1">
      <alignment vertical="top" wrapText="1"/>
    </xf>
    <xf numFmtId="9" fontId="0" fillId="0" borderId="0" xfId="0" applyNumberFormat="1"/>
    <xf numFmtId="0" fontId="21" fillId="2" borderId="17" xfId="1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9" fontId="39" fillId="37" borderId="1" xfId="0" applyNumberFormat="1" applyFont="1" applyFill="1" applyBorder="1" applyAlignment="1">
      <alignment horizontal="center"/>
    </xf>
    <xf numFmtId="0" fontId="45" fillId="38" borderId="0" xfId="0" applyFont="1" applyFill="1" applyAlignment="1">
      <alignment horizontal="center"/>
    </xf>
    <xf numFmtId="0" fontId="42" fillId="35" borderId="10" xfId="0" applyFont="1" applyFill="1" applyBorder="1" applyAlignment="1">
      <alignment horizontal="center"/>
    </xf>
    <xf numFmtId="0" fontId="42" fillId="35" borderId="29" xfId="0" applyFont="1" applyFill="1" applyBorder="1" applyAlignment="1">
      <alignment horizontal="center"/>
    </xf>
    <xf numFmtId="0" fontId="42" fillId="35" borderId="9" xfId="0" applyFont="1" applyFill="1" applyBorder="1" applyAlignment="1">
      <alignment horizontal="center"/>
    </xf>
    <xf numFmtId="0" fontId="38" fillId="0" borderId="1" xfId="0" applyFont="1" applyBorder="1" applyAlignment="1">
      <alignment horizontal="center" wrapText="1"/>
    </xf>
    <xf numFmtId="0" fontId="45" fillId="36" borderId="29" xfId="0" applyFont="1" applyFill="1" applyBorder="1" applyAlignment="1">
      <alignment horizontal="center"/>
    </xf>
    <xf numFmtId="0" fontId="45" fillId="36" borderId="9" xfId="0" applyFont="1" applyFill="1" applyBorder="1" applyAlignment="1">
      <alignment horizontal="center"/>
    </xf>
    <xf numFmtId="0" fontId="45" fillId="36" borderId="0" xfId="0" applyFont="1" applyFill="1" applyAlignment="1">
      <alignment horizontal="center"/>
    </xf>
    <xf numFmtId="9" fontId="39" fillId="0" borderId="29" xfId="0" applyNumberFormat="1" applyFont="1" applyBorder="1" applyAlignment="1">
      <alignment horizontal="center"/>
    </xf>
    <xf numFmtId="9" fontId="39" fillId="0" borderId="34" xfId="0" applyNumberFormat="1" applyFont="1" applyBorder="1" applyAlignment="1">
      <alignment horizontal="center"/>
    </xf>
    <xf numFmtId="9" fontId="39" fillId="0" borderId="10" xfId="0" applyNumberFormat="1" applyFont="1" applyBorder="1" applyAlignment="1">
      <alignment horizontal="center"/>
    </xf>
    <xf numFmtId="0" fontId="44" fillId="35" borderId="35" xfId="0" applyFont="1" applyFill="1" applyBorder="1" applyAlignment="1">
      <alignment horizontal="center"/>
    </xf>
    <xf numFmtId="169" fontId="38" fillId="0" borderId="35" xfId="0" applyNumberFormat="1" applyFont="1" applyBorder="1" applyAlignment="1">
      <alignment horizontal="center"/>
    </xf>
    <xf numFmtId="0" fontId="38" fillId="0" borderId="0" xfId="0" applyFont="1" applyAlignment="1">
      <alignment horizontal="left" vertical="top" wrapText="1"/>
    </xf>
    <xf numFmtId="0" fontId="24" fillId="22" borderId="1" xfId="0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 wrapText="1"/>
    </xf>
    <xf numFmtId="164" fontId="2" fillId="2" borderId="9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4">
    <cellStyle name="Milliers" xfId="1" builtinId="3"/>
    <cellStyle name="Milliers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FFFF"/>
      <color rgb="FF777777"/>
      <color rgb="FFC0C0C0"/>
      <color rgb="FFADDEFF"/>
      <color rgb="FF595959"/>
      <color rgb="FF99E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sz="900" b="0" i="0" u="none" strike="noStrike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fr-FR" sz="900" b="0" i="0"/>
              <a:t>Consommation électrique IA (TWh)</a:t>
            </a:r>
            <a:endParaRPr lang="fr-FR" sz="900"/>
          </a:p>
          <a:p>
            <a:pPr marL="0" marR="0" lvl="0" indent="0" algn="ctr" defTabSz="91440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sz="900">
                <a:solidFill>
                  <a:srgbClr val="000000">
                    <a:lumMod val="65000"/>
                    <a:lumOff val="35000"/>
                  </a:srgbClr>
                </a:solidFill>
              </a:defRPr>
            </a:pPr>
            <a:endParaRPr lang="fr-FR" sz="900" b="0" i="0"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900" b="0" i="0" u="none" strike="noStrike" spc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3058502896160501"/>
          <c:y val="0.16417303741909137"/>
          <c:w val="0.5254350547170259"/>
          <c:h val="0.68849076741136805"/>
        </c:manualLayout>
      </c:layout>
      <c:scatterChart>
        <c:scatterStyle val="lineMarker"/>
        <c:varyColors val="0"/>
        <c:ser>
          <c:idx val="11"/>
          <c:order val="0"/>
          <c:tx>
            <c:strRef>
              <c:f>'0 - Refs hors TSP'!$B$31</c:f>
              <c:strCache>
                <c:ptCount val="1"/>
                <c:pt idx="0">
                  <c:v>Schneider Electric, 2024 - Sustainable AI</c:v>
                </c:pt>
              </c:strCache>
            </c:strRef>
          </c:tx>
          <c:spPr bwMode="auto">
            <a:ln w="15875" cap="rnd">
              <a:solidFill>
                <a:srgbClr val="0009B5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'0 - Refs hors TSP'!$C$30:$H$30</c:f>
              <c:numCache>
                <c:formatCode>_-* #,##0_-;\-* #,##0_-;_-* "-"??_-;_-@_-</c:formatCod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</c:numCache>
            </c:numRef>
          </c:xVal>
          <c:yVal>
            <c:numRef>
              <c:f>'0 - Refs hors TSP'!$C$31:$H$31</c:f>
              <c:numCache>
                <c:formatCode>_-* #,##0_-;\-* #,##0_-;_-* "-"??_-;_-@_-</c:formatCode>
                <c:ptCount val="6"/>
                <c:pt idx="0">
                  <c:v>100</c:v>
                </c:pt>
                <c:pt idx="1">
                  <c:v>152</c:v>
                </c:pt>
                <c:pt idx="2">
                  <c:v>230</c:v>
                </c:pt>
                <c:pt idx="3">
                  <c:v>310</c:v>
                </c:pt>
                <c:pt idx="4">
                  <c:v>470</c:v>
                </c:pt>
                <c:pt idx="5">
                  <c:v>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79-4D15-A88E-92D2733212D1}"/>
            </c:ext>
          </c:extLst>
        </c:ser>
        <c:ser>
          <c:idx val="13"/>
          <c:order val="1"/>
          <c:tx>
            <c:strRef>
              <c:f>'0 - Refs hors TSP'!$B$32</c:f>
              <c:strCache>
                <c:ptCount val="1"/>
                <c:pt idx="0">
                  <c:v>Schneider Electric, 2024 - Limits to growth</c:v>
                </c:pt>
              </c:strCache>
            </c:strRef>
          </c:tx>
          <c:spPr bwMode="auto">
            <a:ln w="15875" cap="rnd">
              <a:solidFill>
                <a:srgbClr val="33AFFF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'0 - Refs hors TSP'!$C$30:$H$30</c:f>
              <c:numCache>
                <c:formatCode>_-* #,##0_-;\-* #,##0_-;_-* "-"??_-;_-@_-</c:formatCod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</c:numCache>
            </c:numRef>
          </c:xVal>
          <c:yVal>
            <c:numRef>
              <c:f>'0 - Refs hors TSP'!$C$32:$H$32</c:f>
              <c:numCache>
                <c:formatCode>_-* #,##0_-;\-* #,##0_-;_-* "-"??_-;_-@_-</c:formatCode>
                <c:ptCount val="6"/>
                <c:pt idx="0">
                  <c:v>100</c:v>
                </c:pt>
                <c:pt idx="1">
                  <c:v>124</c:v>
                </c:pt>
                <c:pt idx="2">
                  <c:v>198</c:v>
                </c:pt>
                <c:pt idx="3">
                  <c:v>287</c:v>
                </c:pt>
                <c:pt idx="4">
                  <c:v>417</c:v>
                </c:pt>
                <c:pt idx="5">
                  <c:v>510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0C79-4D15-A88E-92D2733212D1}"/>
            </c:ext>
          </c:extLst>
        </c:ser>
        <c:ser>
          <c:idx val="14"/>
          <c:order val="2"/>
          <c:tx>
            <c:strRef>
              <c:f>'0 - Refs hors TSP'!$B$33</c:f>
              <c:strCache>
                <c:ptCount val="1"/>
                <c:pt idx="0">
                  <c:v>Schneider Electric, 2024 - Abundance without boundaries</c:v>
                </c:pt>
              </c:strCache>
            </c:strRef>
          </c:tx>
          <c:spPr bwMode="auto">
            <a:ln w="15875" cap="rnd">
              <a:solidFill>
                <a:srgbClr val="FF66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'0 - Refs hors TSP'!$C$30:$H$30</c:f>
              <c:numCache>
                <c:formatCode>_-* #,##0_-;\-* #,##0_-;_-* "-"??_-;_-@_-</c:formatCod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</c:numCache>
            </c:numRef>
          </c:xVal>
          <c:yVal>
            <c:numRef>
              <c:f>'0 - Refs hors TSP'!$C$33:$H$33</c:f>
              <c:numCache>
                <c:formatCode>_-* #,##0_-;\-* #,##0_-;_-* "-"??_-;_-@_-</c:formatCode>
                <c:ptCount val="6"/>
                <c:pt idx="0">
                  <c:v>100</c:v>
                </c:pt>
                <c:pt idx="1">
                  <c:v>198</c:v>
                </c:pt>
                <c:pt idx="2">
                  <c:v>369</c:v>
                </c:pt>
                <c:pt idx="3">
                  <c:v>564</c:v>
                </c:pt>
                <c:pt idx="4">
                  <c:v>702</c:v>
                </c:pt>
                <c:pt idx="5">
                  <c:v>880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0C79-4D15-A88E-92D2733212D1}"/>
            </c:ext>
          </c:extLst>
        </c:ser>
        <c:ser>
          <c:idx val="12"/>
          <c:order val="3"/>
          <c:tx>
            <c:strRef>
              <c:f>'0 - Refs hors TSP'!$B$34</c:f>
              <c:strCache>
                <c:ptCount val="1"/>
                <c:pt idx="0">
                  <c:v>Schneider Electric, 2024 - Energy crunch</c:v>
                </c:pt>
              </c:strCache>
            </c:strRef>
          </c:tx>
          <c:spPr bwMode="auto">
            <a:ln w="15875" cap="rnd">
              <a:solidFill>
                <a:srgbClr val="FFC19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'0 - Refs hors TSP'!$C$30:$H$30</c:f>
              <c:numCache>
                <c:formatCode>_-* #,##0_-;\-* #,##0_-;_-* "-"??_-;_-@_-</c:formatCod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</c:numCache>
            </c:numRef>
          </c:xVal>
          <c:yVal>
            <c:numRef>
              <c:f>'0 - Refs hors TSP'!$C$34:$H$34</c:f>
              <c:numCache>
                <c:formatCode>_-* #,##0_-;\-* #,##0_-;_-* "-"??_-;_-@_-</c:formatCode>
                <c:ptCount val="6"/>
                <c:pt idx="0">
                  <c:v>100</c:v>
                </c:pt>
                <c:pt idx="1">
                  <c:v>184</c:v>
                </c:pt>
                <c:pt idx="2">
                  <c:v>317</c:v>
                </c:pt>
                <c:pt idx="3">
                  <c:v>487</c:v>
                </c:pt>
                <c:pt idx="4">
                  <c:v>598</c:v>
                </c:pt>
                <c:pt idx="5">
                  <c:v>670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C79-4D15-A88E-92D273321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874080"/>
        <c:axId val="444874496"/>
        <c:extLst/>
      </c:scatterChart>
      <c:valAx>
        <c:axId val="444874080"/>
        <c:scaling>
          <c:orientation val="minMax"/>
          <c:max val="2031"/>
          <c:min val="2025"/>
        </c:scaling>
        <c:delete val="0"/>
        <c:axPos val="b"/>
        <c:majorGridlines>
          <c:spPr bwMode="auto"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874496"/>
        <c:crosses val="autoZero"/>
        <c:crossBetween val="midCat"/>
      </c:valAx>
      <c:valAx>
        <c:axId val="444874496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874080"/>
        <c:crosses val="autoZero"/>
        <c:crossBetween val="midCat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485830456840317"/>
          <c:y val="0.15293492615536158"/>
          <c:w val="0.25642094660164361"/>
          <c:h val="0.79843717651907808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53915370869441"/>
          <c:y val="0.16345474526566323"/>
          <c:w val="0.69043154600861023"/>
          <c:h val="0.65065136953253699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61961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'5 - Declinaison d''obj GES à TWh'!$G$4:$G$28</c:f>
              <c:numCache>
                <c:formatCode>General</c:formatCode>
                <c:ptCount val="25"/>
                <c:pt idx="0">
                  <c:v>458</c:v>
                </c:pt>
                <c:pt idx="1">
                  <c:v>312</c:v>
                </c:pt>
                <c:pt idx="2">
                  <c:v>219</c:v>
                </c:pt>
                <c:pt idx="3">
                  <c:v>111</c:v>
                </c:pt>
                <c:pt idx="4">
                  <c:v>25</c:v>
                </c:pt>
                <c:pt idx="5">
                  <c:v>458</c:v>
                </c:pt>
                <c:pt idx="6">
                  <c:v>312</c:v>
                </c:pt>
                <c:pt idx="7">
                  <c:v>219</c:v>
                </c:pt>
                <c:pt idx="8">
                  <c:v>111</c:v>
                </c:pt>
                <c:pt idx="9">
                  <c:v>25</c:v>
                </c:pt>
                <c:pt idx="10">
                  <c:v>458</c:v>
                </c:pt>
                <c:pt idx="11">
                  <c:v>312</c:v>
                </c:pt>
                <c:pt idx="12">
                  <c:v>219</c:v>
                </c:pt>
                <c:pt idx="13">
                  <c:v>111</c:v>
                </c:pt>
                <c:pt idx="14">
                  <c:v>25</c:v>
                </c:pt>
                <c:pt idx="15">
                  <c:v>458</c:v>
                </c:pt>
                <c:pt idx="16">
                  <c:v>312</c:v>
                </c:pt>
                <c:pt idx="17">
                  <c:v>219</c:v>
                </c:pt>
                <c:pt idx="18">
                  <c:v>111</c:v>
                </c:pt>
                <c:pt idx="19">
                  <c:v>25</c:v>
                </c:pt>
                <c:pt idx="20">
                  <c:v>458</c:v>
                </c:pt>
                <c:pt idx="21">
                  <c:v>312</c:v>
                </c:pt>
                <c:pt idx="22">
                  <c:v>219</c:v>
                </c:pt>
                <c:pt idx="23">
                  <c:v>111</c:v>
                </c:pt>
                <c:pt idx="24">
                  <c:v>25</c:v>
                </c:pt>
              </c:numCache>
            </c:numRef>
          </c:xVal>
          <c:yVal>
            <c:numRef>
              <c:f>'5 - Declinaison d''obj GES à TWh'!$H$4:$H$28</c:f>
              <c:numCache>
                <c:formatCode>General</c:formatCode>
                <c:ptCount val="25"/>
                <c:pt idx="0">
                  <c:v>0.35</c:v>
                </c:pt>
                <c:pt idx="1">
                  <c:v>0.35</c:v>
                </c:pt>
                <c:pt idx="2">
                  <c:v>0.35</c:v>
                </c:pt>
                <c:pt idx="3">
                  <c:v>0.35</c:v>
                </c:pt>
                <c:pt idx="4">
                  <c:v>0.35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0.17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</c:numCache>
            </c:numRef>
          </c:yVal>
          <c:bubbleSize>
            <c:numRef>
              <c:f>'5 - Declinaison d''obj GES à TWh'!$K$4:$K$28</c:f>
              <c:numCache>
                <c:formatCode>_-* #,##0_-;\-* #,##0_-;_-* "-"??_-;_-@_-</c:formatCode>
                <c:ptCount val="25"/>
                <c:pt idx="0">
                  <c:v>40.43344654698366</c:v>
                </c:pt>
                <c:pt idx="1">
                  <c:v>59.354226020892682</c:v>
                </c:pt>
                <c:pt idx="2">
                  <c:v>84.559445290038894</c:v>
                </c:pt>
                <c:pt idx="3">
                  <c:v>166.83350016683349</c:v>
                </c:pt>
                <c:pt idx="4">
                  <c:v>740.74074074074065</c:v>
                </c:pt>
                <c:pt idx="5">
                  <c:v>43.668122270742359</c:v>
                </c:pt>
                <c:pt idx="6">
                  <c:v>64.102564102564102</c:v>
                </c:pt>
                <c:pt idx="7">
                  <c:v>91.324200913242009</c:v>
                </c:pt>
                <c:pt idx="8">
                  <c:v>180.18018018018017</c:v>
                </c:pt>
                <c:pt idx="9">
                  <c:v>800</c:v>
                </c:pt>
                <c:pt idx="10">
                  <c:v>46.653976784981154</c:v>
                </c:pt>
                <c:pt idx="11">
                  <c:v>68.485645408722334</c:v>
                </c:pt>
                <c:pt idx="12">
                  <c:v>97.568590719275662</c:v>
                </c:pt>
                <c:pt idx="13">
                  <c:v>192.5001925001925</c:v>
                </c:pt>
                <c:pt idx="14">
                  <c:v>854.70085470085473</c:v>
                </c:pt>
                <c:pt idx="15">
                  <c:v>49.622866216752676</c:v>
                </c:pt>
                <c:pt idx="16">
                  <c:v>72.843822843822835</c:v>
                </c:pt>
                <c:pt idx="17">
                  <c:v>103.777501037775</c:v>
                </c:pt>
                <c:pt idx="18">
                  <c:v>204.75020475020472</c:v>
                </c:pt>
                <c:pt idx="19">
                  <c:v>909.09090909090901</c:v>
                </c:pt>
                <c:pt idx="20">
                  <c:v>51.985859846121848</c:v>
                </c:pt>
                <c:pt idx="21">
                  <c:v>76.312576312576311</c:v>
                </c:pt>
                <c:pt idx="22">
                  <c:v>108.71928680147857</c:v>
                </c:pt>
                <c:pt idx="23">
                  <c:v>214.50021450021447</c:v>
                </c:pt>
                <c:pt idx="24">
                  <c:v>952.38095238095229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19AC-4477-92C6-96F32918C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697392255"/>
        <c:axId val="697391839"/>
      </c:bubbleChart>
      <c:valAx>
        <c:axId val="697392255"/>
        <c:scaling>
          <c:orientation val="minMax"/>
          <c:max val="500"/>
          <c:min val="0"/>
        </c:scaling>
        <c:delete val="0"/>
        <c:axPos val="b"/>
        <c:majorGridlines>
          <c:spPr>
            <a:ln w="9525" cap="flat" cmpd="sng" algn="ctr">
              <a:solidFill>
                <a:srgbClr val="C0C0C0"/>
              </a:solidFill>
              <a:round/>
            </a:ln>
            <a:effectLst/>
          </c:spPr>
        </c:majorGridlines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rgbClr val="C0C0C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7391839"/>
        <c:crosses val="autoZero"/>
        <c:crossBetween val="midCat"/>
        <c:minorUnit val="20"/>
      </c:valAx>
      <c:valAx>
        <c:axId val="69739183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C0C0C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C0C0C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73922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9525" cap="flat" cmpd="sng" algn="ctr">
      <a:solidFill>
        <a:srgbClr val="595959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Consommation électrique</a:t>
            </a:r>
            <a:r>
              <a:rPr lang="fr-FR" baseline="0"/>
              <a:t> des centres de données en Europe selon les scénarios high et low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'6 - Conso élec TWh Europe'!$B$119</c:f>
              <c:strCache>
                <c:ptCount val="1"/>
                <c:pt idx="0">
                  <c:v>Consommation high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'6 - Conso élec TWh Europe'!$C$118:$O$118</c:f>
              <c:numCache>
                <c:formatCode>General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f>'6 - Conso élec TWh Europe'!$C$119:$O$119</c:f>
              <c:numCache>
                <c:formatCode>0</c:formatCode>
                <c:ptCount val="13"/>
                <c:pt idx="0">
                  <c:v>97</c:v>
                </c:pt>
                <c:pt idx="1">
                  <c:v>105.29431567860196</c:v>
                </c:pt>
                <c:pt idx="2">
                  <c:v>117.20898690370595</c:v>
                </c:pt>
                <c:pt idx="3">
                  <c:v>130.54055849318473</c:v>
                </c:pt>
                <c:pt idx="4">
                  <c:v>145.46422379185685</c:v>
                </c:pt>
                <c:pt idx="5">
                  <c:v>162.17747097089989</c:v>
                </c:pt>
                <c:pt idx="6">
                  <c:v>180.90297950578892</c:v>
                </c:pt>
                <c:pt idx="7">
                  <c:v>203.43392826404801</c:v>
                </c:pt>
                <c:pt idx="8">
                  <c:v>228.93421180975525</c:v>
                </c:pt>
                <c:pt idx="9">
                  <c:v>257.81048171374493</c:v>
                </c:pt>
                <c:pt idx="10">
                  <c:v>290.52644318363076</c:v>
                </c:pt>
                <c:pt idx="11">
                  <c:v>327.61097665406413</c:v>
                </c:pt>
                <c:pt idx="12">
                  <c:v>369.66742532624357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C-FD46-B229-C7B7B2856367}"/>
            </c:ext>
          </c:extLst>
        </c:ser>
        <c:ser>
          <c:idx val="1"/>
          <c:order val="1"/>
          <c:tx>
            <c:strRef>
              <c:f>'6 - Conso élec TWh Europe'!$B$120</c:f>
              <c:strCache>
                <c:ptCount val="1"/>
                <c:pt idx="0">
                  <c:v>Consommation low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'6 - Conso élec TWh Europe'!$C$118:$O$118</c:f>
              <c:numCache>
                <c:formatCode>General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f>'6 - Conso élec TWh Europe'!$C$120:$O$120</c:f>
              <c:numCache>
                <c:formatCode>0</c:formatCode>
                <c:ptCount val="13"/>
                <c:pt idx="0">
                  <c:v>97</c:v>
                </c:pt>
                <c:pt idx="1">
                  <c:v>103.12658940716118</c:v>
                </c:pt>
                <c:pt idx="2">
                  <c:v>112.0017235349695</c:v>
                </c:pt>
                <c:pt idx="3">
                  <c:v>121.82529631035831</c:v>
                </c:pt>
                <c:pt idx="4">
                  <c:v>132.70644967842679</c:v>
                </c:pt>
                <c:pt idx="5">
                  <c:v>144.76716326708271</c:v>
                </c:pt>
                <c:pt idx="6">
                  <c:v>158.14377497861739</c:v>
                </c:pt>
                <c:pt idx="7">
                  <c:v>172.81955719032749</c:v>
                </c:pt>
                <c:pt idx="8">
                  <c:v>189.09373486371337</c:v>
                </c:pt>
                <c:pt idx="9">
                  <c:v>207.14957250375789</c:v>
                </c:pt>
                <c:pt idx="10">
                  <c:v>227.1916688123986</c:v>
                </c:pt>
                <c:pt idx="11">
                  <c:v>249.44845279672131</c:v>
                </c:pt>
                <c:pt idx="12">
                  <c:v>274.17497257357576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C-FD46-B229-C7B7B2856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9459839"/>
        <c:axId val="500045071"/>
      </c:lineChart>
      <c:catAx>
        <c:axId val="49945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045071"/>
        <c:crosses val="autoZero"/>
        <c:auto val="1"/>
        <c:lblAlgn val="ctr"/>
        <c:lblOffset val="100"/>
        <c:noMultiLvlLbl val="0"/>
      </c:catAx>
      <c:valAx>
        <c:axId val="500045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777777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9459839"/>
        <c:crosses val="autoZero"/>
        <c:crossBetween val="between"/>
      </c:valAx>
      <c:spPr>
        <a:solidFill>
          <a:srgbClr val="FFFFFF"/>
        </a:solidFill>
        <a:ln>
          <a:solidFill>
            <a:srgbClr val="FFFFFF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accent6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870022755158"/>
          <c:y val="0.15968071797427175"/>
          <c:w val="0.77039070439734847"/>
          <c:h val="0.74283728084847178"/>
        </c:manualLayout>
      </c:layout>
      <c:areaChart>
        <c:grouping val="stacked"/>
        <c:varyColors val="0"/>
        <c:ser>
          <c:idx val="0"/>
          <c:order val="0"/>
          <c:tx>
            <c:strRef>
              <c:f>'Analyse FE et GES IEA 2025'!$B$32</c:f>
              <c:strCache>
                <c:ptCount val="1"/>
                <c:pt idx="0">
                  <c:v>Charbon 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  <a:effectLst/>
          </c:spPr>
          <c:cat>
            <c:numRef>
              <c:f>'Analyse FE et GES IEA 2025'!$C$31:$F$31</c:f>
              <c:numCache>
                <c:formatCode>_-* #,##0_-;\-* #,##0_-;_-* "-"??_-;_-@_-</c:formatCod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'Analyse FE et GES IEA 2025'!$C$32:$F$32</c:f>
              <c:numCache>
                <c:formatCode>_-* #,##0_-;\-* #,##0_-;_-* "-"??_-;_-@_-</c:formatCode>
                <c:ptCount val="4"/>
                <c:pt idx="0">
                  <c:v>90</c:v>
                </c:pt>
                <c:pt idx="1">
                  <c:v>140</c:v>
                </c:pt>
                <c:pt idx="2">
                  <c:v>225</c:v>
                </c:pt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3-4CF0-952C-8377CC2A936A}"/>
            </c:ext>
          </c:extLst>
        </c:ser>
        <c:ser>
          <c:idx val="1"/>
          <c:order val="1"/>
          <c:tx>
            <c:strRef>
              <c:f>'Analyse FE et GES IEA 2025'!$B$33</c:f>
              <c:strCache>
                <c:ptCount val="1"/>
                <c:pt idx="0">
                  <c:v>Gaz naturel</c:v>
                </c:pt>
              </c:strCache>
            </c:strRef>
          </c:tx>
          <c:spPr>
            <a:noFill/>
            <a:ln>
              <a:solidFill>
                <a:srgbClr val="002060"/>
              </a:solidFill>
            </a:ln>
            <a:effectLst/>
          </c:spPr>
          <c:cat>
            <c:numRef>
              <c:f>'Analyse FE et GES IEA 2025'!$C$31:$F$31</c:f>
              <c:numCache>
                <c:formatCode>_-* #,##0_-;\-* #,##0_-;_-* "-"??_-;_-@_-</c:formatCod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'Analyse FE et GES IEA 2025'!$C$33:$F$33</c:f>
              <c:numCache>
                <c:formatCode>_-* #,##0_-;\-* #,##0_-;_-* "-"??_-;_-@_-</c:formatCode>
                <c:ptCount val="4"/>
                <c:pt idx="0">
                  <c:v>60</c:v>
                </c:pt>
                <c:pt idx="1">
                  <c:v>145</c:v>
                </c:pt>
                <c:pt idx="2">
                  <c:v>275</c:v>
                </c:pt>
                <c:pt idx="3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3-4CF0-952C-8377CC2A936A}"/>
            </c:ext>
          </c:extLst>
        </c:ser>
        <c:ser>
          <c:idx val="2"/>
          <c:order val="2"/>
          <c:tx>
            <c:strRef>
              <c:f>'Analyse FE et GES IEA 2025'!$B$34</c:f>
              <c:strCache>
                <c:ptCount val="1"/>
                <c:pt idx="0">
                  <c:v>Nucléaire</c:v>
                </c:pt>
              </c:strCache>
            </c:strRef>
          </c:tx>
          <c:spPr>
            <a:noFill/>
            <a:ln>
              <a:solidFill>
                <a:srgbClr val="002060"/>
              </a:solidFill>
            </a:ln>
            <a:effectLst/>
          </c:spPr>
          <c:cat>
            <c:numRef>
              <c:f>'Analyse FE et GES IEA 2025'!$C$31:$F$31</c:f>
              <c:numCache>
                <c:formatCode>_-* #,##0_-;\-* #,##0_-;_-* "-"??_-;_-@_-</c:formatCod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'Analyse FE et GES IEA 2025'!$C$34:$F$34</c:f>
              <c:numCache>
                <c:formatCode>_-* #,##0_-;\-* #,##0_-;_-* "-"??_-;_-@_-</c:formatCode>
                <c:ptCount val="4"/>
                <c:pt idx="0">
                  <c:v>60</c:v>
                </c:pt>
                <c:pt idx="1">
                  <c:v>90</c:v>
                </c:pt>
                <c:pt idx="2">
                  <c:v>125</c:v>
                </c:pt>
                <c:pt idx="3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3-4CF0-952C-8377CC2A936A}"/>
            </c:ext>
          </c:extLst>
        </c:ser>
        <c:ser>
          <c:idx val="3"/>
          <c:order val="3"/>
          <c:tx>
            <c:strRef>
              <c:f>'Analyse FE et GES IEA 2025'!$B$35</c:f>
              <c:strCache>
                <c:ptCount val="1"/>
                <c:pt idx="0">
                  <c:v>Solaire PV</c:v>
                </c:pt>
              </c:strCache>
            </c:strRef>
          </c:tx>
          <c:spPr>
            <a:noFill/>
            <a:ln>
              <a:solidFill>
                <a:srgbClr val="002060"/>
              </a:solidFill>
            </a:ln>
            <a:effectLst/>
          </c:spPr>
          <c:cat>
            <c:numRef>
              <c:f>'Analyse FE et GES IEA 2025'!$C$31:$F$31</c:f>
              <c:numCache>
                <c:formatCode>_-* #,##0_-;\-* #,##0_-;_-* "-"??_-;_-@_-</c:formatCod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'Analyse FE et GES IEA 2025'!$C$35:$F$35</c:f>
              <c:numCache>
                <c:formatCode>_-* #,##0_-;\-* #,##0_-;_-* "-"??_-;_-@_-</c:formatCode>
                <c:ptCount val="4"/>
                <c:pt idx="0">
                  <c:v>5</c:v>
                </c:pt>
                <c:pt idx="1">
                  <c:v>35</c:v>
                </c:pt>
                <c:pt idx="2">
                  <c:v>165</c:v>
                </c:pt>
                <c:pt idx="3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B3-4CF0-952C-8377CC2A936A}"/>
            </c:ext>
          </c:extLst>
        </c:ser>
        <c:ser>
          <c:idx val="4"/>
          <c:order val="4"/>
          <c:tx>
            <c:strRef>
              <c:f>'Analyse FE et GES IEA 2025'!$B$36</c:f>
              <c:strCache>
                <c:ptCount val="1"/>
                <c:pt idx="0">
                  <c:v>Vent</c:v>
                </c:pt>
              </c:strCache>
            </c:strRef>
          </c:tx>
          <c:spPr>
            <a:noFill/>
            <a:ln>
              <a:solidFill>
                <a:srgbClr val="002060"/>
              </a:solidFill>
            </a:ln>
            <a:effectLst/>
          </c:spPr>
          <c:cat>
            <c:numRef>
              <c:f>'Analyse FE et GES IEA 2025'!$C$31:$F$31</c:f>
              <c:numCache>
                <c:formatCode>_-* #,##0_-;\-* #,##0_-;_-* "-"??_-;_-@_-</c:formatCod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'Analyse FE et GES IEA 2025'!$C$36:$F$36</c:f>
              <c:numCache>
                <c:formatCode>_-* #,##0_-;\-* #,##0_-;_-* "-"??_-;_-@_-</c:formatCode>
                <c:ptCount val="4"/>
                <c:pt idx="0">
                  <c:v>35</c:v>
                </c:pt>
                <c:pt idx="1">
                  <c:v>50</c:v>
                </c:pt>
                <c:pt idx="2">
                  <c:v>150</c:v>
                </c:pt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B3-4CF0-952C-8377CC2A936A}"/>
            </c:ext>
          </c:extLst>
        </c:ser>
        <c:ser>
          <c:idx val="5"/>
          <c:order val="5"/>
          <c:tx>
            <c:strRef>
              <c:f>'Analyse FE et GES IEA 2025'!$B$37</c:f>
              <c:strCache>
                <c:ptCount val="1"/>
                <c:pt idx="0">
                  <c:v>Other renewable</c:v>
                </c:pt>
              </c:strCache>
            </c:strRef>
          </c:tx>
          <c:spPr>
            <a:noFill/>
            <a:ln>
              <a:solidFill>
                <a:srgbClr val="002060"/>
              </a:solidFill>
            </a:ln>
            <a:effectLst/>
          </c:spPr>
          <c:cat>
            <c:numRef>
              <c:f>'Analyse FE et GES IEA 2025'!$C$31:$F$31</c:f>
              <c:numCache>
                <c:formatCode>_-* #,##0_-;\-* #,##0_-;_-* "-"??_-;_-@_-</c:formatCod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'Analyse FE et GES IEA 2025'!$C$37:$F$37</c:f>
              <c:numCache>
                <c:formatCode>_-* #,##0_-;\-* #,##0_-;_-* "-"??_-;_-@_-</c:formatCode>
                <c:ptCount val="4"/>
                <c:pt idx="0">
                  <c:v>40</c:v>
                </c:pt>
                <c:pt idx="1">
                  <c:v>65</c:v>
                </c:pt>
                <c:pt idx="2">
                  <c:v>110</c:v>
                </c:pt>
                <c:pt idx="3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B3-4CF0-952C-8377CC2A9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1297888"/>
        <c:axId val="731295392"/>
      </c:areaChart>
      <c:catAx>
        <c:axId val="731297888"/>
        <c:scaling>
          <c:orientation val="minMax"/>
        </c:scaling>
        <c:delete val="0"/>
        <c:axPos val="b"/>
        <c:numFmt formatCode="_-* #,##0_-;\-* #,##0_-;_-* &quot;-&quot;??_-;_-@_-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1295392"/>
        <c:crosses val="autoZero"/>
        <c:auto val="1"/>
        <c:lblAlgn val="ctr"/>
        <c:lblOffset val="100"/>
        <c:noMultiLvlLbl val="0"/>
      </c:catAx>
      <c:valAx>
        <c:axId val="73129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1297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668546598605529E-2"/>
          <c:y val="0.14803223195231435"/>
          <c:w val="0.59591570749444167"/>
          <c:h val="0.77390473288436668"/>
        </c:manualLayout>
      </c:layout>
      <c:scatterChart>
        <c:scatterStyle val="lineMarker"/>
        <c:varyColors val="0"/>
        <c:ser>
          <c:idx val="0"/>
          <c:order val="0"/>
          <c:tx>
            <c:strRef>
              <c:f>'1 - Taux de croissance hist'!$B$3</c:f>
              <c:strCache>
                <c:ptCount val="1"/>
                <c:pt idx="0">
                  <c:v>Consommation d'électricité en phase d'usage (TWh)</c:v>
                </c:pt>
              </c:strCache>
            </c:strRef>
          </c:tx>
          <c:spPr bwMode="auto">
            <a:ln w="15875" cap="rnd">
              <a:solidFill>
                <a:srgbClr val="0009B5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'1 - Taux de croissance hist'!$C$2:$V$2</c:f>
              <c:numCache>
                <c:formatCode>_-* #,##0_-;\-* #,##0_-;_-* "-"??_-;_-@_-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xVal>
          <c:yVal>
            <c:numRef>
              <c:f>'1 - Taux de croissance hist'!$C$3:$V$3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125</c:v>
                </c:pt>
                <c:pt idx="2">
                  <c:v>130</c:v>
                </c:pt>
                <c:pt idx="3">
                  <c:v>135</c:v>
                </c:pt>
                <c:pt idx="4">
                  <c:v>140</c:v>
                </c:pt>
                <c:pt idx="5">
                  <c:v>145</c:v>
                </c:pt>
                <c:pt idx="6">
                  <c:v>150</c:v>
                </c:pt>
                <c:pt idx="7">
                  <c:v>155</c:v>
                </c:pt>
                <c:pt idx="8">
                  <c:v>160</c:v>
                </c:pt>
                <c:pt idx="9">
                  <c:v>165</c:v>
                </c:pt>
                <c:pt idx="10">
                  <c:v>170</c:v>
                </c:pt>
                <c:pt idx="11">
                  <c:v>180</c:v>
                </c:pt>
                <c:pt idx="12">
                  <c:v>190</c:v>
                </c:pt>
                <c:pt idx="13">
                  <c:v>210</c:v>
                </c:pt>
                <c:pt idx="14">
                  <c:v>230</c:v>
                </c:pt>
                <c:pt idx="15">
                  <c:v>260</c:v>
                </c:pt>
                <c:pt idx="16">
                  <c:v>300</c:v>
                </c:pt>
                <c:pt idx="17">
                  <c:v>340</c:v>
                </c:pt>
                <c:pt idx="18">
                  <c:v>380</c:v>
                </c:pt>
                <c:pt idx="19">
                  <c:v>420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12F-4080-94A2-A41766F53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874080"/>
        <c:axId val="444874496"/>
        <c:extLst/>
      </c:scatterChart>
      <c:scatterChart>
        <c:scatterStyle val="lineMarker"/>
        <c:varyColors val="0"/>
        <c:ser>
          <c:idx val="11"/>
          <c:order val="1"/>
          <c:tx>
            <c:strRef>
              <c:f>'1 - Taux de croissance hist'!$B$4</c:f>
              <c:strCache>
                <c:ptCount val="1"/>
                <c:pt idx="0">
                  <c:v>CAGR (glissant sur les 5 ans précédents)</c:v>
                </c:pt>
              </c:strCache>
            </c:strRef>
          </c:tx>
          <c:spPr bwMode="auto">
            <a:ln w="15875" cap="rnd">
              <a:solidFill>
                <a:srgbClr val="33AFFF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'1 - Taux de croissance hist'!$H$2:$V$2</c:f>
              <c:numCache>
                <c:formatCode>_-* #,##0_-;\-* #,##0_-;_-* "-"??_-;_-@_-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xVal>
          <c:yVal>
            <c:numRef>
              <c:f>'1 - Taux de croissance hist'!$H$4:$V$4</c:f>
              <c:numCache>
                <c:formatCode>_-* #,##0.000_-;\-* #,##0.000_-;_-* "-"??_-;_-@_-</c:formatCode>
                <c:ptCount val="15"/>
                <c:pt idx="0">
                  <c:v>3.8573773084258578E-2</c:v>
                </c:pt>
                <c:pt idx="1">
                  <c:v>3.7137289336648172E-2</c:v>
                </c:pt>
                <c:pt idx="2">
                  <c:v>3.5804203580214189E-2</c:v>
                </c:pt>
                <c:pt idx="3">
                  <c:v>3.4563715943573214E-2</c:v>
                </c:pt>
                <c:pt idx="4">
                  <c:v>3.3406482938779236E-2</c:v>
                </c:pt>
                <c:pt idx="5">
                  <c:v>3.2324379535307868E-2</c:v>
                </c:pt>
                <c:pt idx="6">
                  <c:v>3.7137289336648172E-2</c:v>
                </c:pt>
                <c:pt idx="7">
                  <c:v>4.1560210156864175E-2</c:v>
                </c:pt>
                <c:pt idx="8">
                  <c:v>5.5892882483376871E-2</c:v>
                </c:pt>
                <c:pt idx="9">
                  <c:v>6.8682698374176177E-2</c:v>
                </c:pt>
                <c:pt idx="10">
                  <c:v>8.8691633250776114E-2</c:v>
                </c:pt>
                <c:pt idx="11">
                  <c:v>0.10756634324829006</c:v>
                </c:pt>
                <c:pt idx="12">
                  <c:v>0.1234275325950922</c:v>
                </c:pt>
                <c:pt idx="13">
                  <c:v>0.12593380967869239</c:v>
                </c:pt>
                <c:pt idx="14">
                  <c:v>0.12798751017068111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12F-4080-94A2-A41766F53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9921328"/>
        <c:axId val="865945968"/>
      </c:scatterChart>
      <c:valAx>
        <c:axId val="444874080"/>
        <c:scaling>
          <c:orientation val="minMax"/>
          <c:min val="2005"/>
        </c:scaling>
        <c:delete val="0"/>
        <c:axPos val="b"/>
        <c:majorGridlines>
          <c:spPr bwMode="auto"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874496"/>
        <c:crosses val="autoZero"/>
        <c:crossBetween val="midCat"/>
      </c:valAx>
      <c:valAx>
        <c:axId val="444874496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874080"/>
        <c:crosses val="autoZero"/>
        <c:crossBetween val="midCat"/>
        <c:majorUnit val="50"/>
        <c:minorUnit val="10"/>
      </c:valAx>
      <c:valAx>
        <c:axId val="865945968"/>
        <c:scaling>
          <c:orientation val="minMax"/>
        </c:scaling>
        <c:delete val="0"/>
        <c:axPos val="r"/>
        <c:numFmt formatCode="_-* #,##0.000_-;\-* #,##0.00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9921328"/>
        <c:crosses val="max"/>
        <c:crossBetween val="midCat"/>
      </c:valAx>
      <c:valAx>
        <c:axId val="729921328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865945968"/>
        <c:crosses val="autoZero"/>
        <c:crossBetween val="midCat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840812256906835"/>
          <c:y val="0.16098682758113181"/>
          <c:w val="0.18466000922074327"/>
          <c:h val="0.76741421242655394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3356195144049"/>
          <c:y val="0.19041874802237554"/>
          <c:w val="0.60470975503062119"/>
          <c:h val="0.68583251768691533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'3 - Conso élec TWh monde'!$B$3</c:f>
              <c:strCache>
                <c:ptCount val="1"/>
                <c:pt idx="0">
                  <c:v>Part "hors IA"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'3 - Conso élec TWh monde'!$C$2:$O$2</c:f>
              <c:numCache>
                <c:formatCode>_-* #,##0_-;\-* #,##0_-;_-* "-"??_-;_-@_-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f>'3 - Conso élec TWh monde'!$C$3:$O$3</c:f>
              <c:numCache>
                <c:formatCode>_-* #,##0_-;\-* #,##0_-;_-* "-"??_-;_-@_-</c:formatCode>
                <c:ptCount val="13"/>
                <c:pt idx="0">
                  <c:v>340</c:v>
                </c:pt>
                <c:pt idx="1">
                  <c:v>367.20000000000005</c:v>
                </c:pt>
                <c:pt idx="2">
                  <c:v>396.57600000000008</c:v>
                </c:pt>
                <c:pt idx="3">
                  <c:v>428.3020800000001</c:v>
                </c:pt>
                <c:pt idx="4">
                  <c:v>462.56624640000013</c:v>
                </c:pt>
                <c:pt idx="5">
                  <c:v>499.57154611200019</c:v>
                </c:pt>
                <c:pt idx="6">
                  <c:v>539.53726980096019</c:v>
                </c:pt>
                <c:pt idx="7">
                  <c:v>582.70025138503706</c:v>
                </c:pt>
                <c:pt idx="8">
                  <c:v>629.31627149584006</c:v>
                </c:pt>
                <c:pt idx="9">
                  <c:v>679.66157321550736</c:v>
                </c:pt>
                <c:pt idx="10">
                  <c:v>734.03449907274796</c:v>
                </c:pt>
                <c:pt idx="11">
                  <c:v>792.75725899856786</c:v>
                </c:pt>
                <c:pt idx="12">
                  <c:v>856.17783971845336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8-4A9D-B72B-CA73170EC068}"/>
            </c:ext>
          </c:extLst>
        </c:ser>
        <c:ser>
          <c:idx val="1"/>
          <c:order val="2"/>
          <c:tx>
            <c:strRef>
              <c:f>'3 - Conso élec TWh monde'!$B$4</c:f>
              <c:strCache>
                <c:ptCount val="1"/>
                <c:pt idx="0">
                  <c:v>Part "IA" due au "phénomène IA générative" (voir partie VI.)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'3 - Conso élec TWh monde'!$C$2:$O$2</c:f>
              <c:numCache>
                <c:formatCode>_-* #,##0_-;\-* #,##0_-;_-* "-"??_-;_-@_-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f>'3 - Conso élec TWh monde'!$C$4:$O$4</c:f>
              <c:numCache>
                <c:formatCode>_-* #,##0_-;\-* #,##0_-;_-* "-"??_-;_-@_-</c:formatCode>
                <c:ptCount val="13"/>
                <c:pt idx="0">
                  <c:v>40</c:v>
                </c:pt>
                <c:pt idx="1">
                  <c:v>58</c:v>
                </c:pt>
                <c:pt idx="2">
                  <c:v>84.1</c:v>
                </c:pt>
                <c:pt idx="3">
                  <c:v>121.94499999999999</c:v>
                </c:pt>
                <c:pt idx="4">
                  <c:v>176.82024999999999</c:v>
                </c:pt>
                <c:pt idx="5">
                  <c:v>256.38936249999995</c:v>
                </c:pt>
                <c:pt idx="6">
                  <c:v>371.76457562499991</c:v>
                </c:pt>
                <c:pt idx="7">
                  <c:v>539.05863465624986</c:v>
                </c:pt>
                <c:pt idx="8">
                  <c:v>649.6103249738743</c:v>
                </c:pt>
                <c:pt idx="9">
                  <c:v>782.83427290198586</c:v>
                </c:pt>
                <c:pt idx="10">
                  <c:v>943.38017003443929</c:v>
                </c:pt>
                <c:pt idx="11">
                  <c:v>1136.8512800481783</c:v>
                </c:pt>
                <c:pt idx="12">
                  <c:v>1369.9999999999998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8-4A9D-B72B-CA73170EC068}"/>
            </c:ext>
          </c:extLst>
        </c:ser>
        <c:ser>
          <c:idx val="2"/>
          <c:order val="3"/>
          <c:tx>
            <c:strRef>
              <c:f>'3 - Conso élec TWh monde'!$B$5</c:f>
              <c:strCache>
                <c:ptCount val="1"/>
                <c:pt idx="0">
                  <c:v>Part cryptomonnaies (non étudiée dans le cadre de ce rapport)</c:v>
                </c:pt>
              </c:strCache>
            </c:strRef>
          </c:tx>
          <c:spPr>
            <a:pattFill prst="dkUpDiag">
              <a:fgClr>
                <a:schemeClr val="accent4"/>
              </a:fgClr>
              <a:bgClr>
                <a:srgbClr val="FFFFFF"/>
              </a:bgClr>
            </a:pattFill>
            <a:ln>
              <a:noFill/>
            </a:ln>
            <a:effectLst/>
          </c:spPr>
          <c:invertIfNegative val="0"/>
          <c:cat>
            <c:numRef>
              <c:f>'3 - Conso élec TWh monde'!$C$2:$O$2</c:f>
              <c:numCache>
                <c:formatCode>_-* #,##0_-;\-* #,##0_-;_-* "-"??_-;_-@_-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f>'3 - Conso élec TWh monde'!$C$5:$O$5</c:f>
              <c:numCache>
                <c:formatCode>_-* #,##0_-;\-* #,##0_-;_-* "-"??_-;_-@_-</c:formatCode>
                <c:ptCount val="13"/>
                <c:pt idx="0">
                  <c:v>150</c:v>
                </c:pt>
                <c:pt idx="1">
                  <c:v>173.7</c:v>
                </c:pt>
                <c:pt idx="2">
                  <c:v>201.14459999999997</c:v>
                </c:pt>
                <c:pt idx="3">
                  <c:v>232.92544679999995</c:v>
                </c:pt>
                <c:pt idx="4">
                  <c:v>269.72766739439993</c:v>
                </c:pt>
                <c:pt idx="5">
                  <c:v>312.34463884271509</c:v>
                </c:pt>
                <c:pt idx="6">
                  <c:v>361.69509177986401</c:v>
                </c:pt>
                <c:pt idx="7">
                  <c:v>418.84291628108252</c:v>
                </c:pt>
                <c:pt idx="8">
                  <c:v>485.02009705349354</c:v>
                </c:pt>
                <c:pt idx="9">
                  <c:v>561.65327238794544</c:v>
                </c:pt>
                <c:pt idx="10">
                  <c:v>650.39448942524075</c:v>
                </c:pt>
                <c:pt idx="11">
                  <c:v>753.15681875442874</c:v>
                </c:pt>
                <c:pt idx="12">
                  <c:v>872.15559611762842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78-4A9D-B72B-CA73170E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043391"/>
        <c:axId val="1964042143"/>
      </c:barChart>
      <c:lineChart>
        <c:grouping val="standard"/>
        <c:varyColors val="0"/>
        <c:ser>
          <c:idx val="4"/>
          <c:order val="0"/>
          <c:tx>
            <c:strRef>
              <c:f>'3 - Conso élec TWh monde'!$B$9</c:f>
              <c:strCache>
                <c:ptCount val="1"/>
                <c:pt idx="0">
                  <c:v>Scénario exploratoire de déploiement indifférencié de l'offre de calcul et de son adoption généralisée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'3 - Conso élec TWh monde'!$C$9:$O$9</c:f>
              <c:numCache>
                <c:formatCode>_-* #,##0_-;\-* #,##0_-;_-* "-"??_-;_-@_-</c:formatCode>
                <c:ptCount val="13"/>
                <c:pt idx="0">
                  <c:v>530</c:v>
                </c:pt>
                <c:pt idx="1">
                  <c:v>614.01676134469596</c:v>
                </c:pt>
                <c:pt idx="2">
                  <c:v>711.35204379665902</c:v>
                </c:pt>
                <c:pt idx="3">
                  <c:v>824.11712850557524</c:v>
                </c:pt>
                <c:pt idx="4">
                  <c:v>954.75798153525261</c:v>
                </c:pt>
                <c:pt idx="5">
                  <c:v>1106.1083088495752</c:v>
                </c:pt>
                <c:pt idx="6">
                  <c:v>1281.4510216910846</c:v>
                </c:pt>
                <c:pt idx="7">
                  <c:v>1484.5894455860594</c:v>
                </c:pt>
                <c:pt idx="8">
                  <c:v>1719.929817557113</c:v>
                </c:pt>
                <c:pt idx="9">
                  <c:v>1992.5768609747024</c:v>
                </c:pt>
                <c:pt idx="10">
                  <c:v>2308.444511143523</c:v>
                </c:pt>
                <c:pt idx="11">
                  <c:v>2674.3841933514827</c:v>
                </c:pt>
                <c:pt idx="12">
                  <c:v>3098.3334358360839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78-4A9D-B72B-CA73170EC068}"/>
            </c:ext>
          </c:extLst>
        </c:ser>
        <c:ser>
          <c:idx val="3"/>
          <c:order val="4"/>
          <c:tx>
            <c:strRef>
              <c:f>'3 - Conso élec TWh monde'!$B$10</c:f>
              <c:strCache>
                <c:ptCount val="1"/>
                <c:pt idx="0">
                  <c:v>Tendance conservatrice (taux de croissance 2024-2019 conservé, alors que croissant, cf. Annexe 1)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'3 - Conso élec TWh monde'!$C$10:$O$10</c:f>
              <c:numCache>
                <c:formatCode>_-* #,##0_-;\-* #,##0_-;_-* "-"??_-;_-@_-</c:formatCode>
                <c:ptCount val="13"/>
                <c:pt idx="0">
                  <c:v>530</c:v>
                </c:pt>
                <c:pt idx="1">
                  <c:v>597.833380390461</c:v>
                </c:pt>
                <c:pt idx="2">
                  <c:v>674.34858624355775</c:v>
                </c:pt>
                <c:pt idx="3">
                  <c:v>760.65678278398957</c:v>
                </c:pt>
                <c:pt idx="4">
                  <c:v>858.01135050695302</c:v>
                </c:pt>
                <c:pt idx="5">
                  <c:v>967.82608695652152</c:v>
                </c:pt>
                <c:pt idx="6">
                  <c:v>1091.6957381043198</c:v>
                </c:pt>
                <c:pt idx="7">
                  <c:v>1231.4191574882357</c:v>
                </c:pt>
                <c:pt idx="8">
                  <c:v>1389.0254294316328</c:v>
                </c:pt>
                <c:pt idx="9">
                  <c:v>1566.8033357083486</c:v>
                </c:pt>
                <c:pt idx="10">
                  <c:v>1767.334593572778</c:v>
                </c:pt>
                <c:pt idx="11">
                  <c:v>1993.5313478426704</c:v>
                </c:pt>
                <c:pt idx="12">
                  <c:v>2248.6784615002557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78-4A9D-B72B-CA73170E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4043391"/>
        <c:axId val="1964042143"/>
      </c:lineChart>
      <c:catAx>
        <c:axId val="1964043391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4042143"/>
        <c:crosses val="autoZero"/>
        <c:auto val="1"/>
        <c:lblAlgn val="ctr"/>
        <c:lblOffset val="100"/>
        <c:noMultiLvlLbl val="0"/>
      </c:catAx>
      <c:valAx>
        <c:axId val="1964042143"/>
        <c:scaling>
          <c:orientation val="minMax"/>
          <c:max val="3300"/>
          <c:min val="0"/>
        </c:scaling>
        <c:delete val="0"/>
        <c:axPos val="l"/>
        <c:majorGridlines>
          <c:spPr>
            <a:ln w="9525" cap="flat" cmpd="sng" algn="ctr">
              <a:solidFill>
                <a:srgbClr val="C0C0C0"/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4043391"/>
        <c:crosses val="autoZero"/>
        <c:crossBetween val="between"/>
        <c:majorUnit val="2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72959089454715"/>
          <c:y val="0.21067684543172152"/>
          <c:w val="0.25120504108734543"/>
          <c:h val="0.725746136353966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9525" cap="flat" cmpd="sng" algn="ctr">
      <a:solidFill>
        <a:srgbClr val="777777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759921304395223E-2"/>
          <c:y val="0.13239896360244316"/>
          <c:w val="0.59591570749444167"/>
          <c:h val="0.7920735491774763"/>
        </c:manualLayout>
      </c:layout>
      <c:scatterChart>
        <c:scatterStyle val="lineMarker"/>
        <c:varyColors val="0"/>
        <c:ser>
          <c:idx val="11"/>
          <c:order val="0"/>
          <c:tx>
            <c:strRef>
              <c:f>'4 - Emissions GES scénarios'!$B$3</c:f>
              <c:strCache>
                <c:ptCount val="1"/>
                <c:pt idx="0">
                  <c:v>Scénario Stated Policies STEPS pour la réduction de l'intensité carbone de la génération d'électricité (IEA WEO, 2024)</c:v>
                </c:pt>
              </c:strCache>
            </c:strRef>
          </c:tx>
          <c:spPr bwMode="auto">
            <a:ln w="15875" cap="rnd">
              <a:solidFill>
                <a:srgbClr val="0009B5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'4 - Emissions GES scénarios'!$C$3:$M$3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'4 - Emissions GES scénarios'!$C$7:$M$7</c:f>
              <c:numCache>
                <c:formatCode>_-* #,##0_-;\-* #,##0_-;_-* "-"??_-;_-@_-</c:formatCode>
                <c:ptCount val="11"/>
                <c:pt idx="0">
                  <c:v>247.32000000000002</c:v>
                </c:pt>
                <c:pt idx="1">
                  <c:v>272.05200000000008</c:v>
                </c:pt>
                <c:pt idx="2">
                  <c:v>299.25720000000007</c:v>
                </c:pt>
                <c:pt idx="3">
                  <c:v>327.69900000000001</c:v>
                </c:pt>
                <c:pt idx="4">
                  <c:v>362.35760587356276</c:v>
                </c:pt>
                <c:pt idx="5">
                  <c:v>399.76968644166817</c:v>
                </c:pt>
                <c:pt idx="6">
                  <c:v>439.93726939994764</c:v>
                </c:pt>
                <c:pt idx="7">
                  <c:v>482.79383246290479</c:v>
                </c:pt>
                <c:pt idx="8">
                  <c:v>528.18251902294151</c:v>
                </c:pt>
                <c:pt idx="9">
                  <c:v>575.82916981847245</c:v>
                </c:pt>
                <c:pt idx="10">
                  <c:v>625.30907448084827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40-4ED1-AB99-CFDB2AC46264}"/>
            </c:ext>
          </c:extLst>
        </c:ser>
        <c:ser>
          <c:idx val="1"/>
          <c:order val="1"/>
          <c:tx>
            <c:strRef>
              <c:f>'4 - Emissions GES scénarios'!$B$3</c:f>
              <c:strCache>
                <c:ptCount val="1"/>
                <c:pt idx="0">
                  <c:v>Scénario Stated Policies STEPS pour la réduction de l'intensité carbone de la génération d'électricité (IEA WEO, 2024)</c:v>
                </c:pt>
              </c:strCache>
            </c:strRef>
          </c:tx>
          <c:spPr bwMode="auto">
            <a:ln w="28575" cap="rnd">
              <a:solidFill>
                <a:srgbClr val="0009B5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'4 - Emissions GES scénarios'!$M$3:$R$3</c:f>
              <c:numCache>
                <c:formatCode>General</c:formatCode>
                <c:ptCount val="6"/>
                <c:pt idx="0">
                  <c:v>2030</c:v>
                </c:pt>
                <c:pt idx="1">
                  <c:v>2031</c:v>
                </c:pt>
                <c:pt idx="2">
                  <c:v>2032</c:v>
                </c:pt>
                <c:pt idx="3">
                  <c:v>2033</c:v>
                </c:pt>
                <c:pt idx="4">
                  <c:v>2034</c:v>
                </c:pt>
                <c:pt idx="5">
                  <c:v>2035</c:v>
                </c:pt>
              </c:numCache>
            </c:numRef>
          </c:xVal>
          <c:yVal>
            <c:numRef>
              <c:f>'4 - Emissions GES scénarios'!$M$7:$R$7</c:f>
              <c:numCache>
                <c:formatCode>_-* #,##0_-;\-* #,##0_-;_-* "-"??_-;_-@_-</c:formatCode>
                <c:ptCount val="6"/>
                <c:pt idx="0">
                  <c:v>625.30907448084827</c:v>
                </c:pt>
                <c:pt idx="1">
                  <c:v>681.2470014361968</c:v>
                </c:pt>
                <c:pt idx="2">
                  <c:v>739.2061638843951</c:v>
                </c:pt>
                <c:pt idx="3">
                  <c:v>798.42170306921037</c:v>
                </c:pt>
                <c:pt idx="4">
                  <c:v>857.83547385942154</c:v>
                </c:pt>
                <c:pt idx="5">
                  <c:v>916.02228030493825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A9F-4EBB-BAC6-320D626F1017}"/>
            </c:ext>
          </c:extLst>
        </c:ser>
        <c:ser>
          <c:idx val="13"/>
          <c:order val="2"/>
          <c:tx>
            <c:strRef>
              <c:f>'4 - Emissions GES scénarios'!$B$9</c:f>
              <c:strCache>
                <c:ptCount val="1"/>
                <c:pt idx="0">
                  <c:v>Sensibilité à un scénario de transition énergétique contrariée (intensité carbone de la génération d'électricité constante)</c:v>
                </c:pt>
              </c:strCache>
            </c:strRef>
          </c:tx>
          <c:spPr bwMode="auto">
            <a:ln w="15875" cap="rnd">
              <a:solidFill>
                <a:srgbClr val="33AFFF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'4 - Emissions GES scénarios'!$C$3:$R$3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'4 - Emissions GES scénarios'!$C$11:$R$11</c:f>
              <c:numCache>
                <c:formatCode>_-* #,##0_-;\-* #,##0_-;_-* "-"??_-;_-@_-</c:formatCode>
                <c:ptCount val="16"/>
                <c:pt idx="0">
                  <c:v>247.32000000000002</c:v>
                </c:pt>
                <c:pt idx="1">
                  <c:v>272.05200000000008</c:v>
                </c:pt>
                <c:pt idx="2">
                  <c:v>299.25720000000007</c:v>
                </c:pt>
                <c:pt idx="3">
                  <c:v>327.69900000000001</c:v>
                </c:pt>
                <c:pt idx="4">
                  <c:v>379.64656353942553</c:v>
                </c:pt>
                <c:pt idx="5">
                  <c:v>439.82896867947426</c:v>
                </c:pt>
                <c:pt idx="6">
                  <c:v>509.55162055499716</c:v>
                </c:pt>
                <c:pt idx="7">
                  <c:v>590.32685998324678</c:v>
                </c:pt>
                <c:pt idx="8">
                  <c:v>683.90676736169235</c:v>
                </c:pt>
                <c:pt idx="9">
                  <c:v>792.3211667115977</c:v>
                </c:pt>
                <c:pt idx="10">
                  <c:v>917.92165420586059</c:v>
                </c:pt>
                <c:pt idx="11">
                  <c:v>1063.432606195563</c:v>
                </c:pt>
                <c:pt idx="12">
                  <c:v>1232.0102731406587</c:v>
                </c:pt>
                <c:pt idx="13">
                  <c:v>1427.3112412400403</c:v>
                </c:pt>
                <c:pt idx="14">
                  <c:v>1653.5717467492218</c:v>
                </c:pt>
                <c:pt idx="15">
                  <c:v>1915.6995633774507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8640-4ED1-AB99-CFDB2AC46264}"/>
            </c:ext>
          </c:extLst>
        </c:ser>
        <c:ser>
          <c:idx val="0"/>
          <c:order val="3"/>
          <c:tx>
            <c:strRef>
              <c:f>'4 - Emissions GES scénarios'!$B$14</c:f>
              <c:strCache>
                <c:ptCount val="1"/>
                <c:pt idx="0">
                  <c:v>Cible - 45 % de GES entre 2020 et 2030 (SBTi, 2020)</c:v>
                </c:pt>
              </c:strCache>
            </c:strRef>
          </c:tx>
          <c:spPr bwMode="auto">
            <a:ln w="19050" cap="rnd">
              <a:solidFill>
                <a:srgbClr val="FF66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'4 - Emissions GES scénarios'!$C$13:$D$13</c:f>
              <c:numCache>
                <c:formatCode>_-* #,##0_-;\-* #,##0_-;_-* "-"??_-;_-@_-</c:formatCode>
                <c:ptCount val="2"/>
                <c:pt idx="0">
                  <c:v>2020</c:v>
                </c:pt>
                <c:pt idx="1">
                  <c:v>2030</c:v>
                </c:pt>
              </c:numCache>
            </c:numRef>
          </c:xVal>
          <c:yVal>
            <c:numRef>
              <c:f>'4 - Emissions GES scénarios'!$C$14:$D$14</c:f>
              <c:numCache>
                <c:formatCode>_-* #,##0_-;\-* #,##0_-;_-* "-"??_-;_-@_-</c:formatCode>
                <c:ptCount val="2"/>
                <c:pt idx="0">
                  <c:v>136.02600000000001</c:v>
                </c:pt>
                <c:pt idx="1">
                  <c:v>136.02600000000001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9F-4EBB-BAC6-320D626F1017}"/>
            </c:ext>
          </c:extLst>
        </c:ser>
        <c:ser>
          <c:idx val="12"/>
          <c:order val="4"/>
          <c:tx>
            <c:strRef>
              <c:f>'4 - Emissions GES scénarios'!$B$15</c:f>
              <c:strCache>
                <c:ptCount val="1"/>
                <c:pt idx="0">
                  <c:v>Cible - 90 % de GES entre 2020 et 2050</c:v>
                </c:pt>
              </c:strCache>
            </c:strRef>
          </c:tx>
          <c:spPr bwMode="auto">
            <a:ln w="15875" cap="rnd">
              <a:solidFill>
                <a:srgbClr val="FF66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'4 - Emissions GES scénarios'!$C$13:$F$13</c:f>
              <c:numCache>
                <c:formatCode>_-* #,##0_-;\-* #,##0_-;_-* "-"??_-;_-@_-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2035</c:v>
                </c:pt>
                <c:pt idx="3">
                  <c:v>2050</c:v>
                </c:pt>
              </c:numCache>
            </c:numRef>
          </c:xVal>
          <c:yVal>
            <c:numRef>
              <c:f>'4 - Emissions GES scénarios'!$C$15:$F$15</c:f>
              <c:numCache>
                <c:formatCode>_-* #,##0_-;\-* #,##0_-;_-* "-"??_-;_-@_-</c:formatCode>
                <c:ptCount val="4"/>
                <c:pt idx="0">
                  <c:v>24.731999999999996</c:v>
                </c:pt>
                <c:pt idx="1">
                  <c:v>24.731999999999996</c:v>
                </c:pt>
                <c:pt idx="2">
                  <c:v>24.731999999999996</c:v>
                </c:pt>
                <c:pt idx="3">
                  <c:v>24.731999999999996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640-4ED1-AB99-CFDB2AC46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874080"/>
        <c:axId val="444874496"/>
        <c:extLst/>
      </c:scatterChart>
      <c:valAx>
        <c:axId val="444874080"/>
        <c:scaling>
          <c:orientation val="minMax"/>
          <c:max val="2050"/>
          <c:min val="2020"/>
        </c:scaling>
        <c:delete val="0"/>
        <c:axPos val="b"/>
        <c:majorGridlines>
          <c:spPr bwMode="auto"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874496"/>
        <c:crosses val="autoZero"/>
        <c:crossBetween val="midCat"/>
      </c:valAx>
      <c:valAx>
        <c:axId val="444874496"/>
        <c:scaling>
          <c:orientation val="minMax"/>
          <c:min val="0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874080"/>
        <c:crosses val="autoZero"/>
        <c:crossBetween val="midCat"/>
        <c:majorUnit val="200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907879720012133"/>
          <c:y val="0.12711781216505727"/>
          <c:w val="0.31092120279987867"/>
          <c:h val="0.86689165409219926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668546598605529E-2"/>
          <c:y val="0.14803223195231435"/>
          <c:w val="0.59591570749444167"/>
          <c:h val="0.77390473288436668"/>
        </c:manualLayout>
      </c:layout>
      <c:scatterChart>
        <c:scatterStyle val="lineMarker"/>
        <c:varyColors val="0"/>
        <c:ser>
          <c:idx val="11"/>
          <c:order val="0"/>
          <c:tx>
            <c:strRef>
              <c:f>'4 - Emissions GES scénarios'!$B$3</c:f>
              <c:strCache>
                <c:ptCount val="1"/>
                <c:pt idx="0">
                  <c:v>Scénario Stated Policies STEPS pour la réduction de l'intensité carbone de la génération d'électricité (IEA WEO, 2024)</c:v>
                </c:pt>
              </c:strCache>
            </c:strRef>
          </c:tx>
          <c:spPr bwMode="auto">
            <a:ln w="15875" cap="rnd">
              <a:solidFill>
                <a:srgbClr val="0009B5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'4 - Emissions GES scénarios'!$C$3:$R$3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'4 - Emissions GES scénarios'!$C$7:$R$7</c:f>
              <c:numCache>
                <c:formatCode>_-* #,##0_-;\-* #,##0_-;_-* "-"??_-;_-@_-</c:formatCode>
                <c:ptCount val="16"/>
                <c:pt idx="0">
                  <c:v>247.32000000000002</c:v>
                </c:pt>
                <c:pt idx="1">
                  <c:v>272.05200000000008</c:v>
                </c:pt>
                <c:pt idx="2">
                  <c:v>299.25720000000007</c:v>
                </c:pt>
                <c:pt idx="3">
                  <c:v>327.69900000000001</c:v>
                </c:pt>
                <c:pt idx="4">
                  <c:v>362.35760587356276</c:v>
                </c:pt>
                <c:pt idx="5">
                  <c:v>399.76968644166817</c:v>
                </c:pt>
                <c:pt idx="6">
                  <c:v>439.93726939994764</c:v>
                </c:pt>
                <c:pt idx="7">
                  <c:v>482.79383246290479</c:v>
                </c:pt>
                <c:pt idx="8">
                  <c:v>528.18251902294151</c:v>
                </c:pt>
                <c:pt idx="9">
                  <c:v>575.82916981847245</c:v>
                </c:pt>
                <c:pt idx="10">
                  <c:v>625.30907448084827</c:v>
                </c:pt>
                <c:pt idx="11">
                  <c:v>681.2470014361968</c:v>
                </c:pt>
                <c:pt idx="12">
                  <c:v>739.2061638843951</c:v>
                </c:pt>
                <c:pt idx="13">
                  <c:v>798.42170306921037</c:v>
                </c:pt>
                <c:pt idx="14">
                  <c:v>857.83547385942154</c:v>
                </c:pt>
                <c:pt idx="15">
                  <c:v>916.02228030493825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FD-4198-9594-CDCC1EF6AA82}"/>
            </c:ext>
          </c:extLst>
        </c:ser>
        <c:ser>
          <c:idx val="13"/>
          <c:order val="1"/>
          <c:tx>
            <c:strRef>
              <c:f>'4 - Emissions GES scénarios'!$B$9</c:f>
              <c:strCache>
                <c:ptCount val="1"/>
                <c:pt idx="0">
                  <c:v>Sensibilité à un scénario de transition énergétique contrariée (intensité carbone de la génération d'électricité constante)</c:v>
                </c:pt>
              </c:strCache>
            </c:strRef>
          </c:tx>
          <c:spPr bwMode="auto">
            <a:ln w="15875" cap="rnd">
              <a:solidFill>
                <a:srgbClr val="33AFFF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'4 - Emissions GES scénarios'!$C$3:$R$3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'4 - Emissions GES scénarios'!$C$11:$R$11</c:f>
              <c:numCache>
                <c:formatCode>_-* #,##0_-;\-* #,##0_-;_-* "-"??_-;_-@_-</c:formatCode>
                <c:ptCount val="16"/>
                <c:pt idx="0">
                  <c:v>247.32000000000002</c:v>
                </c:pt>
                <c:pt idx="1">
                  <c:v>272.05200000000008</c:v>
                </c:pt>
                <c:pt idx="2">
                  <c:v>299.25720000000007</c:v>
                </c:pt>
                <c:pt idx="3">
                  <c:v>327.69900000000001</c:v>
                </c:pt>
                <c:pt idx="4">
                  <c:v>379.64656353942553</c:v>
                </c:pt>
                <c:pt idx="5">
                  <c:v>439.82896867947426</c:v>
                </c:pt>
                <c:pt idx="6">
                  <c:v>509.55162055499716</c:v>
                </c:pt>
                <c:pt idx="7">
                  <c:v>590.32685998324678</c:v>
                </c:pt>
                <c:pt idx="8">
                  <c:v>683.90676736169235</c:v>
                </c:pt>
                <c:pt idx="9">
                  <c:v>792.3211667115977</c:v>
                </c:pt>
                <c:pt idx="10">
                  <c:v>917.92165420586059</c:v>
                </c:pt>
                <c:pt idx="11">
                  <c:v>1063.432606195563</c:v>
                </c:pt>
                <c:pt idx="12">
                  <c:v>1232.0102731406587</c:v>
                </c:pt>
                <c:pt idx="13">
                  <c:v>1427.3112412400403</c:v>
                </c:pt>
                <c:pt idx="14">
                  <c:v>1653.5717467492218</c:v>
                </c:pt>
                <c:pt idx="15">
                  <c:v>1915.6995633774507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63FD-4198-9594-CDCC1EF6AA82}"/>
            </c:ext>
          </c:extLst>
        </c:ser>
        <c:ser>
          <c:idx val="0"/>
          <c:order val="2"/>
          <c:tx>
            <c:strRef>
              <c:f>'4 - Emissions GES scénarios'!$B$14</c:f>
              <c:strCache>
                <c:ptCount val="1"/>
                <c:pt idx="0">
                  <c:v>Cible - 45 % de GES entre 2020 et 2030 (SBTi, 2020)</c:v>
                </c:pt>
              </c:strCache>
            </c:strRef>
          </c:tx>
          <c:spPr bwMode="auto">
            <a:ln w="19050" cap="rnd">
              <a:solidFill>
                <a:srgbClr val="FF66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'4 - Emissions GES scénarios'!$C$13:$D$13</c:f>
              <c:numCache>
                <c:formatCode>_-* #,##0_-;\-* #,##0_-;_-* "-"??_-;_-@_-</c:formatCode>
                <c:ptCount val="2"/>
                <c:pt idx="0">
                  <c:v>2020</c:v>
                </c:pt>
                <c:pt idx="1">
                  <c:v>2030</c:v>
                </c:pt>
              </c:numCache>
            </c:numRef>
          </c:xVal>
          <c:yVal>
            <c:numRef>
              <c:f>'4 - Emissions GES scénarios'!$C$14:$D$14</c:f>
              <c:numCache>
                <c:formatCode>_-* #,##0_-;\-* #,##0_-;_-* "-"??_-;_-@_-</c:formatCode>
                <c:ptCount val="2"/>
                <c:pt idx="0">
                  <c:v>136.02600000000001</c:v>
                </c:pt>
                <c:pt idx="1">
                  <c:v>136.02600000000001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3FD-4198-9594-CDCC1EF6A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874080"/>
        <c:axId val="444874496"/>
        <c:extLst/>
      </c:scatterChart>
      <c:valAx>
        <c:axId val="444874080"/>
        <c:scaling>
          <c:orientation val="minMax"/>
          <c:max val="2030"/>
          <c:min val="2020"/>
        </c:scaling>
        <c:delete val="0"/>
        <c:axPos val="b"/>
        <c:majorGridlines>
          <c:spPr bwMode="auto"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874496"/>
        <c:crosses val="autoZero"/>
        <c:crossBetween val="midCat"/>
        <c:majorUnit val="1"/>
      </c:valAx>
      <c:valAx>
        <c:axId val="444874496"/>
        <c:scaling>
          <c:orientation val="minMax"/>
          <c:max val="1000"/>
          <c:min val="0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874080"/>
        <c:crosses val="autoZero"/>
        <c:crossBetween val="midCat"/>
        <c:majorUnit val="100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723914396458834"/>
          <c:y val="0.15543250181194992"/>
          <c:w val="0.22747463943757978"/>
          <c:h val="0.683389237605674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accent6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spPr>
            <a:effectLst/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74-4A7C-B1E5-B9A9EDEF37C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274-4A7C-B1E5-B9A9EDEF37C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274-4A7C-B1E5-B9A9EDEF37CB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74-4A7C-B1E5-B9A9EDEF37CB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74-4A7C-B1E5-B9A9EDEF37CB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'4 - Emissions GES scénarios'!$B$62:$C$64</c:f>
              <c:multiLvlStrCache>
                <c:ptCount val="3"/>
                <c:lvl>
                  <c:pt idx="1">
                    <c:v>Composants informatiques</c:v>
                  </c:pt>
                  <c:pt idx="2">
                    <c:v>Autres </c:v>
                  </c:pt>
                </c:lvl>
                <c:lvl>
                  <c:pt idx="0">
                    <c:v>Utilisation</c:v>
                  </c:pt>
                  <c:pt idx="1">
                    <c:v>Fabrication</c:v>
                  </c:pt>
                  <c:pt idx="2">
                    <c:v>Fabrication</c:v>
                  </c:pt>
                </c:lvl>
              </c:multiLvlStrCache>
            </c:multiLvlStrRef>
          </c:cat>
          <c:val>
            <c:numRef>
              <c:f>'4 - Emissions GES scénarios'!$D$62:$D$64</c:f>
              <c:numCache>
                <c:formatCode>0%</c:formatCode>
                <c:ptCount val="3"/>
                <c:pt idx="0">
                  <c:v>0.75</c:v>
                </c:pt>
                <c:pt idx="1">
                  <c:v>0.1925</c:v>
                </c:pt>
                <c:pt idx="2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74-4A7C-B1E5-B9A9EDEF37CB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2"/>
        <c:secondPieSize val="63"/>
        <c:serLines>
          <c:spPr>
            <a:ln w="9525">
              <a:solidFill>
                <a:sysClr val="windowText" lastClr="000000"/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668546598605529E-2"/>
          <c:y val="7.1236670517269243E-2"/>
          <c:w val="0.59591570749444167"/>
          <c:h val="0.85070038713561291"/>
        </c:manualLayout>
      </c:layout>
      <c:scatterChart>
        <c:scatterStyle val="lineMarker"/>
        <c:varyColors val="0"/>
        <c:ser>
          <c:idx val="11"/>
          <c:order val="0"/>
          <c:tx>
            <c:strRef>
              <c:f>'4 - Emissions GES scénarios'!$B$70</c:f>
              <c:strCache>
                <c:ptCount val="1"/>
                <c:pt idx="0">
                  <c:v>Scénario énergie "Stated Policies" (IEA, 2024)</c:v>
                </c:pt>
              </c:strCache>
            </c:strRef>
          </c:tx>
          <c:spPr bwMode="auto">
            <a:ln w="15875" cap="rnd">
              <a:solidFill>
                <a:srgbClr val="0009B5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'4 - Emissions GES scénarios'!$C$3:$R$3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'4 - Emissions GES scénarios'!$C$7:$R$7</c:f>
              <c:numCache>
                <c:formatCode>_-* #,##0_-;\-* #,##0_-;_-* "-"??_-;_-@_-</c:formatCode>
                <c:ptCount val="16"/>
                <c:pt idx="0">
                  <c:v>247.32000000000002</c:v>
                </c:pt>
                <c:pt idx="1">
                  <c:v>272.05200000000008</c:v>
                </c:pt>
                <c:pt idx="2">
                  <c:v>299.25720000000007</c:v>
                </c:pt>
                <c:pt idx="3">
                  <c:v>327.69900000000001</c:v>
                </c:pt>
                <c:pt idx="4">
                  <c:v>362.35760587356276</c:v>
                </c:pt>
                <c:pt idx="5">
                  <c:v>399.76968644166817</c:v>
                </c:pt>
                <c:pt idx="6">
                  <c:v>439.93726939994764</c:v>
                </c:pt>
                <c:pt idx="7">
                  <c:v>482.79383246290479</c:v>
                </c:pt>
                <c:pt idx="8">
                  <c:v>528.18251902294151</c:v>
                </c:pt>
                <c:pt idx="9">
                  <c:v>575.82916981847245</c:v>
                </c:pt>
                <c:pt idx="10">
                  <c:v>625.30907448084827</c:v>
                </c:pt>
                <c:pt idx="11">
                  <c:v>681.2470014361968</c:v>
                </c:pt>
                <c:pt idx="12">
                  <c:v>739.2061638843951</c:v>
                </c:pt>
                <c:pt idx="13">
                  <c:v>798.42170306921037</c:v>
                </c:pt>
                <c:pt idx="14">
                  <c:v>857.83547385942154</c:v>
                </c:pt>
                <c:pt idx="15">
                  <c:v>916.02228030493825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FD-4793-934D-041CA8365232}"/>
            </c:ext>
          </c:extLst>
        </c:ser>
        <c:ser>
          <c:idx val="13"/>
          <c:order val="1"/>
          <c:tx>
            <c:strRef>
              <c:f>'4 - Emissions GES scénarios'!$B$71</c:f>
              <c:strCache>
                <c:ptCount val="1"/>
                <c:pt idx="0">
                  <c:v>Sensibilité à une transition énergétique contrariée</c:v>
                </c:pt>
              </c:strCache>
            </c:strRef>
          </c:tx>
          <c:spPr bwMode="auto">
            <a:ln w="15875" cap="rnd">
              <a:solidFill>
                <a:srgbClr val="33AFFF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'4 - Emissions GES scénarios'!$C$3:$R$3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'4 - Emissions GES scénarios'!$C$11:$R$11</c:f>
              <c:numCache>
                <c:formatCode>_-* #,##0_-;\-* #,##0_-;_-* "-"??_-;_-@_-</c:formatCode>
                <c:ptCount val="16"/>
                <c:pt idx="0">
                  <c:v>247.32000000000002</c:v>
                </c:pt>
                <c:pt idx="1">
                  <c:v>272.05200000000008</c:v>
                </c:pt>
                <c:pt idx="2">
                  <c:v>299.25720000000007</c:v>
                </c:pt>
                <c:pt idx="3">
                  <c:v>327.69900000000001</c:v>
                </c:pt>
                <c:pt idx="4">
                  <c:v>379.64656353942553</c:v>
                </c:pt>
                <c:pt idx="5">
                  <c:v>439.82896867947426</c:v>
                </c:pt>
                <c:pt idx="6">
                  <c:v>509.55162055499716</c:v>
                </c:pt>
                <c:pt idx="7">
                  <c:v>590.32685998324678</c:v>
                </c:pt>
                <c:pt idx="8">
                  <c:v>683.90676736169235</c:v>
                </c:pt>
                <c:pt idx="9">
                  <c:v>792.3211667115977</c:v>
                </c:pt>
                <c:pt idx="10">
                  <c:v>917.92165420586059</c:v>
                </c:pt>
                <c:pt idx="11">
                  <c:v>1063.432606195563</c:v>
                </c:pt>
                <c:pt idx="12">
                  <c:v>1232.0102731406587</c:v>
                </c:pt>
                <c:pt idx="13">
                  <c:v>1427.3112412400403</c:v>
                </c:pt>
                <c:pt idx="14">
                  <c:v>1653.5717467492218</c:v>
                </c:pt>
                <c:pt idx="15">
                  <c:v>1915.6995633774507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FBFD-4793-934D-041CA8365232}"/>
            </c:ext>
          </c:extLst>
        </c:ser>
        <c:ser>
          <c:idx val="0"/>
          <c:order val="2"/>
          <c:tx>
            <c:strRef>
              <c:f>'4 - Emissions GES scénarios'!$B$14</c:f>
              <c:strCache>
                <c:ptCount val="1"/>
                <c:pt idx="0">
                  <c:v>Cible - 45 % de GES entre 2020 et 2030 (SBTi, 2020)</c:v>
                </c:pt>
              </c:strCache>
            </c:strRef>
          </c:tx>
          <c:spPr bwMode="auto">
            <a:ln w="19050" cap="rnd">
              <a:solidFill>
                <a:srgbClr val="FF66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'4 - Emissions GES scénarios'!$C$13:$D$13</c:f>
              <c:numCache>
                <c:formatCode>_-* #,##0_-;\-* #,##0_-;_-* "-"??_-;_-@_-</c:formatCode>
                <c:ptCount val="2"/>
                <c:pt idx="0">
                  <c:v>2020</c:v>
                </c:pt>
                <c:pt idx="1">
                  <c:v>2030</c:v>
                </c:pt>
              </c:numCache>
            </c:numRef>
          </c:xVal>
          <c:yVal>
            <c:numRef>
              <c:f>'4 - Emissions GES scénarios'!$C$14:$D$14</c:f>
              <c:numCache>
                <c:formatCode>_-* #,##0_-;\-* #,##0_-;_-* "-"??_-;_-@_-</c:formatCode>
                <c:ptCount val="2"/>
                <c:pt idx="0">
                  <c:v>136.02600000000001</c:v>
                </c:pt>
                <c:pt idx="1">
                  <c:v>136.02600000000001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D-4793-934D-041CA8365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874080"/>
        <c:axId val="444874496"/>
        <c:extLst/>
      </c:scatterChart>
      <c:valAx>
        <c:axId val="444874080"/>
        <c:scaling>
          <c:orientation val="minMax"/>
          <c:max val="2030"/>
          <c:min val="2020"/>
        </c:scaling>
        <c:delete val="0"/>
        <c:axPos val="b"/>
        <c:majorGridlines>
          <c:spPr bwMode="auto"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874496"/>
        <c:crosses val="autoZero"/>
        <c:crossBetween val="midCat"/>
        <c:majorUnit val="1"/>
      </c:valAx>
      <c:valAx>
        <c:axId val="444874496"/>
        <c:scaling>
          <c:orientation val="minMax"/>
          <c:max val="1000"/>
          <c:min val="0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874080"/>
        <c:crosses val="autoZero"/>
        <c:crossBetween val="midCat"/>
        <c:majorUnit val="100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79619065264621"/>
          <c:y val="8.1481229320181259E-2"/>
          <c:w val="0.21112944263209923"/>
          <c:h val="0.683389237605674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accent6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759921304395223E-2"/>
          <c:y val="5.7087231961697356E-2"/>
          <c:w val="0.59591570749444167"/>
          <c:h val="0.867385130351643"/>
        </c:manualLayout>
      </c:layout>
      <c:scatterChart>
        <c:scatterStyle val="lineMarker"/>
        <c:varyColors val="0"/>
        <c:ser>
          <c:idx val="11"/>
          <c:order val="0"/>
          <c:tx>
            <c:strRef>
              <c:f>'4 - Emissions GES scénarios'!$B$70</c:f>
              <c:strCache>
                <c:ptCount val="1"/>
                <c:pt idx="0">
                  <c:v>Scénario énergie "Stated Policies" (IEA, 2024)</c:v>
                </c:pt>
              </c:strCache>
            </c:strRef>
          </c:tx>
          <c:spPr bwMode="auto">
            <a:ln w="15875" cap="rnd">
              <a:solidFill>
                <a:srgbClr val="0009B5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'4 - Emissions GES scénarios'!$C$3:$M$3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'4 - Emissions GES scénarios'!$C$7:$M$7</c:f>
              <c:numCache>
                <c:formatCode>_-* #,##0_-;\-* #,##0_-;_-* "-"??_-;_-@_-</c:formatCode>
                <c:ptCount val="11"/>
                <c:pt idx="0">
                  <c:v>247.32000000000002</c:v>
                </c:pt>
                <c:pt idx="1">
                  <c:v>272.05200000000008</c:v>
                </c:pt>
                <c:pt idx="2">
                  <c:v>299.25720000000007</c:v>
                </c:pt>
                <c:pt idx="3">
                  <c:v>327.69900000000001</c:v>
                </c:pt>
                <c:pt idx="4">
                  <c:v>362.35760587356276</c:v>
                </c:pt>
                <c:pt idx="5">
                  <c:v>399.76968644166817</c:v>
                </c:pt>
                <c:pt idx="6">
                  <c:v>439.93726939994764</c:v>
                </c:pt>
                <c:pt idx="7">
                  <c:v>482.79383246290479</c:v>
                </c:pt>
                <c:pt idx="8">
                  <c:v>528.18251902294151</c:v>
                </c:pt>
                <c:pt idx="9">
                  <c:v>575.82916981847245</c:v>
                </c:pt>
                <c:pt idx="10">
                  <c:v>625.30907448084827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B8-46C2-8A23-6DE98752DF84}"/>
            </c:ext>
          </c:extLst>
        </c:ser>
        <c:ser>
          <c:idx val="1"/>
          <c:order val="1"/>
          <c:tx>
            <c:strRef>
              <c:f>'4 - Emissions GES scénarios'!$B$70</c:f>
              <c:strCache>
                <c:ptCount val="1"/>
                <c:pt idx="0">
                  <c:v>Scénario énergie "Stated Policies" (IEA, 2024)</c:v>
                </c:pt>
              </c:strCache>
            </c:strRef>
          </c:tx>
          <c:spPr bwMode="auto">
            <a:ln w="28575" cap="rnd">
              <a:solidFill>
                <a:srgbClr val="0009B5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'4 - Emissions GES scénarios'!$M$3:$R$3</c:f>
              <c:numCache>
                <c:formatCode>General</c:formatCode>
                <c:ptCount val="6"/>
                <c:pt idx="0">
                  <c:v>2030</c:v>
                </c:pt>
                <c:pt idx="1">
                  <c:v>2031</c:v>
                </c:pt>
                <c:pt idx="2">
                  <c:v>2032</c:v>
                </c:pt>
                <c:pt idx="3">
                  <c:v>2033</c:v>
                </c:pt>
                <c:pt idx="4">
                  <c:v>2034</c:v>
                </c:pt>
                <c:pt idx="5">
                  <c:v>2035</c:v>
                </c:pt>
              </c:numCache>
            </c:numRef>
          </c:xVal>
          <c:yVal>
            <c:numRef>
              <c:f>'4 - Emissions GES scénarios'!$M$7:$R$7</c:f>
              <c:numCache>
                <c:formatCode>_-* #,##0_-;\-* #,##0_-;_-* "-"??_-;_-@_-</c:formatCode>
                <c:ptCount val="6"/>
                <c:pt idx="0">
                  <c:v>625.30907448084827</c:v>
                </c:pt>
                <c:pt idx="1">
                  <c:v>681.2470014361968</c:v>
                </c:pt>
                <c:pt idx="2">
                  <c:v>739.2061638843951</c:v>
                </c:pt>
                <c:pt idx="3">
                  <c:v>798.42170306921037</c:v>
                </c:pt>
                <c:pt idx="4">
                  <c:v>857.83547385942154</c:v>
                </c:pt>
                <c:pt idx="5">
                  <c:v>916.02228030493825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B8-46C2-8A23-6DE98752DF84}"/>
            </c:ext>
          </c:extLst>
        </c:ser>
        <c:ser>
          <c:idx val="13"/>
          <c:order val="2"/>
          <c:tx>
            <c:strRef>
              <c:f>'4 - Emissions GES scénarios'!$B$71</c:f>
              <c:strCache>
                <c:ptCount val="1"/>
                <c:pt idx="0">
                  <c:v>Sensibilité à une transition énergétique contrariée</c:v>
                </c:pt>
              </c:strCache>
            </c:strRef>
          </c:tx>
          <c:spPr bwMode="auto">
            <a:ln w="15875" cap="rnd">
              <a:solidFill>
                <a:srgbClr val="33AFFF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'4 - Emissions GES scénarios'!$C$3:$R$3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'4 - Emissions GES scénarios'!$C$11:$R$11</c:f>
              <c:numCache>
                <c:formatCode>_-* #,##0_-;\-* #,##0_-;_-* "-"??_-;_-@_-</c:formatCode>
                <c:ptCount val="16"/>
                <c:pt idx="0">
                  <c:v>247.32000000000002</c:v>
                </c:pt>
                <c:pt idx="1">
                  <c:v>272.05200000000008</c:v>
                </c:pt>
                <c:pt idx="2">
                  <c:v>299.25720000000007</c:v>
                </c:pt>
                <c:pt idx="3">
                  <c:v>327.69900000000001</c:v>
                </c:pt>
                <c:pt idx="4">
                  <c:v>379.64656353942553</c:v>
                </c:pt>
                <c:pt idx="5">
                  <c:v>439.82896867947426</c:v>
                </c:pt>
                <c:pt idx="6">
                  <c:v>509.55162055499716</c:v>
                </c:pt>
                <c:pt idx="7">
                  <c:v>590.32685998324678</c:v>
                </c:pt>
                <c:pt idx="8">
                  <c:v>683.90676736169235</c:v>
                </c:pt>
                <c:pt idx="9">
                  <c:v>792.3211667115977</c:v>
                </c:pt>
                <c:pt idx="10">
                  <c:v>917.92165420586059</c:v>
                </c:pt>
                <c:pt idx="11">
                  <c:v>1063.432606195563</c:v>
                </c:pt>
                <c:pt idx="12">
                  <c:v>1232.0102731406587</c:v>
                </c:pt>
                <c:pt idx="13">
                  <c:v>1427.3112412400403</c:v>
                </c:pt>
                <c:pt idx="14">
                  <c:v>1653.5717467492218</c:v>
                </c:pt>
                <c:pt idx="15">
                  <c:v>1915.6995633774507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3B8-46C2-8A23-6DE98752DF84}"/>
            </c:ext>
          </c:extLst>
        </c:ser>
        <c:ser>
          <c:idx val="0"/>
          <c:order val="3"/>
          <c:tx>
            <c:strRef>
              <c:f>'4 - Emissions GES scénarios'!$B$14</c:f>
              <c:strCache>
                <c:ptCount val="1"/>
                <c:pt idx="0">
                  <c:v>Cible - 45 % de GES entre 2020 et 2030 (SBTi, 2020)</c:v>
                </c:pt>
              </c:strCache>
            </c:strRef>
          </c:tx>
          <c:spPr bwMode="auto">
            <a:ln w="19050" cap="rnd">
              <a:solidFill>
                <a:srgbClr val="FF66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'4 - Emissions GES scénarios'!$C$13:$D$13</c:f>
              <c:numCache>
                <c:formatCode>_-* #,##0_-;\-* #,##0_-;_-* "-"??_-;_-@_-</c:formatCode>
                <c:ptCount val="2"/>
                <c:pt idx="0">
                  <c:v>2020</c:v>
                </c:pt>
                <c:pt idx="1">
                  <c:v>2030</c:v>
                </c:pt>
              </c:numCache>
            </c:numRef>
          </c:xVal>
          <c:yVal>
            <c:numRef>
              <c:f>'4 - Emissions GES scénarios'!$C$14:$D$14</c:f>
              <c:numCache>
                <c:formatCode>_-* #,##0_-;\-* #,##0_-;_-* "-"??_-;_-@_-</c:formatCode>
                <c:ptCount val="2"/>
                <c:pt idx="0">
                  <c:v>136.02600000000001</c:v>
                </c:pt>
                <c:pt idx="1">
                  <c:v>136.02600000000001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3B8-46C2-8A23-6DE98752DF84}"/>
            </c:ext>
          </c:extLst>
        </c:ser>
        <c:ser>
          <c:idx val="12"/>
          <c:order val="4"/>
          <c:tx>
            <c:strRef>
              <c:f>'4 - Emissions GES scénarios'!$B$15</c:f>
              <c:strCache>
                <c:ptCount val="1"/>
                <c:pt idx="0">
                  <c:v>Cible - 90 % de GES entre 2020 et 2050</c:v>
                </c:pt>
              </c:strCache>
            </c:strRef>
          </c:tx>
          <c:spPr bwMode="auto">
            <a:ln w="15875" cap="rnd">
              <a:solidFill>
                <a:srgbClr val="FF66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'4 - Emissions GES scénarios'!$C$13:$F$13</c:f>
              <c:numCache>
                <c:formatCode>_-* #,##0_-;\-* #,##0_-;_-* "-"??_-;_-@_-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2035</c:v>
                </c:pt>
                <c:pt idx="3">
                  <c:v>2050</c:v>
                </c:pt>
              </c:numCache>
            </c:numRef>
          </c:xVal>
          <c:yVal>
            <c:numRef>
              <c:f>'4 - Emissions GES scénarios'!$C$15:$F$15</c:f>
              <c:numCache>
                <c:formatCode>_-* #,##0_-;\-* #,##0_-;_-* "-"??_-;_-@_-</c:formatCode>
                <c:ptCount val="4"/>
                <c:pt idx="0">
                  <c:v>24.731999999999996</c:v>
                </c:pt>
                <c:pt idx="1">
                  <c:v>24.731999999999996</c:v>
                </c:pt>
                <c:pt idx="2">
                  <c:v>24.731999999999996</c:v>
                </c:pt>
                <c:pt idx="3">
                  <c:v>24.731999999999996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3B8-46C2-8A23-6DE98752D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874080"/>
        <c:axId val="444874496"/>
        <c:extLst/>
      </c:scatterChart>
      <c:valAx>
        <c:axId val="444874080"/>
        <c:scaling>
          <c:orientation val="minMax"/>
          <c:max val="2050"/>
          <c:min val="2020"/>
        </c:scaling>
        <c:delete val="0"/>
        <c:axPos val="b"/>
        <c:majorGridlines>
          <c:spPr bwMode="auto"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874496"/>
        <c:crosses val="autoZero"/>
        <c:crossBetween val="midCat"/>
      </c:valAx>
      <c:valAx>
        <c:axId val="444874496"/>
        <c:scaling>
          <c:orientation val="minMax"/>
          <c:min val="0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874080"/>
        <c:crosses val="autoZero"/>
        <c:crossBetween val="midCat"/>
        <c:majorUnit val="200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087611302295593"/>
          <c:y val="6.0495870859912128E-2"/>
          <c:w val="0.28755548485598137"/>
          <c:h val="0.86689165409219926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8D2-4189-BC24-C188A8EF50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D2-4189-BC24-C188A8EF50EA}"/>
              </c:ext>
            </c:extLst>
          </c:dPt>
          <c:dLbls>
            <c:dLbl>
              <c:idx val="0"/>
              <c:layout>
                <c:manualLayout>
                  <c:x val="-0.1315188101487314"/>
                  <c:y val="-0.1801159230096237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D2-4189-BC24-C188A8EF50EA}"/>
                </c:ext>
              </c:extLst>
            </c:dLbl>
            <c:dLbl>
              <c:idx val="1"/>
              <c:layout>
                <c:manualLayout>
                  <c:x val="0.12665594925634291"/>
                  <c:y val="0.1938899825021872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D2-4189-BC24-C188A8EF5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'4 - Emissions GES scénarios'!$U$50:$U$51</c:f>
              <c:strCache>
                <c:ptCount val="2"/>
                <c:pt idx="0">
                  <c:v>Utilisation</c:v>
                </c:pt>
                <c:pt idx="1">
                  <c:v>Fabrication</c:v>
                </c:pt>
              </c:strCache>
            </c:strRef>
          </c:cat>
          <c:val>
            <c:numRef>
              <c:f>'4 - Emissions GES scénarios'!$V$50:$V$51</c:f>
              <c:numCache>
                <c:formatCode>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2-4189-BC24-C188A8EF50E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" Type="http://schemas.openxmlformats.org/officeDocument/2006/relationships/image" Target="../media/image2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2" Type="http://schemas.openxmlformats.org/officeDocument/2006/relationships/image" Target="../media/image1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7" Type="http://schemas.openxmlformats.org/officeDocument/2006/relationships/chart" Target="../charts/chart9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4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326572</xdr:colOff>
      <xdr:row>28</xdr:row>
      <xdr:rowOff>172356</xdr:rowOff>
    </xdr:from>
    <xdr:to>
      <xdr:col>13</xdr:col>
      <xdr:colOff>480786</xdr:colOff>
      <xdr:row>34</xdr:row>
      <xdr:rowOff>9070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2ECBD85-8B78-4579-871F-88C36A2C9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229054</xdr:colOff>
      <xdr:row>28</xdr:row>
      <xdr:rowOff>108857</xdr:rowOff>
    </xdr:from>
    <xdr:to>
      <xdr:col>19</xdr:col>
      <xdr:colOff>490988</xdr:colOff>
      <xdr:row>34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5217935-4B28-4F71-8C7B-68C4982A6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5137" y="2087940"/>
          <a:ext cx="2938004" cy="216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375694</xdr:colOff>
      <xdr:row>35</xdr:row>
      <xdr:rowOff>138465</xdr:rowOff>
    </xdr:from>
    <xdr:to>
      <xdr:col>12</xdr:col>
      <xdr:colOff>343159</xdr:colOff>
      <xdr:row>40</xdr:row>
      <xdr:rowOff>159631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886E9EB-2FB1-4C17-853E-647D49996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20944" y="4607278"/>
          <a:ext cx="2108321" cy="1719791"/>
        </a:xfrm>
        <a:prstGeom prst="rect">
          <a:avLst/>
        </a:prstGeom>
      </xdr:spPr>
    </xdr:pic>
    <xdr:clientData/>
  </xdr:twoCellAnchor>
  <xdr:twoCellAnchor editAs="oneCell">
    <xdr:from>
      <xdr:col>12</xdr:col>
      <xdr:colOff>479243</xdr:colOff>
      <xdr:row>35</xdr:row>
      <xdr:rowOff>139095</xdr:rowOff>
    </xdr:from>
    <xdr:to>
      <xdr:col>17</xdr:col>
      <xdr:colOff>99407</xdr:colOff>
      <xdr:row>41</xdr:row>
      <xdr:rowOff>63193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46E4024-6D9B-4769-8C25-14E3BD9D2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78957" y="12231309"/>
          <a:ext cx="2296237" cy="1801884"/>
        </a:xfrm>
        <a:prstGeom prst="rect">
          <a:avLst/>
        </a:prstGeom>
      </xdr:spPr>
    </xdr:pic>
    <xdr:clientData/>
  </xdr:twoCellAnchor>
  <xdr:twoCellAnchor editAs="oneCell">
    <xdr:from>
      <xdr:col>14</xdr:col>
      <xdr:colOff>59342</xdr:colOff>
      <xdr:row>1</xdr:row>
      <xdr:rowOff>156483</xdr:rowOff>
    </xdr:from>
    <xdr:to>
      <xdr:col>17</xdr:col>
      <xdr:colOff>254000</xdr:colOff>
      <xdr:row>6</xdr:row>
      <xdr:rowOff>92034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B47080A-2689-421B-B102-51B3C0D65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9658425" y="156483"/>
          <a:ext cx="1782158" cy="1628884"/>
        </a:xfrm>
        <a:prstGeom prst="rect">
          <a:avLst/>
        </a:prstGeom>
      </xdr:spPr>
    </xdr:pic>
    <xdr:clientData/>
  </xdr:twoCellAnchor>
  <xdr:twoCellAnchor editAs="oneCell">
    <xdr:from>
      <xdr:col>10</xdr:col>
      <xdr:colOff>72329</xdr:colOff>
      <xdr:row>1</xdr:row>
      <xdr:rowOff>88447</xdr:rowOff>
    </xdr:from>
    <xdr:to>
      <xdr:col>13</xdr:col>
      <xdr:colOff>127000</xdr:colOff>
      <xdr:row>6</xdr:row>
      <xdr:rowOff>81901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47096AE-70FF-47FD-8169-DFD9607A8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r="7653"/>
        <a:stretch/>
      </xdr:blipFill>
      <xdr:spPr bwMode="auto">
        <a:xfrm>
          <a:off x="7554746" y="88447"/>
          <a:ext cx="1642171" cy="1686787"/>
        </a:xfrm>
        <a:prstGeom prst="rect">
          <a:avLst/>
        </a:prstGeom>
      </xdr:spPr>
    </xdr:pic>
    <xdr:clientData/>
  </xdr:twoCellAnchor>
  <xdr:twoCellAnchor editAs="oneCell">
    <xdr:from>
      <xdr:col>4</xdr:col>
      <xdr:colOff>430432</xdr:colOff>
      <xdr:row>1</xdr:row>
      <xdr:rowOff>142875</xdr:rowOff>
    </xdr:from>
    <xdr:to>
      <xdr:col>9</xdr:col>
      <xdr:colOff>84667</xdr:colOff>
      <xdr:row>6</xdr:row>
      <xdr:rowOff>164659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D6DC09D-9D08-4DB9-9878-94424A65E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4737849" y="142875"/>
          <a:ext cx="2300068" cy="1715117"/>
        </a:xfrm>
        <a:prstGeom prst="rect">
          <a:avLst/>
        </a:prstGeom>
      </xdr:spPr>
    </xdr:pic>
    <xdr:clientData/>
  </xdr:twoCellAnchor>
  <xdr:twoCellAnchor editAs="oneCell">
    <xdr:from>
      <xdr:col>29</xdr:col>
      <xdr:colOff>644542</xdr:colOff>
      <xdr:row>70</xdr:row>
      <xdr:rowOff>93838</xdr:rowOff>
    </xdr:from>
    <xdr:to>
      <xdr:col>32</xdr:col>
      <xdr:colOff>80850</xdr:colOff>
      <xdr:row>82</xdr:row>
      <xdr:rowOff>84513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5A418F2-EB86-41AC-A76B-6C793DA17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827892" y="23550738"/>
          <a:ext cx="1722308" cy="2200475"/>
        </a:xfrm>
        <a:prstGeom prst="rect">
          <a:avLst/>
        </a:prstGeom>
      </xdr:spPr>
    </xdr:pic>
    <xdr:clientData/>
  </xdr:twoCellAnchor>
  <xdr:twoCellAnchor editAs="oneCell">
    <xdr:from>
      <xdr:col>18</xdr:col>
      <xdr:colOff>61083</xdr:colOff>
      <xdr:row>70</xdr:row>
      <xdr:rowOff>158347</xdr:rowOff>
    </xdr:from>
    <xdr:to>
      <xdr:col>22</xdr:col>
      <xdr:colOff>561609</xdr:colOff>
      <xdr:row>82</xdr:row>
      <xdr:rowOff>165805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2734EF07-0497-4F6D-AC1F-3F91E3BD4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526361" y="23596903"/>
          <a:ext cx="3096970" cy="2208791"/>
        </a:xfrm>
        <a:prstGeom prst="rect">
          <a:avLst/>
        </a:prstGeom>
      </xdr:spPr>
    </xdr:pic>
    <xdr:clientData/>
  </xdr:twoCellAnchor>
  <xdr:twoCellAnchor editAs="oneCell">
    <xdr:from>
      <xdr:col>27</xdr:col>
      <xdr:colOff>314678</xdr:colOff>
      <xdr:row>70</xdr:row>
      <xdr:rowOff>96661</xdr:rowOff>
    </xdr:from>
    <xdr:to>
      <xdr:col>29</xdr:col>
      <xdr:colOff>441679</xdr:colOff>
      <xdr:row>82</xdr:row>
      <xdr:rowOff>117269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D001DAB1-429A-420A-AB93-190F695A4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974028" y="23553561"/>
          <a:ext cx="1651001" cy="2230408"/>
        </a:xfrm>
        <a:prstGeom prst="rect">
          <a:avLst/>
        </a:prstGeom>
      </xdr:spPr>
    </xdr:pic>
    <xdr:clientData/>
  </xdr:twoCellAnchor>
  <xdr:twoCellAnchor editAs="oneCell">
    <xdr:from>
      <xdr:col>1</xdr:col>
      <xdr:colOff>487589</xdr:colOff>
      <xdr:row>156</xdr:row>
      <xdr:rowOff>139697</xdr:rowOff>
    </xdr:from>
    <xdr:to>
      <xdr:col>4</xdr:col>
      <xdr:colOff>111126</xdr:colOff>
      <xdr:row>169</xdr:row>
      <xdr:rowOff>53533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164C940D-D408-47F5-B803-FC64BD1DE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725714" y="47463072"/>
          <a:ext cx="3179537" cy="2287149"/>
        </a:xfrm>
        <a:prstGeom prst="rect">
          <a:avLst/>
        </a:prstGeom>
      </xdr:spPr>
    </xdr:pic>
    <xdr:clientData/>
  </xdr:twoCellAnchor>
  <xdr:twoCellAnchor editAs="oneCell">
    <xdr:from>
      <xdr:col>25</xdr:col>
      <xdr:colOff>409287</xdr:colOff>
      <xdr:row>143</xdr:row>
      <xdr:rowOff>76835</xdr:rowOff>
    </xdr:from>
    <xdr:to>
      <xdr:col>29</xdr:col>
      <xdr:colOff>716198</xdr:colOff>
      <xdr:row>150</xdr:row>
      <xdr:rowOff>190498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F91EFE3-B955-48BC-B30E-F8A4C373E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00716" y="30447978"/>
          <a:ext cx="3354911" cy="2762522"/>
        </a:xfrm>
        <a:prstGeom prst="rect">
          <a:avLst/>
        </a:prstGeom>
      </xdr:spPr>
    </xdr:pic>
    <xdr:clientData/>
  </xdr:twoCellAnchor>
  <xdr:twoCellAnchor editAs="oneCell">
    <xdr:from>
      <xdr:col>21</xdr:col>
      <xdr:colOff>735575</xdr:colOff>
      <xdr:row>143</xdr:row>
      <xdr:rowOff>117928</xdr:rowOff>
    </xdr:from>
    <xdr:to>
      <xdr:col>25</xdr:col>
      <xdr:colOff>326570</xdr:colOff>
      <xdr:row>154</xdr:row>
      <xdr:rowOff>92924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C9D5D9C9-15A5-4865-925F-1F3F8EC38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379004" y="30489071"/>
          <a:ext cx="2638995" cy="4147855"/>
        </a:xfrm>
        <a:prstGeom prst="rect">
          <a:avLst/>
        </a:prstGeom>
      </xdr:spPr>
    </xdr:pic>
    <xdr:clientData/>
  </xdr:twoCellAnchor>
  <xdr:twoCellAnchor editAs="oneCell">
    <xdr:from>
      <xdr:col>17</xdr:col>
      <xdr:colOff>67658</xdr:colOff>
      <xdr:row>143</xdr:row>
      <xdr:rowOff>74383</xdr:rowOff>
    </xdr:from>
    <xdr:to>
      <xdr:col>21</xdr:col>
      <xdr:colOff>589642</xdr:colOff>
      <xdr:row>150</xdr:row>
      <xdr:rowOff>117179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8F75AD79-4BFC-40BA-8D38-2C2E5D655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343444" y="30445526"/>
          <a:ext cx="2889627" cy="2691655"/>
        </a:xfrm>
        <a:prstGeom prst="rect">
          <a:avLst/>
        </a:prstGeom>
      </xdr:spPr>
    </xdr:pic>
    <xdr:clientData/>
  </xdr:twoCellAnchor>
  <xdr:twoCellAnchor editAs="oneCell">
    <xdr:from>
      <xdr:col>10</xdr:col>
      <xdr:colOff>92225</xdr:colOff>
      <xdr:row>143</xdr:row>
      <xdr:rowOff>154212</xdr:rowOff>
    </xdr:from>
    <xdr:to>
      <xdr:col>17</xdr:col>
      <xdr:colOff>325094</xdr:colOff>
      <xdr:row>150</xdr:row>
      <xdr:rowOff>229806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AB6F2CC1-4B23-4228-9536-02154F10B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045475" y="40402629"/>
          <a:ext cx="3937036" cy="2721428"/>
        </a:xfrm>
        <a:prstGeom prst="rect">
          <a:avLst/>
        </a:prstGeom>
      </xdr:spPr>
    </xdr:pic>
    <xdr:clientData/>
  </xdr:twoCellAnchor>
  <xdr:twoCellAnchor editAs="oneCell">
    <xdr:from>
      <xdr:col>10</xdr:col>
      <xdr:colOff>362855</xdr:colOff>
      <xdr:row>42</xdr:row>
      <xdr:rowOff>126999</xdr:rowOff>
    </xdr:from>
    <xdr:to>
      <xdr:col>17</xdr:col>
      <xdr:colOff>252513</xdr:colOff>
      <xdr:row>47</xdr:row>
      <xdr:rowOff>371930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B0DC936E-62FC-47F9-8654-F8143628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92141" y="13897428"/>
          <a:ext cx="3636159" cy="2140858"/>
        </a:xfrm>
        <a:prstGeom prst="rect">
          <a:avLst/>
        </a:prstGeom>
      </xdr:spPr>
    </xdr:pic>
    <xdr:clientData/>
  </xdr:twoCellAnchor>
  <xdr:twoCellAnchor editAs="oneCell">
    <xdr:from>
      <xdr:col>11</xdr:col>
      <xdr:colOff>353786</xdr:colOff>
      <xdr:row>49</xdr:row>
      <xdr:rowOff>181427</xdr:rowOff>
    </xdr:from>
    <xdr:to>
      <xdr:col>19</xdr:col>
      <xdr:colOff>353786</xdr:colOff>
      <xdr:row>55</xdr:row>
      <xdr:rowOff>353786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A86FFCE-6649-4FDF-A6DB-25AB20B423DB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418286" y="16410213"/>
          <a:ext cx="4281713" cy="2249715"/>
        </a:xfrm>
        <a:prstGeom prst="rect">
          <a:avLst/>
        </a:prstGeom>
        <a:ln>
          <a:solidFill>
            <a:schemeClr val="accent4">
              <a:lumMod val="20000"/>
              <a:lumOff val="80000"/>
            </a:schemeClr>
          </a:solidFill>
        </a:ln>
      </xdr:spPr>
    </xdr:pic>
    <xdr:clientData/>
  </xdr:twoCellAnchor>
  <xdr:twoCellAnchor editAs="oneCell">
    <xdr:from>
      <xdr:col>30</xdr:col>
      <xdr:colOff>99786</xdr:colOff>
      <xdr:row>143</xdr:row>
      <xdr:rowOff>57453</xdr:rowOff>
    </xdr:from>
    <xdr:to>
      <xdr:col>35</xdr:col>
      <xdr:colOff>655195</xdr:colOff>
      <xdr:row>151</xdr:row>
      <xdr:rowOff>42726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8F82FB7-D7DC-4C2C-888D-3824D4B2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504453" y="35215286"/>
          <a:ext cx="4365409" cy="3033274"/>
        </a:xfrm>
        <a:prstGeom prst="rect">
          <a:avLst/>
        </a:prstGeom>
      </xdr:spPr>
    </xdr:pic>
    <xdr:clientData/>
  </xdr:twoCellAnchor>
  <xdr:twoCellAnchor editAs="oneCell">
    <xdr:from>
      <xdr:col>9</xdr:col>
      <xdr:colOff>42333</xdr:colOff>
      <xdr:row>58</xdr:row>
      <xdr:rowOff>126999</xdr:rowOff>
    </xdr:from>
    <xdr:to>
      <xdr:col>18</xdr:col>
      <xdr:colOff>13304</xdr:colOff>
      <xdr:row>69</xdr:row>
      <xdr:rowOff>40607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190BBC54-66A1-4515-A925-320C63544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6466416" y="19325166"/>
          <a:ext cx="4733471" cy="3882358"/>
        </a:xfrm>
        <a:prstGeom prst="rect">
          <a:avLst/>
        </a:prstGeom>
      </xdr:spPr>
    </xdr:pic>
    <xdr:clientData/>
  </xdr:twoCellAnchor>
  <xdr:twoCellAnchor editAs="oneCell">
    <xdr:from>
      <xdr:col>11</xdr:col>
      <xdr:colOff>316525</xdr:colOff>
      <xdr:row>71</xdr:row>
      <xdr:rowOff>97896</xdr:rowOff>
    </xdr:from>
    <xdr:to>
      <xdr:col>18</xdr:col>
      <xdr:colOff>110389</xdr:colOff>
      <xdr:row>82</xdr:row>
      <xdr:rowOff>87815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D75D74C-5A32-4CB4-8F27-CFCF7547D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33338" y="23696084"/>
          <a:ext cx="3516551" cy="1998106"/>
        </a:xfrm>
        <a:prstGeom prst="rect">
          <a:avLst/>
        </a:prstGeom>
      </xdr:spPr>
    </xdr:pic>
    <xdr:clientData/>
  </xdr:twoCellAnchor>
  <xdr:twoCellAnchor editAs="oneCell">
    <xdr:from>
      <xdr:col>4</xdr:col>
      <xdr:colOff>159633</xdr:colOff>
      <xdr:row>71</xdr:row>
      <xdr:rowOff>20284</xdr:rowOff>
    </xdr:from>
    <xdr:to>
      <xdr:col>11</xdr:col>
      <xdr:colOff>211912</xdr:colOff>
      <xdr:row>82</xdr:row>
      <xdr:rowOff>120094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16143B6-4883-40BA-819E-76CABE9C78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b="52725"/>
        <a:stretch/>
      </xdr:blipFill>
      <xdr:spPr>
        <a:xfrm>
          <a:off x="3953758" y="23618472"/>
          <a:ext cx="3774967" cy="2107997"/>
        </a:xfrm>
        <a:prstGeom prst="rect">
          <a:avLst/>
        </a:prstGeom>
      </xdr:spPr>
    </xdr:pic>
    <xdr:clientData/>
  </xdr:twoCellAnchor>
  <xdr:twoCellAnchor editAs="oneCell">
    <xdr:from>
      <xdr:col>22</xdr:col>
      <xdr:colOff>660401</xdr:colOff>
      <xdr:row>70</xdr:row>
      <xdr:rowOff>133351</xdr:rowOff>
    </xdr:from>
    <xdr:to>
      <xdr:col>27</xdr:col>
      <xdr:colOff>166131</xdr:colOff>
      <xdr:row>81</xdr:row>
      <xdr:rowOff>88901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6F418C2D-3AC4-4906-B9A8-F8B2CE0BF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509751" y="23590251"/>
          <a:ext cx="3315730" cy="1981200"/>
        </a:xfrm>
        <a:prstGeom prst="rect">
          <a:avLst/>
        </a:prstGeom>
      </xdr:spPr>
    </xdr:pic>
    <xdr:clientData/>
  </xdr:twoCellAnchor>
  <xdr:twoCellAnchor editAs="oneCell">
    <xdr:from>
      <xdr:col>4</xdr:col>
      <xdr:colOff>260350</xdr:colOff>
      <xdr:row>83</xdr:row>
      <xdr:rowOff>7937</xdr:rowOff>
    </xdr:from>
    <xdr:to>
      <xdr:col>11</xdr:col>
      <xdr:colOff>2202</xdr:colOff>
      <xdr:row>94</xdr:row>
      <xdr:rowOff>158914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24BFDF94-CA6F-4A6A-BCCD-14D6673A4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054475" y="25796875"/>
          <a:ext cx="3456602" cy="2159164"/>
        </a:xfrm>
        <a:prstGeom prst="rect">
          <a:avLst/>
        </a:prstGeom>
      </xdr:spPr>
    </xdr:pic>
    <xdr:clientData/>
  </xdr:twoCellAnchor>
  <xdr:twoCellAnchor editAs="oneCell">
    <xdr:from>
      <xdr:col>8</xdr:col>
      <xdr:colOff>126299</xdr:colOff>
      <xdr:row>117</xdr:row>
      <xdr:rowOff>71436</xdr:rowOff>
    </xdr:from>
    <xdr:to>
      <xdr:col>13</xdr:col>
      <xdr:colOff>57353</xdr:colOff>
      <xdr:row>121</xdr:row>
      <xdr:rowOff>238124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E5CCF6D3-BF2F-43F4-8D83-7AD6E0408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7674" y="34567811"/>
          <a:ext cx="2590117" cy="1682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349251</xdr:colOff>
      <xdr:row>156</xdr:row>
      <xdr:rowOff>142876</xdr:rowOff>
    </xdr:from>
    <xdr:to>
      <xdr:col>11</xdr:col>
      <xdr:colOff>115888</xdr:colOff>
      <xdr:row>169</xdr:row>
      <xdr:rowOff>36513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A22F1F-4FF3-4F6F-A2B1-E0A288CA0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7466251"/>
          <a:ext cx="3489325" cy="226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36</xdr:col>
      <xdr:colOff>87312</xdr:colOff>
      <xdr:row>142</xdr:row>
      <xdr:rowOff>174624</xdr:rowOff>
    </xdr:from>
    <xdr:to>
      <xdr:col>43</xdr:col>
      <xdr:colOff>228323</xdr:colOff>
      <xdr:row>149</xdr:row>
      <xdr:rowOff>376488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1C653C37-2F57-4C05-9189-E25E47D33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4582437" y="42775187"/>
          <a:ext cx="5475011" cy="26545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353786</xdr:colOff>
      <xdr:row>5</xdr:row>
      <xdr:rowOff>18143</xdr:rowOff>
    </xdr:from>
    <xdr:to>
      <xdr:col>11</xdr:col>
      <xdr:colOff>285029</xdr:colOff>
      <xdr:row>27</xdr:row>
      <xdr:rowOff>152669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A8D107A2-7CEC-4C11-BCFE-AF394315A578}"/>
            </a:ext>
          </a:extLst>
        </xdr:cNvPr>
        <xdr:cNvGrpSpPr/>
      </xdr:nvGrpSpPr>
      <xdr:grpSpPr>
        <a:xfrm>
          <a:off x="560161" y="1542143"/>
          <a:ext cx="6725743" cy="4325526"/>
          <a:chOff x="7089778" y="8821123"/>
          <a:chExt cx="6732275" cy="4115163"/>
        </a:xfrm>
      </xdr:grpSpPr>
      <xdr:graphicFrame macro="">
        <xdr:nvGraphicFramePr>
          <xdr:cNvPr id="3" name="Graphique 2">
            <a:extLst>
              <a:ext uri="{FF2B5EF4-FFF2-40B4-BE49-F238E27FC236}">
                <a16:creationId xmlns:a16="http://schemas.microsoft.com/office/drawing/2014/main" id="{B2894A79-AABE-49A4-A363-0282D85DC541}"/>
              </a:ext>
            </a:extLst>
          </xdr:cNvPr>
          <xdr:cNvGraphicFramePr>
            <a:graphicFrameLocks/>
          </xdr:cNvGraphicFramePr>
        </xdr:nvGraphicFramePr>
        <xdr:xfrm>
          <a:off x="7089778" y="8821123"/>
          <a:ext cx="6732275" cy="41151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ZoneTexte 5">
            <a:extLst>
              <a:ext uri="{FF2B5EF4-FFF2-40B4-BE49-F238E27FC236}">
                <a16:creationId xmlns:a16="http://schemas.microsoft.com/office/drawing/2014/main" id="{75DB2FF3-68FC-41B0-AFB5-27EC8085DE56}"/>
              </a:ext>
            </a:extLst>
          </xdr:cNvPr>
          <xdr:cNvSpPr txBox="1"/>
        </xdr:nvSpPr>
        <xdr:spPr>
          <a:xfrm>
            <a:off x="7314142" y="8909598"/>
            <a:ext cx="6314863" cy="5105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Consommation électrique totale (TWh) pour l’utilisation des centres de données dans le monde,</a:t>
            </a:r>
          </a:p>
          <a:p>
            <a:pPr algn="ctr"/>
            <a:r>
              <a:rPr lang="fr-FR" sz="11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et taux de croissance (CAGR glissant sur les 5 années précédentes)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12</xdr:row>
      <xdr:rowOff>19050</xdr:rowOff>
    </xdr:from>
    <xdr:to>
      <xdr:col>7</xdr:col>
      <xdr:colOff>49733</xdr:colOff>
      <xdr:row>34</xdr:row>
      <xdr:rowOff>79979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A5DFBA-B481-4F16-A0E2-74F21F580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132654</xdr:colOff>
      <xdr:row>12</xdr:row>
      <xdr:rowOff>105229</xdr:rowOff>
    </xdr:from>
    <xdr:to>
      <xdr:col>7</xdr:col>
      <xdr:colOff>5772</xdr:colOff>
      <xdr:row>15</xdr:row>
      <xdr:rowOff>67535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1E979C94-1BE7-46DA-929B-3A8457442BA8}"/>
            </a:ext>
          </a:extLst>
        </xdr:cNvPr>
        <xdr:cNvSpPr txBox="1"/>
      </xdr:nvSpPr>
      <xdr:spPr>
        <a:xfrm>
          <a:off x="894654" y="4088411"/>
          <a:ext cx="6719573" cy="516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200">
              <a:solidFill>
                <a:schemeClr val="accent6"/>
              </a:solidFill>
            </a:rPr>
            <a:t>Consommation électrique des centres de données (TWh)</a:t>
          </a:r>
        </a:p>
        <a:p>
          <a:pPr algn="ctr"/>
          <a:r>
            <a:rPr lang="fr-FR" sz="900">
              <a:solidFill>
                <a:schemeClr val="accent6"/>
              </a:solidFill>
            </a:rPr>
            <a:t>Scénario</a:t>
          </a:r>
          <a:r>
            <a:rPr lang="fr-FR" sz="900" baseline="0">
              <a:solidFill>
                <a:schemeClr val="accent6"/>
              </a:solidFill>
            </a:rPr>
            <a:t> prospectif exploratoire </a:t>
          </a:r>
          <a:r>
            <a:rPr lang="fr-FR" sz="900">
              <a:solidFill>
                <a:schemeClr val="accent6"/>
              </a:solidFill>
            </a:rPr>
            <a:t>d'un déploiement indifférencié de l'offre de calcul et de son adoption généralisée</a:t>
          </a:r>
          <a:r>
            <a:rPr lang="fr-FR" sz="900" baseline="0">
              <a:solidFill>
                <a:schemeClr val="accent6"/>
              </a:solidFill>
            </a:rPr>
            <a:t> </a:t>
          </a:r>
          <a:endParaRPr lang="fr-FR" sz="900">
            <a:solidFill>
              <a:schemeClr val="accent6"/>
            </a:solidFill>
          </a:endParaRPr>
        </a:p>
      </xdr:txBody>
    </xdr:sp>
    <xdr:clientData/>
  </xdr:twoCellAnchor>
  <xdr:twoCellAnchor>
    <xdr:from>
      <xdr:col>4</xdr:col>
      <xdr:colOff>126999</xdr:colOff>
      <xdr:row>18</xdr:row>
      <xdr:rowOff>160810</xdr:rowOff>
    </xdr:from>
    <xdr:to>
      <xdr:col>4</xdr:col>
      <xdr:colOff>289454</xdr:colOff>
      <xdr:row>19</xdr:row>
      <xdr:rowOff>157182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1BE2C1DD-9CC0-4BF8-9C94-1E58A6E668CD}"/>
            </a:ext>
          </a:extLst>
        </xdr:cNvPr>
        <xdr:cNvSpPr txBox="1"/>
      </xdr:nvSpPr>
      <xdr:spPr>
        <a:xfrm>
          <a:off x="5449454" y="5252355"/>
          <a:ext cx="162455" cy="181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>
              <a:solidFill>
                <a:schemeClr val="accent6"/>
              </a:solidFill>
            </a:rPr>
            <a:t>?</a:t>
          </a:r>
        </a:p>
      </xdr:txBody>
    </xdr:sp>
    <xdr:clientData/>
  </xdr:twoCellAnchor>
  <xdr:twoCellAnchor>
    <xdr:from>
      <xdr:col>3</xdr:col>
      <xdr:colOff>583361</xdr:colOff>
      <xdr:row>20</xdr:row>
      <xdr:rowOff>94519</xdr:rowOff>
    </xdr:from>
    <xdr:to>
      <xdr:col>3</xdr:col>
      <xdr:colOff>745816</xdr:colOff>
      <xdr:row>21</xdr:row>
      <xdr:rowOff>90890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DCD8B922-2153-4964-994C-344C5E97F852}"/>
            </a:ext>
          </a:extLst>
        </xdr:cNvPr>
        <xdr:cNvSpPr txBox="1"/>
      </xdr:nvSpPr>
      <xdr:spPr>
        <a:xfrm>
          <a:off x="5143816" y="5555519"/>
          <a:ext cx="162455" cy="181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>
              <a:solidFill>
                <a:schemeClr val="accent6"/>
              </a:solidFill>
            </a:rPr>
            <a:t>?</a:t>
          </a:r>
        </a:p>
      </xdr:txBody>
    </xdr:sp>
    <xdr:clientData/>
  </xdr:twoCellAnchor>
  <xdr:twoCellAnchor>
    <xdr:from>
      <xdr:col>3</xdr:col>
      <xdr:colOff>247300</xdr:colOff>
      <xdr:row>21</xdr:row>
      <xdr:rowOff>154110</xdr:rowOff>
    </xdr:from>
    <xdr:to>
      <xdr:col>3</xdr:col>
      <xdr:colOff>409755</xdr:colOff>
      <xdr:row>22</xdr:row>
      <xdr:rowOff>150482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46F18F74-D2FB-4D5E-B307-60FF38C89E46}"/>
            </a:ext>
          </a:extLst>
        </xdr:cNvPr>
        <xdr:cNvSpPr txBox="1"/>
      </xdr:nvSpPr>
      <xdr:spPr>
        <a:xfrm>
          <a:off x="4807755" y="5799837"/>
          <a:ext cx="162455" cy="181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>
              <a:solidFill>
                <a:schemeClr val="accent6"/>
              </a:solidFill>
            </a:rPr>
            <a:t>?</a:t>
          </a:r>
        </a:p>
      </xdr:txBody>
    </xdr:sp>
    <xdr:clientData/>
  </xdr:twoCellAnchor>
  <xdr:twoCellAnchor>
    <xdr:from>
      <xdr:col>2</xdr:col>
      <xdr:colOff>691889</xdr:colOff>
      <xdr:row>23</xdr:row>
      <xdr:rowOff>30752</xdr:rowOff>
    </xdr:from>
    <xdr:to>
      <xdr:col>3</xdr:col>
      <xdr:colOff>92344</xdr:colOff>
      <xdr:row>24</xdr:row>
      <xdr:rowOff>27123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98294940-23A8-428B-8024-A1705BDBD94D}"/>
            </a:ext>
          </a:extLst>
        </xdr:cNvPr>
        <xdr:cNvSpPr txBox="1"/>
      </xdr:nvSpPr>
      <xdr:spPr>
        <a:xfrm>
          <a:off x="4490344" y="6045934"/>
          <a:ext cx="162455" cy="181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>
              <a:solidFill>
                <a:schemeClr val="accent6"/>
              </a:solidFill>
            </a:rPr>
            <a:t>?</a:t>
          </a:r>
        </a:p>
      </xdr:txBody>
    </xdr:sp>
    <xdr:clientData/>
  </xdr:twoCellAnchor>
  <xdr:twoCellAnchor>
    <xdr:from>
      <xdr:col>2</xdr:col>
      <xdr:colOff>370482</xdr:colOff>
      <xdr:row>24</xdr:row>
      <xdr:rowOff>36614</xdr:rowOff>
    </xdr:from>
    <xdr:to>
      <xdr:col>2</xdr:col>
      <xdr:colOff>532937</xdr:colOff>
      <xdr:row>25</xdr:row>
      <xdr:rowOff>32986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F7ACF0A-04B4-4285-B065-9D8243638890}"/>
            </a:ext>
          </a:extLst>
        </xdr:cNvPr>
        <xdr:cNvSpPr txBox="1"/>
      </xdr:nvSpPr>
      <xdr:spPr>
        <a:xfrm>
          <a:off x="4168937" y="6236523"/>
          <a:ext cx="162455" cy="181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>
              <a:solidFill>
                <a:schemeClr val="accent6"/>
              </a:solidFill>
            </a:rPr>
            <a:t>?</a:t>
          </a:r>
        </a:p>
      </xdr:txBody>
    </xdr:sp>
    <xdr:clientData/>
  </xdr:twoCellAnchor>
  <xdr:twoCellAnchor>
    <xdr:from>
      <xdr:col>2</xdr:col>
      <xdr:colOff>58845</xdr:colOff>
      <xdr:row>25</xdr:row>
      <xdr:rowOff>32706</xdr:rowOff>
    </xdr:from>
    <xdr:to>
      <xdr:col>2</xdr:col>
      <xdr:colOff>221300</xdr:colOff>
      <xdr:row>26</xdr:row>
      <xdr:rowOff>29077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D5BE67CA-B782-420B-918F-204D683714AB}"/>
            </a:ext>
          </a:extLst>
        </xdr:cNvPr>
        <xdr:cNvSpPr txBox="1"/>
      </xdr:nvSpPr>
      <xdr:spPr>
        <a:xfrm>
          <a:off x="3857300" y="6417342"/>
          <a:ext cx="162455" cy="181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>
              <a:solidFill>
                <a:schemeClr val="accent6"/>
              </a:solidFill>
            </a:rPr>
            <a:t>?</a:t>
          </a:r>
        </a:p>
      </xdr:txBody>
    </xdr:sp>
    <xdr:clientData/>
  </xdr:twoCellAnchor>
  <xdr:twoCellAnchor>
    <xdr:from>
      <xdr:col>1</xdr:col>
      <xdr:colOff>2773893</xdr:colOff>
      <xdr:row>26</xdr:row>
      <xdr:rowOff>33683</xdr:rowOff>
    </xdr:from>
    <xdr:to>
      <xdr:col>1</xdr:col>
      <xdr:colOff>2936348</xdr:colOff>
      <xdr:row>27</xdr:row>
      <xdr:rowOff>30055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653707F3-78AD-4973-9037-FD7851C7DCBB}"/>
            </a:ext>
          </a:extLst>
        </xdr:cNvPr>
        <xdr:cNvSpPr txBox="1"/>
      </xdr:nvSpPr>
      <xdr:spPr>
        <a:xfrm>
          <a:off x="3535893" y="6603047"/>
          <a:ext cx="162455" cy="181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>
              <a:solidFill>
                <a:schemeClr val="accent6"/>
              </a:solidFill>
            </a:rPr>
            <a:t>?</a:t>
          </a:r>
        </a:p>
      </xdr:txBody>
    </xdr:sp>
    <xdr:clientData/>
  </xdr:twoCellAnchor>
  <xdr:twoCellAnchor>
    <xdr:from>
      <xdr:col>1</xdr:col>
      <xdr:colOff>2440052</xdr:colOff>
      <xdr:row>27</xdr:row>
      <xdr:rowOff>9347</xdr:rowOff>
    </xdr:from>
    <xdr:to>
      <xdr:col>1</xdr:col>
      <xdr:colOff>2602507</xdr:colOff>
      <xdr:row>28</xdr:row>
      <xdr:rowOff>5719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43D4E4FD-576B-4F2C-A324-F01BE0769E47}"/>
            </a:ext>
          </a:extLst>
        </xdr:cNvPr>
        <xdr:cNvSpPr txBox="1"/>
      </xdr:nvSpPr>
      <xdr:spPr>
        <a:xfrm>
          <a:off x="3202052" y="6763438"/>
          <a:ext cx="162455" cy="181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>
              <a:solidFill>
                <a:schemeClr val="accent6"/>
              </a:solidFill>
            </a:rPr>
            <a:t>?</a:t>
          </a:r>
        </a:p>
      </xdr:txBody>
    </xdr:sp>
    <xdr:clientData/>
  </xdr:twoCellAnchor>
  <xdr:twoCellAnchor>
    <xdr:from>
      <xdr:col>1</xdr:col>
      <xdr:colOff>2118644</xdr:colOff>
      <xdr:row>27</xdr:row>
      <xdr:rowOff>100469</xdr:rowOff>
    </xdr:from>
    <xdr:to>
      <xdr:col>1</xdr:col>
      <xdr:colOff>2281099</xdr:colOff>
      <xdr:row>28</xdr:row>
      <xdr:rowOff>96841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C5648426-E3D5-45BC-841D-3D87C3675317}"/>
            </a:ext>
          </a:extLst>
        </xdr:cNvPr>
        <xdr:cNvSpPr txBox="1"/>
      </xdr:nvSpPr>
      <xdr:spPr>
        <a:xfrm>
          <a:off x="2880644" y="6854560"/>
          <a:ext cx="162455" cy="181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>
              <a:solidFill>
                <a:schemeClr val="accent6"/>
              </a:solidFill>
            </a:rPr>
            <a:t>?</a:t>
          </a:r>
        </a:p>
      </xdr:txBody>
    </xdr:sp>
    <xdr:clientData/>
  </xdr:twoCellAnchor>
  <xdr:twoCellAnchor>
    <xdr:from>
      <xdr:col>1</xdr:col>
      <xdr:colOff>1811358</xdr:colOff>
      <xdr:row>28</xdr:row>
      <xdr:rowOff>10323</xdr:rowOff>
    </xdr:from>
    <xdr:to>
      <xdr:col>2</xdr:col>
      <xdr:colOff>156736</xdr:colOff>
      <xdr:row>29</xdr:row>
      <xdr:rowOff>6694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E3BBE8C4-D930-4729-BDD7-EA0899B49BFD}"/>
            </a:ext>
          </a:extLst>
        </xdr:cNvPr>
        <xdr:cNvSpPr txBox="1"/>
      </xdr:nvSpPr>
      <xdr:spPr>
        <a:xfrm>
          <a:off x="2573358" y="5021938"/>
          <a:ext cx="162455" cy="181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>
              <a:solidFill>
                <a:schemeClr val="accent6"/>
              </a:solidFill>
            </a:rPr>
            <a:t>?</a:t>
          </a:r>
        </a:p>
      </xdr:txBody>
    </xdr:sp>
    <xdr:clientData/>
  </xdr:twoCellAnchor>
  <xdr:twoCellAnchor>
    <xdr:from>
      <xdr:col>1</xdr:col>
      <xdr:colOff>1494836</xdr:colOff>
      <xdr:row>28</xdr:row>
      <xdr:rowOff>74800</xdr:rowOff>
    </xdr:from>
    <xdr:to>
      <xdr:col>1</xdr:col>
      <xdr:colOff>1657291</xdr:colOff>
      <xdr:row>29</xdr:row>
      <xdr:rowOff>71171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8D1469B9-DF86-4E64-9EDF-3B57CBE7110D}"/>
            </a:ext>
          </a:extLst>
        </xdr:cNvPr>
        <xdr:cNvSpPr txBox="1"/>
      </xdr:nvSpPr>
      <xdr:spPr>
        <a:xfrm>
          <a:off x="2256836" y="5086415"/>
          <a:ext cx="162455" cy="181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>
              <a:solidFill>
                <a:schemeClr val="accent6"/>
              </a:solidFill>
            </a:rPr>
            <a:t>?</a:t>
          </a:r>
        </a:p>
      </xdr:txBody>
    </xdr:sp>
    <xdr:clientData/>
  </xdr:twoCellAnchor>
  <xdr:twoCellAnchor>
    <xdr:from>
      <xdr:col>1</xdr:col>
      <xdr:colOff>1173431</xdr:colOff>
      <xdr:row>28</xdr:row>
      <xdr:rowOff>144161</xdr:rowOff>
    </xdr:from>
    <xdr:to>
      <xdr:col>1</xdr:col>
      <xdr:colOff>1335886</xdr:colOff>
      <xdr:row>29</xdr:row>
      <xdr:rowOff>140532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5F226327-5462-4EB8-8997-C1712755EC51}"/>
            </a:ext>
          </a:extLst>
        </xdr:cNvPr>
        <xdr:cNvSpPr txBox="1"/>
      </xdr:nvSpPr>
      <xdr:spPr>
        <a:xfrm>
          <a:off x="1935431" y="5155776"/>
          <a:ext cx="162455" cy="181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>
              <a:solidFill>
                <a:schemeClr val="accent6"/>
              </a:solidFill>
            </a:rPr>
            <a:t>?</a:t>
          </a:r>
        </a:p>
      </xdr:txBody>
    </xdr:sp>
    <xdr:clientData/>
  </xdr:twoCellAnchor>
  <xdr:twoCellAnchor>
    <xdr:from>
      <xdr:col>1</xdr:col>
      <xdr:colOff>856022</xdr:colOff>
      <xdr:row>29</xdr:row>
      <xdr:rowOff>26572</xdr:rowOff>
    </xdr:from>
    <xdr:to>
      <xdr:col>1</xdr:col>
      <xdr:colOff>1018477</xdr:colOff>
      <xdr:row>30</xdr:row>
      <xdr:rowOff>23832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13D400BC-3F68-4B00-AF87-36284621C199}"/>
            </a:ext>
          </a:extLst>
        </xdr:cNvPr>
        <xdr:cNvSpPr txBox="1"/>
      </xdr:nvSpPr>
      <xdr:spPr>
        <a:xfrm>
          <a:off x="1618022" y="5198936"/>
          <a:ext cx="162455" cy="181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>
              <a:solidFill>
                <a:schemeClr val="accent6"/>
              </a:solidFill>
            </a:rPr>
            <a:t>?</a:t>
          </a:r>
        </a:p>
      </xdr:txBody>
    </xdr:sp>
    <xdr:clientData/>
  </xdr:twoCellAnchor>
  <xdr:twoCellAnchor>
    <xdr:from>
      <xdr:col>1</xdr:col>
      <xdr:colOff>933831</xdr:colOff>
      <xdr:row>29</xdr:row>
      <xdr:rowOff>69757</xdr:rowOff>
    </xdr:from>
    <xdr:to>
      <xdr:col>1</xdr:col>
      <xdr:colOff>965127</xdr:colOff>
      <xdr:row>29</xdr:row>
      <xdr:rowOff>69757</xdr:rowOff>
    </xdr:to>
    <xdr:cxnSp macro="">
      <xdr:nvCxnSpPr>
        <xdr:cNvPr id="18" name="Connecteur droit 17">
          <a:extLst>
            <a:ext uri="{FF2B5EF4-FFF2-40B4-BE49-F238E27FC236}">
              <a16:creationId xmlns:a16="http://schemas.microsoft.com/office/drawing/2014/main" id="{55101F61-2E1C-4529-A9A2-21640DBA5F95}"/>
            </a:ext>
          </a:extLst>
        </xdr:cNvPr>
        <xdr:cNvCxnSpPr/>
      </xdr:nvCxnSpPr>
      <xdr:spPr>
        <a:xfrm>
          <a:off x="1695831" y="5242121"/>
          <a:ext cx="31296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933731</xdr:colOff>
      <xdr:row>29</xdr:row>
      <xdr:rowOff>15877</xdr:rowOff>
    </xdr:from>
    <xdr:to>
      <xdr:col>1</xdr:col>
      <xdr:colOff>965027</xdr:colOff>
      <xdr:row>29</xdr:row>
      <xdr:rowOff>15877</xdr:rowOff>
    </xdr:to>
    <xdr:cxnSp macro="">
      <xdr:nvCxnSpPr>
        <xdr:cNvPr id="19" name="Connecteur droit 18">
          <a:extLst>
            <a:ext uri="{FF2B5EF4-FFF2-40B4-BE49-F238E27FC236}">
              <a16:creationId xmlns:a16="http://schemas.microsoft.com/office/drawing/2014/main" id="{C5C38751-4AB9-40DB-BC40-033C2E0BC262}"/>
            </a:ext>
          </a:extLst>
        </xdr:cNvPr>
        <xdr:cNvCxnSpPr/>
      </xdr:nvCxnSpPr>
      <xdr:spPr>
        <a:xfrm>
          <a:off x="1695731" y="5188241"/>
          <a:ext cx="31296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949887</xdr:colOff>
      <xdr:row>29</xdr:row>
      <xdr:rowOff>16809</xdr:rowOff>
    </xdr:from>
    <xdr:to>
      <xdr:col>1</xdr:col>
      <xdr:colOff>950262</xdr:colOff>
      <xdr:row>29</xdr:row>
      <xdr:rowOff>70809</xdr:rowOff>
    </xdr:to>
    <xdr:cxnSp macro="">
      <xdr:nvCxnSpPr>
        <xdr:cNvPr id="20" name="Connecteur droit 19">
          <a:extLst>
            <a:ext uri="{FF2B5EF4-FFF2-40B4-BE49-F238E27FC236}">
              <a16:creationId xmlns:a16="http://schemas.microsoft.com/office/drawing/2014/main" id="{BC3C38D9-A16F-46E1-AFCE-01864272BB7C}"/>
            </a:ext>
          </a:extLst>
        </xdr:cNvPr>
        <xdr:cNvCxnSpPr/>
      </xdr:nvCxnSpPr>
      <xdr:spPr>
        <a:xfrm flipH="1">
          <a:off x="1711887" y="5189173"/>
          <a:ext cx="375" cy="5400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140240</xdr:colOff>
      <xdr:row>17</xdr:row>
      <xdr:rowOff>9525</xdr:rowOff>
    </xdr:from>
    <xdr:to>
      <xdr:col>19</xdr:col>
      <xdr:colOff>26096</xdr:colOff>
      <xdr:row>39</xdr:row>
      <xdr:rowOff>150812</xdr:rowOff>
    </xdr:to>
    <xdr:grpSp>
      <xdr:nvGrpSpPr>
        <xdr:cNvPr id="7" name="Groupe 6">
          <a:extLst>
            <a:ext uri="{FF2B5EF4-FFF2-40B4-BE49-F238E27FC236}">
              <a16:creationId xmlns:a16="http://schemas.microsoft.com/office/drawing/2014/main" id="{FC32F6CC-6E14-464C-AC8B-4CA0F3B25E2C}"/>
            </a:ext>
          </a:extLst>
        </xdr:cNvPr>
        <xdr:cNvGrpSpPr/>
      </xdr:nvGrpSpPr>
      <xdr:grpSpPr>
        <a:xfrm>
          <a:off x="9580573" y="6380692"/>
          <a:ext cx="6743856" cy="4596870"/>
          <a:chOff x="11722639" y="5036185"/>
          <a:chExt cx="6742435" cy="4244975"/>
        </a:xfrm>
      </xdr:grpSpPr>
      <xdr:graphicFrame macro="">
        <xdr:nvGraphicFramePr>
          <xdr:cNvPr id="4" name="Graphique 3">
            <a:extLst>
              <a:ext uri="{FF2B5EF4-FFF2-40B4-BE49-F238E27FC236}">
                <a16:creationId xmlns:a16="http://schemas.microsoft.com/office/drawing/2014/main" id="{207D2A3D-8ED4-4C9F-8476-0BB6AC89AF5C}"/>
              </a:ext>
            </a:extLst>
          </xdr:cNvPr>
          <xdr:cNvGraphicFramePr>
            <a:graphicFrameLocks/>
          </xdr:cNvGraphicFramePr>
        </xdr:nvGraphicFramePr>
        <xdr:xfrm>
          <a:off x="11722639" y="5036185"/>
          <a:ext cx="6742435" cy="4244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32" name="Connecteur droit avec flèche 31">
            <a:extLst>
              <a:ext uri="{FF2B5EF4-FFF2-40B4-BE49-F238E27FC236}">
                <a16:creationId xmlns:a16="http://schemas.microsoft.com/office/drawing/2014/main" id="{B9E38DCE-4383-4E4A-AB35-A37F567A27BC}"/>
              </a:ext>
            </a:extLst>
          </xdr:cNvPr>
          <xdr:cNvCxnSpPr/>
        </xdr:nvCxnSpPr>
        <xdr:spPr>
          <a:xfrm>
            <a:off x="13664943" y="8027808"/>
            <a:ext cx="0" cy="689077"/>
          </a:xfrm>
          <a:prstGeom prst="straightConnector1">
            <a:avLst/>
          </a:prstGeom>
          <a:ln>
            <a:solidFill>
              <a:schemeClr val="accent3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ZoneTexte 13">
            <a:extLst>
              <a:ext uri="{FF2B5EF4-FFF2-40B4-BE49-F238E27FC236}">
                <a16:creationId xmlns:a16="http://schemas.microsoft.com/office/drawing/2014/main" id="{24051DC5-3F72-4046-AEE5-DF354EA755D9}"/>
              </a:ext>
            </a:extLst>
          </xdr:cNvPr>
          <xdr:cNvSpPr txBox="1"/>
        </xdr:nvSpPr>
        <xdr:spPr>
          <a:xfrm>
            <a:off x="11881663" y="5106630"/>
            <a:ext cx="6316072" cy="5344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200">
                <a:solidFill>
                  <a:schemeClr val="accent6"/>
                </a:solidFill>
              </a:rPr>
              <a:t>Emissions de gaz à effets de serre des centres de données (MtCO</a:t>
            </a:r>
            <a:r>
              <a:rPr lang="fr-FR" sz="1200" baseline="-25000">
                <a:solidFill>
                  <a:schemeClr val="accent6"/>
                </a:solidFill>
              </a:rPr>
              <a:t>2</a:t>
            </a:r>
            <a:r>
              <a:rPr lang="fr-FR" sz="1200">
                <a:solidFill>
                  <a:schemeClr val="accent6"/>
                </a:solidFill>
              </a:rPr>
              <a:t>e)</a:t>
            </a:r>
          </a:p>
          <a:p>
            <a:pPr algn="ctr"/>
            <a:r>
              <a:rPr lang="fr-FR" sz="900">
                <a:solidFill>
                  <a:schemeClr val="accent6"/>
                </a:solidFill>
              </a:rPr>
              <a:t>Scénario prospectif exploratoire d'un déploiement indifférencié de l'offre de calcul</a:t>
            </a:r>
            <a:r>
              <a:rPr lang="fr-FR" sz="900" baseline="0">
                <a:solidFill>
                  <a:schemeClr val="accent6"/>
                </a:solidFill>
              </a:rPr>
              <a:t> et de son adoption généralisée</a:t>
            </a:r>
            <a:endParaRPr lang="fr-FR" sz="900">
              <a:solidFill>
                <a:schemeClr val="accent6"/>
              </a:solidFill>
            </a:endParaRPr>
          </a:p>
        </xdr:txBody>
      </xdr:sp>
    </xdr:grpSp>
    <xdr:clientData/>
  </xdr:twoCellAnchor>
  <xdr:twoCellAnchor>
    <xdr:from>
      <xdr:col>1</xdr:col>
      <xdr:colOff>40641</xdr:colOff>
      <xdr:row>17</xdr:row>
      <xdr:rowOff>3181</xdr:rowOff>
    </xdr:from>
    <xdr:to>
      <xdr:col>8</xdr:col>
      <xdr:colOff>317500</xdr:colOff>
      <xdr:row>40</xdr:row>
      <xdr:rowOff>10583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E7B17A3B-2E57-486B-ACCD-FFEBBB27B0BA}"/>
            </a:ext>
          </a:extLst>
        </xdr:cNvPr>
        <xdr:cNvGrpSpPr/>
      </xdr:nvGrpSpPr>
      <xdr:grpSpPr>
        <a:xfrm>
          <a:off x="802641" y="6374348"/>
          <a:ext cx="7431192" cy="4653485"/>
          <a:chOff x="9257031" y="8983982"/>
          <a:chExt cx="6732275" cy="4115163"/>
        </a:xfrm>
      </xdr:grpSpPr>
      <xdr:graphicFrame macro="">
        <xdr:nvGraphicFramePr>
          <xdr:cNvPr id="37" name="Graphique 36">
            <a:extLst>
              <a:ext uri="{FF2B5EF4-FFF2-40B4-BE49-F238E27FC236}">
                <a16:creationId xmlns:a16="http://schemas.microsoft.com/office/drawing/2014/main" id="{F317CBDC-F6E9-45B0-AA08-C548C021E034}"/>
              </a:ext>
            </a:extLst>
          </xdr:cNvPr>
          <xdr:cNvGraphicFramePr>
            <a:graphicFrameLocks/>
          </xdr:cNvGraphicFramePr>
        </xdr:nvGraphicFramePr>
        <xdr:xfrm>
          <a:off x="9257031" y="8983982"/>
          <a:ext cx="6732275" cy="41151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40" name="Connecteur droit avec flèche 39">
            <a:extLst>
              <a:ext uri="{FF2B5EF4-FFF2-40B4-BE49-F238E27FC236}">
                <a16:creationId xmlns:a16="http://schemas.microsoft.com/office/drawing/2014/main" id="{B2F16E83-B6D1-455A-B64B-E7DB18AE40F3}"/>
              </a:ext>
            </a:extLst>
          </xdr:cNvPr>
          <xdr:cNvCxnSpPr/>
        </xdr:nvCxnSpPr>
        <xdr:spPr>
          <a:xfrm flipV="1">
            <a:off x="13878439" y="11287756"/>
            <a:ext cx="1" cy="1493387"/>
          </a:xfrm>
          <a:prstGeom prst="straightConnector1">
            <a:avLst/>
          </a:prstGeom>
          <a:ln>
            <a:solidFill>
              <a:schemeClr val="accent2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" name="ZoneTexte 1">
            <a:extLst>
              <a:ext uri="{FF2B5EF4-FFF2-40B4-BE49-F238E27FC236}">
                <a16:creationId xmlns:a16="http://schemas.microsoft.com/office/drawing/2014/main" id="{02943D62-AB7F-4154-ADBD-9CD2F51A5CA9}"/>
              </a:ext>
            </a:extLst>
          </xdr:cNvPr>
          <xdr:cNvSpPr txBox="1"/>
        </xdr:nvSpPr>
        <xdr:spPr>
          <a:xfrm>
            <a:off x="14498742" y="12484969"/>
            <a:ext cx="1449918" cy="3084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900">
                <a:solidFill>
                  <a:schemeClr val="accent6"/>
                </a:solidFill>
              </a:rPr>
              <a:t>Emissions GES  </a:t>
            </a:r>
            <a:r>
              <a:rPr lang="fr-FR" sz="900" baseline="0">
                <a:solidFill>
                  <a:schemeClr val="accent6"/>
                </a:solidFill>
              </a:rPr>
              <a:t>France </a:t>
            </a:r>
            <a:endParaRPr lang="fr-FR" sz="900">
              <a:solidFill>
                <a:schemeClr val="accent6"/>
              </a:solidFill>
            </a:endParaRPr>
          </a:p>
        </xdr:txBody>
      </xdr:sp>
      <xdr:sp macro="" textlink="">
        <xdr:nvSpPr>
          <xdr:cNvPr id="13" name="ZoneTexte 12">
            <a:extLst>
              <a:ext uri="{FF2B5EF4-FFF2-40B4-BE49-F238E27FC236}">
                <a16:creationId xmlns:a16="http://schemas.microsoft.com/office/drawing/2014/main" id="{3C5E4AEE-6539-4383-B1AA-988F86443CE5}"/>
              </a:ext>
            </a:extLst>
          </xdr:cNvPr>
          <xdr:cNvSpPr txBox="1"/>
        </xdr:nvSpPr>
        <xdr:spPr>
          <a:xfrm>
            <a:off x="9481397" y="9072457"/>
            <a:ext cx="6314863" cy="5105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200">
                <a:solidFill>
                  <a:schemeClr val="accent6"/>
                </a:solidFill>
              </a:rPr>
              <a:t>Emissions de gaz à effets de serre des centres de données (MtCO</a:t>
            </a:r>
            <a:r>
              <a:rPr lang="fr-FR" sz="1200" baseline="-25000">
                <a:solidFill>
                  <a:schemeClr val="accent6"/>
                </a:solidFill>
              </a:rPr>
              <a:t>2</a:t>
            </a:r>
            <a:r>
              <a:rPr lang="fr-FR" sz="1200">
                <a:solidFill>
                  <a:schemeClr val="accent6"/>
                </a:solidFill>
              </a:rPr>
              <a:t>e)</a:t>
            </a:r>
          </a:p>
          <a:p>
            <a:pPr algn="ctr"/>
            <a:r>
              <a:rPr lang="fr-FR" sz="900">
                <a:solidFill>
                  <a:schemeClr val="accent6"/>
                </a:solidFill>
              </a:rPr>
              <a:t>Scénario prospectif exploratoire</a:t>
            </a:r>
            <a:r>
              <a:rPr lang="fr-FR" sz="900" baseline="0">
                <a:solidFill>
                  <a:schemeClr val="accent6"/>
                </a:solidFill>
              </a:rPr>
              <a:t> </a:t>
            </a:r>
            <a:r>
              <a:rPr lang="fr-FR" sz="900">
                <a:solidFill>
                  <a:schemeClr val="accent6"/>
                </a:solidFill>
              </a:rPr>
              <a:t>d'un déploiement indifférencié de l'offre de calcul</a:t>
            </a:r>
            <a:r>
              <a:rPr lang="fr-FR" sz="900" baseline="0">
                <a:solidFill>
                  <a:schemeClr val="accent6"/>
                </a:solidFill>
              </a:rPr>
              <a:t> et de son adoption généralisée</a:t>
            </a:r>
            <a:endParaRPr lang="fr-FR" sz="900">
              <a:solidFill>
                <a:schemeClr val="accent6"/>
              </a:solidFill>
            </a:endParaRPr>
          </a:p>
        </xdr:txBody>
      </xdr:sp>
    </xdr:grpSp>
    <xdr:clientData/>
  </xdr:twoCellAnchor>
  <xdr:twoCellAnchor>
    <xdr:from>
      <xdr:col>5</xdr:col>
      <xdr:colOff>699032</xdr:colOff>
      <xdr:row>36</xdr:row>
      <xdr:rowOff>47624</xdr:rowOff>
    </xdr:from>
    <xdr:to>
      <xdr:col>6</xdr:col>
      <xdr:colOff>203345</xdr:colOff>
      <xdr:row>37</xdr:row>
      <xdr:rowOff>171061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A5EAA12-B76B-4286-B0E1-907739B02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2470" y="9683749"/>
          <a:ext cx="306000" cy="306000"/>
        </a:xfrm>
        <a:prstGeom prst="rect">
          <a:avLst/>
        </a:prstGeom>
      </xdr:spPr>
    </xdr:pic>
    <xdr:clientData/>
  </xdr:twoCellAnchor>
  <xdr:twoCellAnchor>
    <xdr:from>
      <xdr:col>5</xdr:col>
      <xdr:colOff>275065</xdr:colOff>
      <xdr:row>22</xdr:row>
      <xdr:rowOff>56099</xdr:rowOff>
    </xdr:from>
    <xdr:to>
      <xdr:col>5</xdr:col>
      <xdr:colOff>275066</xdr:colOff>
      <xdr:row>29</xdr:row>
      <xdr:rowOff>3898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1867B070-A590-4DCA-BE7A-64624AE941A2}"/>
            </a:ext>
          </a:extLst>
        </xdr:cNvPr>
        <xdr:cNvCxnSpPr/>
      </xdr:nvCxnSpPr>
      <xdr:spPr>
        <a:xfrm flipV="1">
          <a:off x="6188503" y="6858537"/>
          <a:ext cx="1" cy="1503549"/>
        </a:xfrm>
        <a:prstGeom prst="straightConnector1">
          <a:avLst/>
        </a:prstGeom>
        <a:ln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483356</xdr:colOff>
      <xdr:row>17</xdr:row>
      <xdr:rowOff>53974</xdr:rowOff>
    </xdr:from>
    <xdr:to>
      <xdr:col>25</xdr:col>
      <xdr:colOff>227542</xdr:colOff>
      <xdr:row>44</xdr:row>
      <xdr:rowOff>72572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EACC688D-E8AF-485C-85F0-8A40FDBB6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676807</xdr:colOff>
      <xdr:row>32</xdr:row>
      <xdr:rowOff>9524</xdr:rowOff>
    </xdr:from>
    <xdr:to>
      <xdr:col>5</xdr:col>
      <xdr:colOff>181119</xdr:colOff>
      <xdr:row>33</xdr:row>
      <xdr:rowOff>132961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6C6BBA1E-215A-4094-9801-ECEBAA3B9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557" y="8915399"/>
          <a:ext cx="306000" cy="306000"/>
        </a:xfrm>
        <a:prstGeom prst="rect">
          <a:avLst/>
        </a:prstGeom>
      </xdr:spPr>
    </xdr:pic>
    <xdr:clientData/>
  </xdr:twoCellAnchor>
  <xdr:twoCellAnchor>
    <xdr:from>
      <xdr:col>4</xdr:col>
      <xdr:colOff>694269</xdr:colOff>
      <xdr:row>23</xdr:row>
      <xdr:rowOff>392111</xdr:rowOff>
    </xdr:from>
    <xdr:to>
      <xdr:col>5</xdr:col>
      <xdr:colOff>198581</xdr:colOff>
      <xdr:row>25</xdr:row>
      <xdr:rowOff>55173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D96C503F-3469-48B1-86E9-C6F7EEE96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6019" y="7377111"/>
          <a:ext cx="306000" cy="306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166687</xdr:rowOff>
    </xdr:from>
    <xdr:to>
      <xdr:col>8</xdr:col>
      <xdr:colOff>276859</xdr:colOff>
      <xdr:row>67</xdr:row>
      <xdr:rowOff>67726</xdr:rowOff>
    </xdr:to>
    <xdr:grpSp>
      <xdr:nvGrpSpPr>
        <xdr:cNvPr id="18" name="Groupe 17">
          <a:extLst>
            <a:ext uri="{FF2B5EF4-FFF2-40B4-BE49-F238E27FC236}">
              <a16:creationId xmlns:a16="http://schemas.microsoft.com/office/drawing/2014/main" id="{B86CE97C-D455-489B-8B90-8FD9EB9BDA56}"/>
            </a:ext>
          </a:extLst>
        </xdr:cNvPr>
        <xdr:cNvGrpSpPr/>
      </xdr:nvGrpSpPr>
      <xdr:grpSpPr>
        <a:xfrm>
          <a:off x="762000" y="11564937"/>
          <a:ext cx="7431192" cy="4663539"/>
          <a:chOff x="9257031" y="8983982"/>
          <a:chExt cx="6732275" cy="4115163"/>
        </a:xfrm>
      </xdr:grpSpPr>
      <xdr:graphicFrame macro="">
        <xdr:nvGraphicFramePr>
          <xdr:cNvPr id="19" name="Graphique 18">
            <a:extLst>
              <a:ext uri="{FF2B5EF4-FFF2-40B4-BE49-F238E27FC236}">
                <a16:creationId xmlns:a16="http://schemas.microsoft.com/office/drawing/2014/main" id="{9713893B-91D7-4EB7-AC50-11C7706421B0}"/>
              </a:ext>
            </a:extLst>
          </xdr:cNvPr>
          <xdr:cNvGraphicFramePr>
            <a:graphicFrameLocks/>
          </xdr:cNvGraphicFramePr>
        </xdr:nvGraphicFramePr>
        <xdr:xfrm>
          <a:off x="9257031" y="8983982"/>
          <a:ext cx="6732275" cy="41151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cxnSp macro="">
        <xdr:nvCxnSpPr>
          <xdr:cNvPr id="20" name="Connecteur droit avec flèche 19">
            <a:extLst>
              <a:ext uri="{FF2B5EF4-FFF2-40B4-BE49-F238E27FC236}">
                <a16:creationId xmlns:a16="http://schemas.microsoft.com/office/drawing/2014/main" id="{6803C6C3-5730-4C9D-9357-2C58D0F6615F}"/>
              </a:ext>
            </a:extLst>
          </xdr:cNvPr>
          <xdr:cNvCxnSpPr/>
        </xdr:nvCxnSpPr>
        <xdr:spPr>
          <a:xfrm flipV="1">
            <a:off x="13878439" y="11178018"/>
            <a:ext cx="1" cy="1592573"/>
          </a:xfrm>
          <a:prstGeom prst="straightConnector1">
            <a:avLst/>
          </a:prstGeom>
          <a:ln>
            <a:solidFill>
              <a:schemeClr val="accent2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ZoneTexte 20">
            <a:extLst>
              <a:ext uri="{FF2B5EF4-FFF2-40B4-BE49-F238E27FC236}">
                <a16:creationId xmlns:a16="http://schemas.microsoft.com/office/drawing/2014/main" id="{1173838A-D2DF-4A12-B32A-0B771E57DCE2}"/>
              </a:ext>
            </a:extLst>
          </xdr:cNvPr>
          <xdr:cNvSpPr txBox="1"/>
        </xdr:nvSpPr>
        <xdr:spPr>
          <a:xfrm>
            <a:off x="14389038" y="12157611"/>
            <a:ext cx="1079997" cy="452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solidFill>
                  <a:schemeClr val="accent6"/>
                </a:solidFill>
              </a:rPr>
              <a:t>Emissions totales</a:t>
            </a:r>
            <a:r>
              <a:rPr lang="fr-FR" sz="1100" baseline="0">
                <a:solidFill>
                  <a:schemeClr val="accent6"/>
                </a:solidFill>
              </a:rPr>
              <a:t> de la</a:t>
            </a:r>
            <a:r>
              <a:rPr lang="fr-FR" sz="1100">
                <a:solidFill>
                  <a:schemeClr val="accent6"/>
                </a:solidFill>
              </a:rPr>
              <a:t> </a:t>
            </a:r>
            <a:r>
              <a:rPr lang="fr-FR" sz="1100" baseline="0">
                <a:solidFill>
                  <a:schemeClr val="accent6"/>
                </a:solidFill>
              </a:rPr>
              <a:t>France </a:t>
            </a:r>
            <a:endParaRPr lang="fr-FR" sz="1100">
              <a:solidFill>
                <a:schemeClr val="accent6"/>
              </a:solidFill>
            </a:endParaRPr>
          </a:p>
        </xdr:txBody>
      </xdr:sp>
    </xdr:grpSp>
    <xdr:clientData/>
  </xdr:twoCellAnchor>
  <xdr:twoCellAnchor>
    <xdr:from>
      <xdr:col>5</xdr:col>
      <xdr:colOff>567269</xdr:colOff>
      <xdr:row>62</xdr:row>
      <xdr:rowOff>23585</xdr:rowOff>
    </xdr:from>
    <xdr:to>
      <xdr:col>6</xdr:col>
      <xdr:colOff>71582</xdr:colOff>
      <xdr:row>63</xdr:row>
      <xdr:rowOff>139084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7EBBC4B-D19A-42F6-A864-F86ADA87D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0707" y="14406335"/>
          <a:ext cx="306000" cy="298062"/>
        </a:xfrm>
        <a:prstGeom prst="rect">
          <a:avLst/>
        </a:prstGeom>
      </xdr:spPr>
    </xdr:pic>
    <xdr:clientData/>
  </xdr:twoCellAnchor>
  <xdr:twoCellAnchor>
    <xdr:from>
      <xdr:col>4</xdr:col>
      <xdr:colOff>632357</xdr:colOff>
      <xdr:row>59</xdr:row>
      <xdr:rowOff>68262</xdr:rowOff>
    </xdr:from>
    <xdr:to>
      <xdr:col>5</xdr:col>
      <xdr:colOff>136669</xdr:colOff>
      <xdr:row>61</xdr:row>
      <xdr:rowOff>1199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52BDD297-E259-4D77-A43E-EBB6910FF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757" y="14266862"/>
          <a:ext cx="304412" cy="313937"/>
        </a:xfrm>
        <a:prstGeom prst="rect">
          <a:avLst/>
        </a:prstGeom>
      </xdr:spPr>
    </xdr:pic>
    <xdr:clientData/>
  </xdr:twoCellAnchor>
  <xdr:twoCellAnchor>
    <xdr:from>
      <xdr:col>4</xdr:col>
      <xdr:colOff>649819</xdr:colOff>
      <xdr:row>50</xdr:row>
      <xdr:rowOff>184149</xdr:rowOff>
    </xdr:from>
    <xdr:to>
      <xdr:col>5</xdr:col>
      <xdr:colOff>154131</xdr:colOff>
      <xdr:row>52</xdr:row>
      <xdr:rowOff>113911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3929576C-32D7-4001-8603-F0E16CD81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5219" y="12668249"/>
          <a:ext cx="304412" cy="310762"/>
        </a:xfrm>
        <a:prstGeom prst="rect">
          <a:avLst/>
        </a:prstGeom>
      </xdr:spPr>
    </xdr:pic>
    <xdr:clientData/>
  </xdr:twoCellAnchor>
  <xdr:twoCellAnchor>
    <xdr:from>
      <xdr:col>5</xdr:col>
      <xdr:colOff>238125</xdr:colOff>
      <xdr:row>46</xdr:row>
      <xdr:rowOff>79374</xdr:rowOff>
    </xdr:from>
    <xdr:to>
      <xdr:col>5</xdr:col>
      <xdr:colOff>238126</xdr:colOff>
      <xdr:row>55</xdr:row>
      <xdr:rowOff>164311</xdr:rowOff>
    </xdr:to>
    <xdr:cxnSp macro="">
      <xdr:nvCxnSpPr>
        <xdr:cNvPr id="29" name="Connecteur droit avec flèche 28">
          <a:extLst>
            <a:ext uri="{FF2B5EF4-FFF2-40B4-BE49-F238E27FC236}">
              <a16:creationId xmlns:a16="http://schemas.microsoft.com/office/drawing/2014/main" id="{5FF4E0D8-33B4-4459-8CFC-48D4C506CAEA}"/>
            </a:ext>
          </a:extLst>
        </xdr:cNvPr>
        <xdr:cNvCxnSpPr/>
      </xdr:nvCxnSpPr>
      <xdr:spPr>
        <a:xfrm flipV="1">
          <a:off x="6151563" y="11541124"/>
          <a:ext cx="1" cy="1728000"/>
        </a:xfrm>
        <a:prstGeom prst="straightConnector1">
          <a:avLst/>
        </a:prstGeom>
        <a:ln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0</xdr:rowOff>
    </xdr:from>
    <xdr:to>
      <xdr:col>18</xdr:col>
      <xdr:colOff>679606</xdr:colOff>
      <xdr:row>67</xdr:row>
      <xdr:rowOff>30162</xdr:rowOff>
    </xdr:to>
    <xdr:grpSp>
      <xdr:nvGrpSpPr>
        <xdr:cNvPr id="30" name="Groupe 29">
          <a:extLst>
            <a:ext uri="{FF2B5EF4-FFF2-40B4-BE49-F238E27FC236}">
              <a16:creationId xmlns:a16="http://schemas.microsoft.com/office/drawing/2014/main" id="{DAB58009-6CBF-4021-B1C9-AA359D38B324}"/>
            </a:ext>
          </a:extLst>
        </xdr:cNvPr>
        <xdr:cNvGrpSpPr/>
      </xdr:nvGrpSpPr>
      <xdr:grpSpPr>
        <a:xfrm>
          <a:off x="9440333" y="11588750"/>
          <a:ext cx="6775606" cy="4602162"/>
          <a:chOff x="11722639" y="5036185"/>
          <a:chExt cx="6742435" cy="4244975"/>
        </a:xfrm>
      </xdr:grpSpPr>
      <xdr:graphicFrame macro="">
        <xdr:nvGraphicFramePr>
          <xdr:cNvPr id="31" name="Graphique 30">
            <a:extLst>
              <a:ext uri="{FF2B5EF4-FFF2-40B4-BE49-F238E27FC236}">
                <a16:creationId xmlns:a16="http://schemas.microsoft.com/office/drawing/2014/main" id="{CFD78D4F-C696-423D-9664-22DFAD53975D}"/>
              </a:ext>
            </a:extLst>
          </xdr:cNvPr>
          <xdr:cNvGraphicFramePr>
            <a:graphicFrameLocks/>
          </xdr:cNvGraphicFramePr>
        </xdr:nvGraphicFramePr>
        <xdr:xfrm>
          <a:off x="11722639" y="5036185"/>
          <a:ext cx="6742435" cy="4244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cxnSp macro="">
        <xdr:nvCxnSpPr>
          <xdr:cNvPr id="33" name="Connecteur droit avec flèche 32">
            <a:extLst>
              <a:ext uri="{FF2B5EF4-FFF2-40B4-BE49-F238E27FC236}">
                <a16:creationId xmlns:a16="http://schemas.microsoft.com/office/drawing/2014/main" id="{82427157-C8BC-4CBA-9DA4-AA651892D79A}"/>
              </a:ext>
            </a:extLst>
          </xdr:cNvPr>
          <xdr:cNvCxnSpPr/>
        </xdr:nvCxnSpPr>
        <xdr:spPr>
          <a:xfrm>
            <a:off x="13664943" y="7948765"/>
            <a:ext cx="0" cy="766806"/>
          </a:xfrm>
          <a:prstGeom prst="straightConnector1">
            <a:avLst/>
          </a:prstGeom>
          <a:ln>
            <a:solidFill>
              <a:schemeClr val="accent3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632732</xdr:colOff>
      <xdr:row>52</xdr:row>
      <xdr:rowOff>138792</xdr:rowOff>
    </xdr:from>
    <xdr:to>
      <xdr:col>25</xdr:col>
      <xdr:colOff>632732</xdr:colOff>
      <xdr:row>67</xdr:row>
      <xdr:rowOff>24492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68E18DD5-C319-4E2E-858A-B9FB03CF2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267186</xdr:colOff>
      <xdr:row>5</xdr:row>
      <xdr:rowOff>76137</xdr:rowOff>
    </xdr:from>
    <xdr:to>
      <xdr:col>4</xdr:col>
      <xdr:colOff>476251</xdr:colOff>
      <xdr:row>26</xdr:row>
      <xdr:rowOff>165805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EB5475F-286F-4E1B-8E52-F455D08DE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339091</xdr:colOff>
      <xdr:row>5</xdr:row>
      <xdr:rowOff>156608</xdr:rowOff>
    </xdr:from>
    <xdr:to>
      <xdr:col>4</xdr:col>
      <xdr:colOff>455083</xdr:colOff>
      <xdr:row>8</xdr:row>
      <xdr:rowOff>121852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CE31E73-DF7F-4994-BBA7-4B193F8AD604}"/>
            </a:ext>
          </a:extLst>
        </xdr:cNvPr>
        <xdr:cNvSpPr txBox="1"/>
      </xdr:nvSpPr>
      <xdr:spPr>
        <a:xfrm>
          <a:off x="339091" y="1458358"/>
          <a:ext cx="5968575" cy="504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200">
              <a:solidFill>
                <a:schemeClr val="accent6"/>
              </a:solidFill>
            </a:rPr>
            <a:t>Consommation d'électricité seuil (TWh) en phase d'usage des centres de données compatible avec l'objectif</a:t>
          </a:r>
          <a:r>
            <a:rPr lang="fr-FR" sz="1200" baseline="0">
              <a:solidFill>
                <a:schemeClr val="accent6"/>
              </a:solidFill>
            </a:rPr>
            <a:t> cible d'une réduction de 90 % entre 2020 et 2050 (cible à 25 MtCO</a:t>
          </a:r>
          <a:r>
            <a:rPr lang="fr-FR" sz="1200" baseline="-25000">
              <a:solidFill>
                <a:schemeClr val="accent6"/>
              </a:solidFill>
            </a:rPr>
            <a:t>2</a:t>
          </a:r>
          <a:r>
            <a:rPr lang="fr-FR" sz="1200" baseline="0">
              <a:solidFill>
                <a:schemeClr val="accent6"/>
              </a:solidFill>
            </a:rPr>
            <a:t>e)</a:t>
          </a:r>
          <a:endParaRPr lang="fr-FR" sz="1200">
            <a:solidFill>
              <a:schemeClr val="accent6"/>
            </a:solidFill>
          </a:endParaRPr>
        </a:p>
      </xdr:txBody>
    </xdr:sp>
    <xdr:clientData/>
  </xdr:twoCellAnchor>
  <xdr:twoCellAnchor>
    <xdr:from>
      <xdr:col>1</xdr:col>
      <xdr:colOff>302683</xdr:colOff>
      <xdr:row>12</xdr:row>
      <xdr:rowOff>14010</xdr:rowOff>
    </xdr:from>
    <xdr:to>
      <xdr:col>1</xdr:col>
      <xdr:colOff>305707</xdr:colOff>
      <xdr:row>21</xdr:row>
      <xdr:rowOff>19010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513E5C84-4AA7-4602-972F-E6C506DB17D9}"/>
            </a:ext>
          </a:extLst>
        </xdr:cNvPr>
        <xdr:cNvCxnSpPr/>
      </xdr:nvCxnSpPr>
      <xdr:spPr>
        <a:xfrm flipH="1">
          <a:off x="1064683" y="2575177"/>
          <a:ext cx="3024" cy="16242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1076119</xdr:colOff>
      <xdr:row>24</xdr:row>
      <xdr:rowOff>130807</xdr:rowOff>
    </xdr:from>
    <xdr:to>
      <xdr:col>3</xdr:col>
      <xdr:colOff>180347</xdr:colOff>
      <xdr:row>24</xdr:row>
      <xdr:rowOff>137157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F3067E26-67A5-4125-B51B-F828925B364B}"/>
            </a:ext>
          </a:extLst>
        </xdr:cNvPr>
        <xdr:cNvCxnSpPr/>
      </xdr:nvCxnSpPr>
      <xdr:spPr>
        <a:xfrm flipH="1" flipV="1">
          <a:off x="1838119" y="4850974"/>
          <a:ext cx="3432811" cy="63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972819</xdr:colOff>
      <xdr:row>25</xdr:row>
      <xdr:rowOff>5657</xdr:rowOff>
    </xdr:from>
    <xdr:to>
      <xdr:col>3</xdr:col>
      <xdr:colOff>59629</xdr:colOff>
      <xdr:row>26</xdr:row>
      <xdr:rowOff>120648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DB0A73FA-3D88-4DEC-905E-8016350019EA}"/>
            </a:ext>
          </a:extLst>
        </xdr:cNvPr>
        <xdr:cNvSpPr txBox="1"/>
      </xdr:nvSpPr>
      <xdr:spPr>
        <a:xfrm>
          <a:off x="1734819" y="4905740"/>
          <a:ext cx="3415393" cy="294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900">
              <a:solidFill>
                <a:schemeClr val="accent6"/>
              </a:solidFill>
            </a:rPr>
            <a:t>Réduction</a:t>
          </a:r>
          <a:r>
            <a:rPr lang="fr-FR" sz="900" baseline="0">
              <a:solidFill>
                <a:schemeClr val="accent6"/>
              </a:solidFill>
            </a:rPr>
            <a:t> de l'intensité carbone de l'électricité (gCO</a:t>
          </a:r>
          <a:r>
            <a:rPr lang="fr-FR" sz="900" baseline="-25000">
              <a:solidFill>
                <a:schemeClr val="accent6"/>
              </a:solidFill>
            </a:rPr>
            <a:t>2</a:t>
          </a:r>
          <a:r>
            <a:rPr lang="fr-FR" sz="900" baseline="0">
              <a:solidFill>
                <a:schemeClr val="accent6"/>
              </a:solidFill>
            </a:rPr>
            <a:t>e/kWh)</a:t>
          </a:r>
          <a:endParaRPr lang="fr-FR" sz="700">
            <a:solidFill>
              <a:schemeClr val="accent6"/>
            </a:solidFill>
          </a:endParaRPr>
        </a:p>
      </xdr:txBody>
    </xdr:sp>
    <xdr:clientData/>
  </xdr:twoCellAnchor>
  <xdr:twoCellAnchor>
    <xdr:from>
      <xdr:col>0</xdr:col>
      <xdr:colOff>384529</xdr:colOff>
      <xdr:row>8</xdr:row>
      <xdr:rowOff>154418</xdr:rowOff>
    </xdr:from>
    <xdr:to>
      <xdr:col>1</xdr:col>
      <xdr:colOff>277923</xdr:colOff>
      <xdr:row>23</xdr:row>
      <xdr:rowOff>74084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6ECB3B1B-69E8-4425-9D16-0DC9A9D5DE34}"/>
            </a:ext>
          </a:extLst>
        </xdr:cNvPr>
        <xdr:cNvSpPr txBox="1"/>
      </xdr:nvSpPr>
      <xdr:spPr>
        <a:xfrm rot="16200000">
          <a:off x="-596982" y="2977429"/>
          <a:ext cx="2618416" cy="6553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900">
              <a:solidFill>
                <a:schemeClr val="accent6"/>
              </a:solidFill>
            </a:rPr>
            <a:t>Proportion</a:t>
          </a:r>
          <a:r>
            <a:rPr lang="fr-FR" sz="900" baseline="0">
              <a:solidFill>
                <a:schemeClr val="accent6"/>
              </a:solidFill>
            </a:rPr>
            <a:t> entre l'empreinte carbone embarquée et l'empreinte carbone de la consommation d'électricité à l'usage</a:t>
          </a:r>
          <a:endParaRPr lang="fr-FR" sz="700">
            <a:solidFill>
              <a:schemeClr val="accent6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694267</xdr:colOff>
      <xdr:row>129</xdr:row>
      <xdr:rowOff>0</xdr:rowOff>
    </xdr:from>
    <xdr:to>
      <xdr:col>11</xdr:col>
      <xdr:colOff>132522</xdr:colOff>
      <xdr:row>146</xdr:row>
      <xdr:rowOff>77305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3864CA5-FE5E-46AD-6005-2489C84D7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694326</xdr:colOff>
      <xdr:row>11</xdr:row>
      <xdr:rowOff>143944</xdr:rowOff>
    </xdr:from>
    <xdr:to>
      <xdr:col>19</xdr:col>
      <xdr:colOff>226059</xdr:colOff>
      <xdr:row>26</xdr:row>
      <xdr:rowOff>121456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32FE6E-A533-46CE-8C8B-67A680D1C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0409" y="2123027"/>
          <a:ext cx="4286613" cy="2954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168850</xdr:colOff>
      <xdr:row>27</xdr:row>
      <xdr:rowOff>161615</xdr:rowOff>
    </xdr:from>
    <xdr:to>
      <xdr:col>26</xdr:col>
      <xdr:colOff>212318</xdr:colOff>
      <xdr:row>53</xdr:row>
      <xdr:rowOff>149025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48A7D3C-6622-4CAE-B3A6-20C410ADF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04050" y="5546415"/>
          <a:ext cx="7244368" cy="5016610"/>
        </a:xfrm>
        <a:prstGeom prst="rect">
          <a:avLst/>
        </a:prstGeom>
      </xdr:spPr>
    </xdr:pic>
    <xdr:clientData/>
  </xdr:twoCellAnchor>
  <xdr:twoCellAnchor>
    <xdr:from>
      <xdr:col>17</xdr:col>
      <xdr:colOff>765754</xdr:colOff>
      <xdr:row>30</xdr:row>
      <xdr:rowOff>69426</xdr:rowOff>
    </xdr:from>
    <xdr:to>
      <xdr:col>21</xdr:col>
      <xdr:colOff>536363</xdr:colOff>
      <xdr:row>46</xdr:row>
      <xdr:rowOff>85087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BE885A82-E4C6-4427-8C0C-DFC153353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347981</xdr:colOff>
      <xdr:row>11</xdr:row>
      <xdr:rowOff>66555</xdr:rowOff>
    </xdr:from>
    <xdr:to>
      <xdr:col>25</xdr:col>
      <xdr:colOff>154940</xdr:colOff>
      <xdr:row>27</xdr:row>
      <xdr:rowOff>9499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13AF84C5-B3DD-45F2-9DFD-B63369BBB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38314" y="2045638"/>
          <a:ext cx="4573269" cy="309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Tmpl 07/25">
      <a:dk1>
        <a:srgbClr val="00005A"/>
      </a:dk1>
      <a:lt1>
        <a:srgbClr val="00008E"/>
      </a:lt1>
      <a:dk2>
        <a:srgbClr val="0028DC"/>
      </a:dk2>
      <a:lt2>
        <a:srgbClr val="0072FF"/>
      </a:lt2>
      <a:accent1>
        <a:srgbClr val="0009B5"/>
      </a:accent1>
      <a:accent2>
        <a:srgbClr val="33AFFF"/>
      </a:accent2>
      <a:accent3>
        <a:srgbClr val="FF6600"/>
      </a:accent3>
      <a:accent4>
        <a:srgbClr val="ADDEFF"/>
      </a:accent4>
      <a:accent5>
        <a:srgbClr val="FFC199"/>
      </a:accent5>
      <a:accent6>
        <a:srgbClr val="080808"/>
      </a:accent6>
      <a:hlink>
        <a:srgbClr val="5C5C77"/>
      </a:hlink>
      <a:folHlink>
        <a:srgbClr val="080808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TSP">
    <a:dk1>
      <a:srgbClr val="000000"/>
    </a:dk1>
    <a:lt1>
      <a:srgbClr val="FFFFFF"/>
    </a:lt1>
    <a:dk2>
      <a:srgbClr val="000000"/>
    </a:dk2>
    <a:lt2>
      <a:srgbClr val="FFFFFF"/>
    </a:lt2>
    <a:accent1>
      <a:srgbClr val="00005A"/>
    </a:accent1>
    <a:accent2>
      <a:srgbClr val="0028DB"/>
    </a:accent2>
    <a:accent3>
      <a:srgbClr val="FF8200"/>
    </a:accent3>
    <a:accent4>
      <a:srgbClr val="FFDB23"/>
    </a:accent4>
    <a:accent5>
      <a:srgbClr val="ACACAC"/>
    </a:accent5>
    <a:accent6>
      <a:srgbClr val="737373"/>
    </a:accent6>
    <a:hlink>
      <a:srgbClr val="0099FF"/>
    </a:hlink>
    <a:folHlink>
      <a:srgbClr val="868686"/>
    </a:folHlink>
  </a:clrScheme>
  <a:fontScheme name="Office">
    <a:majorFont>
      <a:latin typeface="Calibri Light"/>
      <a:ea typeface="Arial"/>
      <a:cs typeface="Arial"/>
    </a:majorFont>
    <a:minorFont>
      <a:latin typeface="Calibri"/>
      <a:ea typeface="Arial"/>
      <a:cs typeface="Arial"/>
    </a:minorFont>
  </a:fontScheme>
  <a:fmtScheme name="Office">
    <a:fillStyleLst>
      <a:solidFill>
        <a:schemeClr val="phClr"/>
      </a:solidFill>
      <a:gradFill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TSP">
    <a:dk1>
      <a:srgbClr val="000000"/>
    </a:dk1>
    <a:lt1>
      <a:srgbClr val="FFFFFF"/>
    </a:lt1>
    <a:dk2>
      <a:srgbClr val="000000"/>
    </a:dk2>
    <a:lt2>
      <a:srgbClr val="FFFFFF"/>
    </a:lt2>
    <a:accent1>
      <a:srgbClr val="00005A"/>
    </a:accent1>
    <a:accent2>
      <a:srgbClr val="0028DB"/>
    </a:accent2>
    <a:accent3>
      <a:srgbClr val="FF8200"/>
    </a:accent3>
    <a:accent4>
      <a:srgbClr val="FFDB23"/>
    </a:accent4>
    <a:accent5>
      <a:srgbClr val="ACACAC"/>
    </a:accent5>
    <a:accent6>
      <a:srgbClr val="737373"/>
    </a:accent6>
    <a:hlink>
      <a:srgbClr val="0099FF"/>
    </a:hlink>
    <a:folHlink>
      <a:srgbClr val="868686"/>
    </a:folHlink>
  </a:clrScheme>
  <a:fontScheme name="Office">
    <a:majorFont>
      <a:latin typeface="Calibri Light"/>
      <a:ea typeface="Arial"/>
      <a:cs typeface="Arial"/>
    </a:majorFont>
    <a:minorFont>
      <a:latin typeface="Calibri"/>
      <a:ea typeface="Arial"/>
      <a:cs typeface="Arial"/>
    </a:minorFont>
  </a:fontScheme>
  <a:fmtScheme name="Office">
    <a:fillStyleLst>
      <a:solidFill>
        <a:schemeClr val="phClr"/>
      </a:solidFill>
      <a:gradFill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TSP">
    <a:dk1>
      <a:srgbClr val="000000"/>
    </a:dk1>
    <a:lt1>
      <a:srgbClr val="FFFFFF"/>
    </a:lt1>
    <a:dk2>
      <a:srgbClr val="000000"/>
    </a:dk2>
    <a:lt2>
      <a:srgbClr val="FFFFFF"/>
    </a:lt2>
    <a:accent1>
      <a:srgbClr val="00005A"/>
    </a:accent1>
    <a:accent2>
      <a:srgbClr val="0028DB"/>
    </a:accent2>
    <a:accent3>
      <a:srgbClr val="FF8200"/>
    </a:accent3>
    <a:accent4>
      <a:srgbClr val="FFDB23"/>
    </a:accent4>
    <a:accent5>
      <a:srgbClr val="ACACAC"/>
    </a:accent5>
    <a:accent6>
      <a:srgbClr val="737373"/>
    </a:accent6>
    <a:hlink>
      <a:srgbClr val="0099FF"/>
    </a:hlink>
    <a:folHlink>
      <a:srgbClr val="868686"/>
    </a:folHlink>
  </a:clrScheme>
  <a:fontScheme name="Office">
    <a:majorFont>
      <a:latin typeface="Calibri Light"/>
      <a:ea typeface="Arial"/>
      <a:cs typeface="Arial"/>
    </a:majorFont>
    <a:minorFont>
      <a:latin typeface="Calibri"/>
      <a:ea typeface="Arial"/>
      <a:cs typeface="Arial"/>
    </a:minorFont>
  </a:fontScheme>
  <a:fmtScheme name="Office">
    <a:fillStyleLst>
      <a:solidFill>
        <a:schemeClr val="phClr"/>
      </a:solidFill>
      <a:gradFill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TSP">
    <a:dk1>
      <a:srgbClr val="000000"/>
    </a:dk1>
    <a:lt1>
      <a:srgbClr val="FFFFFF"/>
    </a:lt1>
    <a:dk2>
      <a:srgbClr val="000000"/>
    </a:dk2>
    <a:lt2>
      <a:srgbClr val="FFFFFF"/>
    </a:lt2>
    <a:accent1>
      <a:srgbClr val="00005A"/>
    </a:accent1>
    <a:accent2>
      <a:srgbClr val="0028DB"/>
    </a:accent2>
    <a:accent3>
      <a:srgbClr val="FF8200"/>
    </a:accent3>
    <a:accent4>
      <a:srgbClr val="FFDB23"/>
    </a:accent4>
    <a:accent5>
      <a:srgbClr val="ACACAC"/>
    </a:accent5>
    <a:accent6>
      <a:srgbClr val="737373"/>
    </a:accent6>
    <a:hlink>
      <a:srgbClr val="0099FF"/>
    </a:hlink>
    <a:folHlink>
      <a:srgbClr val="868686"/>
    </a:folHlink>
  </a:clrScheme>
  <a:fontScheme name="Office">
    <a:majorFont>
      <a:latin typeface="Calibri Light"/>
      <a:ea typeface="Arial"/>
      <a:cs typeface="Arial"/>
    </a:majorFont>
    <a:minorFont>
      <a:latin typeface="Calibri"/>
      <a:ea typeface="Arial"/>
      <a:cs typeface="Arial"/>
    </a:minorFont>
  </a:fontScheme>
  <a:fmtScheme name="Office">
    <a:fillStyleLst>
      <a:solidFill>
        <a:schemeClr val="phClr"/>
      </a:solidFill>
      <a:gradFill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TSP">
    <a:dk1>
      <a:srgbClr val="000000"/>
    </a:dk1>
    <a:lt1>
      <a:srgbClr val="FFFFFF"/>
    </a:lt1>
    <a:dk2>
      <a:srgbClr val="000000"/>
    </a:dk2>
    <a:lt2>
      <a:srgbClr val="FFFFFF"/>
    </a:lt2>
    <a:accent1>
      <a:srgbClr val="00005A"/>
    </a:accent1>
    <a:accent2>
      <a:srgbClr val="0028DB"/>
    </a:accent2>
    <a:accent3>
      <a:srgbClr val="FF8200"/>
    </a:accent3>
    <a:accent4>
      <a:srgbClr val="FFDB23"/>
    </a:accent4>
    <a:accent5>
      <a:srgbClr val="ACACAC"/>
    </a:accent5>
    <a:accent6>
      <a:srgbClr val="737373"/>
    </a:accent6>
    <a:hlink>
      <a:srgbClr val="0099FF"/>
    </a:hlink>
    <a:folHlink>
      <a:srgbClr val="868686"/>
    </a:folHlink>
  </a:clrScheme>
  <a:fontScheme name="Office">
    <a:majorFont>
      <a:latin typeface="Calibri Light"/>
      <a:ea typeface="Arial"/>
      <a:cs typeface="Arial"/>
    </a:majorFont>
    <a:minorFont>
      <a:latin typeface="Calibri"/>
      <a:ea typeface="Arial"/>
      <a:cs typeface="Arial"/>
    </a:minorFont>
  </a:fontScheme>
  <a:fmtScheme name="Office">
    <a:fillStyleLst>
      <a:solidFill>
        <a:schemeClr val="phClr"/>
      </a:solidFill>
      <a:gradFill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TSP">
    <a:dk1>
      <a:srgbClr val="000000"/>
    </a:dk1>
    <a:lt1>
      <a:srgbClr val="FFFFFF"/>
    </a:lt1>
    <a:dk2>
      <a:srgbClr val="000000"/>
    </a:dk2>
    <a:lt2>
      <a:srgbClr val="FFFFFF"/>
    </a:lt2>
    <a:accent1>
      <a:srgbClr val="00005A"/>
    </a:accent1>
    <a:accent2>
      <a:srgbClr val="0028DB"/>
    </a:accent2>
    <a:accent3>
      <a:srgbClr val="FF8200"/>
    </a:accent3>
    <a:accent4>
      <a:srgbClr val="FFDB23"/>
    </a:accent4>
    <a:accent5>
      <a:srgbClr val="ACACAC"/>
    </a:accent5>
    <a:accent6>
      <a:srgbClr val="737373"/>
    </a:accent6>
    <a:hlink>
      <a:srgbClr val="0099FF"/>
    </a:hlink>
    <a:folHlink>
      <a:srgbClr val="868686"/>
    </a:folHlink>
  </a:clrScheme>
  <a:fontScheme name="Office">
    <a:majorFont>
      <a:latin typeface="Calibri Light"/>
      <a:ea typeface="Arial"/>
      <a:cs typeface="Arial"/>
    </a:majorFont>
    <a:minorFont>
      <a:latin typeface="Calibri"/>
      <a:ea typeface="Arial"/>
      <a:cs typeface="Arial"/>
    </a:minorFont>
  </a:fontScheme>
  <a:fmtScheme name="Office">
    <a:fillStyleLst>
      <a:solidFill>
        <a:schemeClr val="phClr"/>
      </a:solidFill>
      <a:gradFill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7452D-F40E-4CC3-8DEE-DB673D28AA5D}">
  <dimension ref="B2:K160"/>
  <sheetViews>
    <sheetView tabSelected="1" zoomScale="80" zoomScaleNormal="80" workbookViewId="0"/>
  </sheetViews>
  <sheetFormatPr baseColWidth="10" defaultColWidth="11.42578125" defaultRowHeight="15" x14ac:dyDescent="0.25"/>
  <cols>
    <col min="1" max="1" width="3.42578125" customWidth="1"/>
    <col min="2" max="2" width="35.42578125" customWidth="1"/>
    <col min="3" max="20" width="7.42578125" customWidth="1"/>
  </cols>
  <sheetData>
    <row r="2" spans="2:7" x14ac:dyDescent="0.25">
      <c r="B2" s="149" t="s">
        <v>0</v>
      </c>
    </row>
    <row r="4" spans="2:7" ht="45" customHeight="1" x14ac:dyDescent="0.25">
      <c r="B4" s="103" t="s">
        <v>1</v>
      </c>
      <c r="C4" s="104">
        <v>2023</v>
      </c>
      <c r="D4" s="104">
        <v>2028</v>
      </c>
    </row>
    <row r="5" spans="2:7" ht="30" customHeight="1" x14ac:dyDescent="0.25">
      <c r="B5" s="105" t="s">
        <v>2</v>
      </c>
      <c r="C5" s="106">
        <v>176</v>
      </c>
      <c r="D5" s="106">
        <v>325</v>
      </c>
    </row>
    <row r="6" spans="2:7" ht="30" customHeight="1" x14ac:dyDescent="0.25">
      <c r="B6" s="107" t="s">
        <v>3</v>
      </c>
      <c r="C6" s="106">
        <v>176</v>
      </c>
      <c r="D6" s="106">
        <v>580</v>
      </c>
    </row>
    <row r="8" spans="2:7" s="3" customFormat="1" x14ac:dyDescent="0.25">
      <c r="B8" s="150" t="s">
        <v>4</v>
      </c>
    </row>
    <row r="10" spans="2:7" ht="45" customHeight="1" x14ac:dyDescent="0.25">
      <c r="B10" s="103" t="s">
        <v>5</v>
      </c>
      <c r="C10" s="104">
        <v>2020</v>
      </c>
      <c r="D10" s="104">
        <v>2023</v>
      </c>
      <c r="E10" s="104">
        <v>2024</v>
      </c>
      <c r="F10" s="104">
        <v>2030</v>
      </c>
      <c r="G10" s="104">
        <v>2035</v>
      </c>
    </row>
    <row r="11" spans="2:7" ht="30" customHeight="1" x14ac:dyDescent="0.25">
      <c r="B11" s="105" t="s">
        <v>6</v>
      </c>
      <c r="C11" s="106">
        <v>269</v>
      </c>
      <c r="D11" s="106">
        <v>361</v>
      </c>
      <c r="E11" s="106">
        <v>416</v>
      </c>
      <c r="F11" s="106">
        <v>946</v>
      </c>
      <c r="G11" s="106">
        <v>1193</v>
      </c>
    </row>
    <row r="12" spans="2:7" ht="30" customHeight="1" x14ac:dyDescent="0.25">
      <c r="B12" s="107" t="s">
        <v>7</v>
      </c>
      <c r="C12" s="106">
        <v>269</v>
      </c>
      <c r="D12" s="106">
        <v>361</v>
      </c>
      <c r="E12" s="106">
        <v>416</v>
      </c>
      <c r="F12" s="106">
        <v>1264</v>
      </c>
      <c r="G12" s="106">
        <v>1719</v>
      </c>
    </row>
    <row r="13" spans="2:7" ht="30" customHeight="1" x14ac:dyDescent="0.25">
      <c r="B13" s="108" t="s">
        <v>8</v>
      </c>
      <c r="C13" s="106">
        <v>269</v>
      </c>
      <c r="D13" s="106">
        <v>361</v>
      </c>
      <c r="E13" s="106">
        <v>416</v>
      </c>
      <c r="F13" s="106">
        <v>792</v>
      </c>
      <c r="G13" s="106">
        <v>972</v>
      </c>
    </row>
    <row r="14" spans="2:7" ht="30" customHeight="1" x14ac:dyDescent="0.25">
      <c r="B14" s="109" t="s">
        <v>9</v>
      </c>
      <c r="C14" s="106">
        <v>269</v>
      </c>
      <c r="D14" s="106">
        <v>361</v>
      </c>
      <c r="E14" s="106">
        <v>416</v>
      </c>
      <c r="F14" s="106">
        <v>669</v>
      </c>
      <c r="G14" s="106">
        <v>707</v>
      </c>
    </row>
    <row r="16" spans="2:7" ht="45" customHeight="1" x14ac:dyDescent="0.25">
      <c r="B16" s="103" t="s">
        <v>10</v>
      </c>
      <c r="C16" s="104">
        <v>2020</v>
      </c>
      <c r="D16" s="104">
        <v>2023</v>
      </c>
      <c r="E16" s="104">
        <v>2024</v>
      </c>
      <c r="F16" s="104">
        <v>2030</v>
      </c>
      <c r="G16" s="104">
        <v>2035</v>
      </c>
    </row>
    <row r="17" spans="2:8" ht="30" customHeight="1" x14ac:dyDescent="0.25">
      <c r="B17" s="105" t="s">
        <v>6</v>
      </c>
      <c r="C17" s="106">
        <v>60</v>
      </c>
      <c r="D17" s="106">
        <v>83</v>
      </c>
      <c r="E17" s="106">
        <v>97</v>
      </c>
      <c r="F17" s="106">
        <v>226</v>
      </c>
      <c r="G17" s="106">
        <v>277</v>
      </c>
    </row>
    <row r="18" spans="2:8" ht="30" customHeight="1" x14ac:dyDescent="0.25">
      <c r="B18" s="107" t="s">
        <v>7</v>
      </c>
      <c r="C18" s="106">
        <v>60</v>
      </c>
      <c r="D18" s="106">
        <v>83</v>
      </c>
      <c r="E18" s="106">
        <v>97</v>
      </c>
      <c r="F18" s="106">
        <v>305</v>
      </c>
      <c r="G18" s="106">
        <v>404</v>
      </c>
    </row>
    <row r="19" spans="2:8" ht="30" customHeight="1" x14ac:dyDescent="0.25">
      <c r="B19" s="108" t="s">
        <v>8</v>
      </c>
      <c r="C19" s="106">
        <v>60</v>
      </c>
      <c r="D19" s="106">
        <v>83</v>
      </c>
      <c r="E19" s="106">
        <v>97</v>
      </c>
      <c r="F19" s="106">
        <v>185</v>
      </c>
      <c r="G19" s="106">
        <v>221</v>
      </c>
    </row>
    <row r="20" spans="2:8" ht="30" customHeight="1" x14ac:dyDescent="0.25">
      <c r="B20" s="109" t="s">
        <v>9</v>
      </c>
      <c r="C20" s="106">
        <v>60</v>
      </c>
      <c r="D20" s="106">
        <v>83</v>
      </c>
      <c r="E20" s="106">
        <v>97</v>
      </c>
      <c r="F20" s="106">
        <v>158</v>
      </c>
      <c r="G20" s="106">
        <v>160</v>
      </c>
    </row>
    <row r="22" spans="2:8" ht="45" customHeight="1" x14ac:dyDescent="0.25">
      <c r="B22" s="103" t="s">
        <v>11</v>
      </c>
      <c r="C22" s="104">
        <v>2005</v>
      </c>
      <c r="D22" s="104">
        <v>2010</v>
      </c>
      <c r="E22" s="104">
        <v>2015</v>
      </c>
      <c r="F22" s="104">
        <v>2020</v>
      </c>
      <c r="G22" s="104">
        <v>2023</v>
      </c>
      <c r="H22" s="104">
        <v>2024</v>
      </c>
    </row>
    <row r="23" spans="2:8" ht="30" customHeight="1" x14ac:dyDescent="0.25">
      <c r="B23" s="105" t="s">
        <v>12</v>
      </c>
      <c r="C23" s="106">
        <v>125</v>
      </c>
      <c r="D23" s="106">
        <v>160</v>
      </c>
      <c r="E23" s="106">
        <v>180</v>
      </c>
      <c r="F23" s="106">
        <v>269</v>
      </c>
      <c r="G23" s="106">
        <v>361</v>
      </c>
      <c r="H23" s="106">
        <v>416</v>
      </c>
    </row>
    <row r="24" spans="2:8" ht="30" customHeight="1" x14ac:dyDescent="0.25">
      <c r="B24" s="107" t="s">
        <v>13</v>
      </c>
      <c r="C24" s="106"/>
      <c r="D24" s="106"/>
      <c r="E24" s="106"/>
      <c r="F24" s="106">
        <v>176</v>
      </c>
      <c r="G24" s="106">
        <v>252</v>
      </c>
      <c r="H24" s="106">
        <v>295</v>
      </c>
    </row>
    <row r="25" spans="2:8" ht="30" customHeight="1" x14ac:dyDescent="0.25">
      <c r="B25" s="108" t="s">
        <v>14</v>
      </c>
      <c r="C25" s="106">
        <v>20</v>
      </c>
      <c r="D25" s="106">
        <v>30</v>
      </c>
      <c r="E25" s="106">
        <v>35</v>
      </c>
      <c r="F25" s="106">
        <v>60</v>
      </c>
      <c r="G25" s="106">
        <v>83</v>
      </c>
      <c r="H25" s="106">
        <v>97</v>
      </c>
    </row>
    <row r="26" spans="2:8" ht="30" customHeight="1" x14ac:dyDescent="0.25">
      <c r="B26" s="109" t="s">
        <v>15</v>
      </c>
      <c r="C26" s="106"/>
      <c r="D26" s="106"/>
      <c r="E26" s="106"/>
      <c r="F26" s="106">
        <v>38</v>
      </c>
      <c r="G26" s="106">
        <v>57</v>
      </c>
      <c r="H26" s="106">
        <v>68</v>
      </c>
    </row>
    <row r="28" spans="2:8" s="3" customFormat="1" x14ac:dyDescent="0.25">
      <c r="B28" s="150" t="s">
        <v>16</v>
      </c>
      <c r="C28" s="110"/>
      <c r="D28" s="110"/>
      <c r="E28" s="110"/>
      <c r="F28" s="110"/>
      <c r="G28" s="110"/>
      <c r="H28" s="110"/>
    </row>
    <row r="29" spans="2:8" x14ac:dyDescent="0.25">
      <c r="B29" s="102"/>
      <c r="C29" s="102"/>
      <c r="D29" s="102"/>
      <c r="E29" s="102"/>
      <c r="F29" s="102"/>
      <c r="G29" s="102"/>
      <c r="H29" s="102"/>
    </row>
    <row r="30" spans="2:8" ht="45" customHeight="1" x14ac:dyDescent="0.25">
      <c r="B30" s="103" t="s">
        <v>17</v>
      </c>
      <c r="C30" s="104">
        <v>2025</v>
      </c>
      <c r="D30" s="104">
        <v>2026</v>
      </c>
      <c r="E30" s="104">
        <v>2027</v>
      </c>
      <c r="F30" s="104">
        <v>2028</v>
      </c>
      <c r="G30" s="104">
        <v>2029</v>
      </c>
      <c r="H30" s="104">
        <v>2030</v>
      </c>
    </row>
    <row r="31" spans="2:8" ht="30" customHeight="1" x14ac:dyDescent="0.25">
      <c r="B31" s="105" t="s">
        <v>18</v>
      </c>
      <c r="C31" s="106">
        <v>100</v>
      </c>
      <c r="D31" s="106">
        <v>152</v>
      </c>
      <c r="E31" s="106">
        <v>230</v>
      </c>
      <c r="F31" s="106">
        <v>310</v>
      </c>
      <c r="G31" s="106">
        <v>470</v>
      </c>
      <c r="H31" s="106">
        <v>620</v>
      </c>
    </row>
    <row r="32" spans="2:8" ht="30" customHeight="1" x14ac:dyDescent="0.25">
      <c r="B32" s="107" t="s">
        <v>19</v>
      </c>
      <c r="C32" s="106">
        <v>100</v>
      </c>
      <c r="D32" s="106">
        <v>124</v>
      </c>
      <c r="E32" s="106">
        <v>198</v>
      </c>
      <c r="F32" s="106">
        <v>287</v>
      </c>
      <c r="G32" s="106">
        <v>417</v>
      </c>
      <c r="H32" s="106">
        <v>510</v>
      </c>
    </row>
    <row r="33" spans="2:10" ht="30" customHeight="1" x14ac:dyDescent="0.25">
      <c r="B33" s="108" t="s">
        <v>20</v>
      </c>
      <c r="C33" s="106">
        <v>100</v>
      </c>
      <c r="D33" s="106">
        <v>198</v>
      </c>
      <c r="E33" s="106">
        <v>369</v>
      </c>
      <c r="F33" s="106">
        <v>564</v>
      </c>
      <c r="G33" s="106">
        <v>702</v>
      </c>
      <c r="H33" s="106">
        <v>880</v>
      </c>
    </row>
    <row r="34" spans="2:10" ht="30" customHeight="1" x14ac:dyDescent="0.25">
      <c r="B34" s="109" t="s">
        <v>21</v>
      </c>
      <c r="C34" s="106">
        <v>100</v>
      </c>
      <c r="D34" s="106">
        <v>184</v>
      </c>
      <c r="E34" s="106">
        <v>317</v>
      </c>
      <c r="F34" s="106">
        <v>487</v>
      </c>
      <c r="G34" s="106">
        <v>598</v>
      </c>
      <c r="H34" s="106">
        <v>670</v>
      </c>
    </row>
    <row r="35" spans="2:10" x14ac:dyDescent="0.25">
      <c r="H35" s="8"/>
      <c r="I35" s="8"/>
    </row>
    <row r="36" spans="2:10" s="3" customFormat="1" x14ac:dyDescent="0.25">
      <c r="B36" s="150" t="s">
        <v>22</v>
      </c>
    </row>
    <row r="38" spans="2:10" ht="45" customHeight="1" x14ac:dyDescent="0.25">
      <c r="B38" s="103" t="s">
        <v>1</v>
      </c>
      <c r="C38" s="104">
        <v>2023</v>
      </c>
      <c r="D38" s="104">
        <v>2030</v>
      </c>
      <c r="E38" s="104">
        <v>2035</v>
      </c>
    </row>
    <row r="39" spans="2:10" ht="30" customHeight="1" x14ac:dyDescent="0.25">
      <c r="B39" s="105" t="s">
        <v>23</v>
      </c>
      <c r="C39" s="106">
        <v>382</v>
      </c>
      <c r="D39" s="106">
        <v>705</v>
      </c>
      <c r="E39" s="106">
        <v>948</v>
      </c>
    </row>
    <row r="40" spans="2:10" ht="30" customHeight="1" x14ac:dyDescent="0.25">
      <c r="B40" s="107" t="s">
        <v>24</v>
      </c>
      <c r="C40" s="106">
        <v>382</v>
      </c>
      <c r="D40" s="106">
        <v>970</v>
      </c>
      <c r="E40" s="106">
        <v>1975</v>
      </c>
    </row>
    <row r="42" spans="2:10" s="3" customFormat="1" x14ac:dyDescent="0.25">
      <c r="B42" s="150" t="s">
        <v>25</v>
      </c>
    </row>
    <row r="43" spans="2:10" x14ac:dyDescent="0.25">
      <c r="B43" s="12"/>
    </row>
    <row r="44" spans="2:10" ht="45" customHeight="1" x14ac:dyDescent="0.25">
      <c r="B44" s="103" t="s">
        <v>26</v>
      </c>
      <c r="C44" s="104" t="s">
        <v>27</v>
      </c>
      <c r="D44" s="104">
        <v>2018</v>
      </c>
      <c r="E44" s="104">
        <v>2019</v>
      </c>
      <c r="F44" s="104">
        <v>2020</v>
      </c>
      <c r="G44" s="104">
        <v>2021</v>
      </c>
      <c r="H44" s="104">
        <v>2022</v>
      </c>
      <c r="I44" s="104">
        <v>2023</v>
      </c>
      <c r="J44" s="104">
        <v>2028</v>
      </c>
    </row>
    <row r="45" spans="2:10" ht="30" customHeight="1" x14ac:dyDescent="0.25">
      <c r="B45" s="105" t="s">
        <v>28</v>
      </c>
      <c r="C45" s="114">
        <v>0.16600000000000001</v>
      </c>
      <c r="D45" s="106">
        <v>8.1</v>
      </c>
      <c r="E45" s="106">
        <v>9.4445999999999994</v>
      </c>
      <c r="F45" s="106">
        <v>11.012403599999997</v>
      </c>
      <c r="G45" s="106">
        <v>12.840462597599997</v>
      </c>
      <c r="H45" s="106">
        <v>14.971979388801595</v>
      </c>
      <c r="I45" s="106">
        <v>17.457327967342657</v>
      </c>
      <c r="J45" s="106">
        <v>38</v>
      </c>
    </row>
    <row r="46" spans="2:10" ht="30" customHeight="1" x14ac:dyDescent="0.25">
      <c r="B46" s="107" t="s">
        <v>29</v>
      </c>
      <c r="C46" s="114">
        <v>0.191</v>
      </c>
      <c r="D46" s="106">
        <v>4.5999999999999996</v>
      </c>
      <c r="E46" s="106">
        <v>5.4786000000000001</v>
      </c>
      <c r="F46" s="106">
        <v>6.5250126000000002</v>
      </c>
      <c r="G46" s="106">
        <v>7.7712900066000001</v>
      </c>
      <c r="H46" s="106">
        <v>9.2556063978605998</v>
      </c>
      <c r="I46" s="106">
        <v>11.023427219851975</v>
      </c>
      <c r="J46" s="106">
        <v>27</v>
      </c>
    </row>
    <row r="47" spans="2:10" ht="30" customHeight="1" x14ac:dyDescent="0.25">
      <c r="B47" s="108" t="s">
        <v>30</v>
      </c>
      <c r="C47" s="114">
        <v>0.13600000000000001</v>
      </c>
      <c r="D47" s="106">
        <v>4.5999999999999996</v>
      </c>
      <c r="E47" s="106">
        <v>5.2256</v>
      </c>
      <c r="F47" s="106">
        <v>5.9362816000000009</v>
      </c>
      <c r="G47" s="106">
        <v>6.7436158976000025</v>
      </c>
      <c r="H47" s="106">
        <v>7.6607476596736026</v>
      </c>
      <c r="I47" s="106">
        <v>8.7026093413892127</v>
      </c>
      <c r="J47" s="106">
        <v>16.5</v>
      </c>
    </row>
    <row r="48" spans="2:10" ht="30" customHeight="1" x14ac:dyDescent="0.25">
      <c r="B48" s="109" t="s">
        <v>31</v>
      </c>
      <c r="C48" s="114"/>
      <c r="D48" s="106">
        <v>17.299999999999997</v>
      </c>
      <c r="E48" s="106">
        <v>20.148800000000001</v>
      </c>
      <c r="F48" s="106">
        <v>23.473697799999997</v>
      </c>
      <c r="G48" s="106">
        <v>27.355368501799997</v>
      </c>
      <c r="H48" s="106">
        <v>31.8883334463358</v>
      </c>
      <c r="I48" s="106">
        <v>37.183364528583844</v>
      </c>
      <c r="J48" s="106">
        <v>81.5</v>
      </c>
    </row>
    <row r="50" spans="2:11" s="3" customFormat="1" x14ac:dyDescent="0.25">
      <c r="B50" s="150" t="s">
        <v>32</v>
      </c>
    </row>
    <row r="52" spans="2:11" ht="45" customHeight="1" x14ac:dyDescent="0.25">
      <c r="B52" s="103" t="s">
        <v>26</v>
      </c>
      <c r="C52" s="104" t="s">
        <v>27</v>
      </c>
      <c r="D52" s="104">
        <v>2018</v>
      </c>
      <c r="E52" s="104">
        <v>2019</v>
      </c>
      <c r="F52" s="104">
        <v>2020</v>
      </c>
      <c r="G52" s="104">
        <v>2021</v>
      </c>
      <c r="H52" s="104">
        <v>2022</v>
      </c>
      <c r="I52" s="104">
        <v>2023</v>
      </c>
      <c r="J52" s="104">
        <v>2024</v>
      </c>
      <c r="K52" s="104">
        <v>2029</v>
      </c>
    </row>
    <row r="53" spans="2:11" ht="30" customHeight="1" x14ac:dyDescent="0.25">
      <c r="B53" s="105" t="s">
        <v>33</v>
      </c>
      <c r="C53" s="114">
        <v>0.188</v>
      </c>
      <c r="D53" s="106">
        <v>8.1</v>
      </c>
      <c r="E53" s="106">
        <v>10.1</v>
      </c>
      <c r="F53" s="106">
        <v>11.998799999999999</v>
      </c>
      <c r="G53" s="106">
        <v>14.254574399999999</v>
      </c>
      <c r="H53" s="106">
        <v>16.9344343872</v>
      </c>
      <c r="I53" s="106">
        <v>20.118108051993598</v>
      </c>
      <c r="J53" s="106">
        <v>23.900312365768393</v>
      </c>
      <c r="K53" s="106"/>
    </row>
    <row r="54" spans="2:11" ht="30" customHeight="1" x14ac:dyDescent="0.25">
      <c r="B54" s="107" t="s">
        <v>34</v>
      </c>
      <c r="C54" s="114">
        <v>0.193</v>
      </c>
      <c r="D54" s="106">
        <v>4.5999999999999996</v>
      </c>
      <c r="E54" s="106">
        <v>5.4</v>
      </c>
      <c r="F54" s="106">
        <v>6.4422000000000006</v>
      </c>
      <c r="G54" s="106">
        <v>7.6855446000000009</v>
      </c>
      <c r="H54" s="106">
        <v>9.1688547078000013</v>
      </c>
      <c r="I54" s="106">
        <v>10.938443666405401</v>
      </c>
      <c r="J54" s="106">
        <v>13.049563294021645</v>
      </c>
      <c r="K54" s="106"/>
    </row>
    <row r="55" spans="2:11" ht="30" customHeight="1" x14ac:dyDescent="0.25">
      <c r="B55" s="108" t="s">
        <v>35</v>
      </c>
      <c r="C55" s="114">
        <v>0.13300000000000001</v>
      </c>
      <c r="D55" s="106">
        <v>4.5999999999999996</v>
      </c>
      <c r="E55" s="106">
        <v>5.4</v>
      </c>
      <c r="F55" s="106">
        <v>6.1182000000000007</v>
      </c>
      <c r="G55" s="106">
        <v>6.9319206000000007</v>
      </c>
      <c r="H55" s="106">
        <v>7.8538660398000006</v>
      </c>
      <c r="I55" s="106">
        <v>8.8984302230934009</v>
      </c>
      <c r="J55" s="106">
        <v>10.081921442764823</v>
      </c>
      <c r="K55" s="106"/>
    </row>
    <row r="56" spans="2:11" ht="30" customHeight="1" x14ac:dyDescent="0.25">
      <c r="B56" s="109" t="s">
        <v>36</v>
      </c>
      <c r="C56" s="114">
        <v>0.17599999999999999</v>
      </c>
      <c r="D56" s="106">
        <v>17.299999999999997</v>
      </c>
      <c r="E56" s="106">
        <v>20.9</v>
      </c>
      <c r="F56" s="106">
        <v>24.559200000000001</v>
      </c>
      <c r="G56" s="106">
        <v>28.872039600000001</v>
      </c>
      <c r="H56" s="106">
        <v>33.957155134800004</v>
      </c>
      <c r="I56" s="106">
        <v>39.954981941492399</v>
      </c>
      <c r="J56" s="106">
        <v>47.009203719251531</v>
      </c>
      <c r="K56" s="106">
        <v>250</v>
      </c>
    </row>
    <row r="58" spans="2:11" s="3" customFormat="1" x14ac:dyDescent="0.25">
      <c r="B58" s="150" t="s">
        <v>37</v>
      </c>
    </row>
    <row r="60" spans="2:11" ht="45" customHeight="1" x14ac:dyDescent="0.25">
      <c r="B60" s="103" t="s">
        <v>1</v>
      </c>
      <c r="C60" s="104">
        <v>2022</v>
      </c>
      <c r="D60" s="104">
        <v>2026</v>
      </c>
      <c r="E60" s="104"/>
    </row>
    <row r="61" spans="2:11" ht="30" customHeight="1" x14ac:dyDescent="0.25">
      <c r="B61" s="105" t="s">
        <v>38</v>
      </c>
      <c r="C61" s="114">
        <v>460</v>
      </c>
      <c r="D61" s="106">
        <v>620</v>
      </c>
      <c r="E61" s="106"/>
    </row>
    <row r="62" spans="2:11" ht="30" customHeight="1" x14ac:dyDescent="0.25">
      <c r="B62" s="107" t="s">
        <v>39</v>
      </c>
      <c r="C62" s="114">
        <v>460</v>
      </c>
      <c r="D62" s="106">
        <v>800</v>
      </c>
      <c r="E62" s="106"/>
    </row>
    <row r="63" spans="2:11" ht="30" customHeight="1" x14ac:dyDescent="0.25">
      <c r="B63" s="108" t="s">
        <v>40</v>
      </c>
      <c r="C63" s="114">
        <v>460</v>
      </c>
      <c r="D63" s="106">
        <v>1050</v>
      </c>
      <c r="E63" s="106"/>
    </row>
    <row r="65" spans="2:6" ht="45" customHeight="1" x14ac:dyDescent="0.25">
      <c r="B65" s="103" t="s">
        <v>1</v>
      </c>
      <c r="C65" s="104">
        <v>2020</v>
      </c>
      <c r="D65" s="104">
        <v>2022</v>
      </c>
      <c r="E65" s="104">
        <v>2026</v>
      </c>
      <c r="F65" s="104">
        <v>2030</v>
      </c>
    </row>
    <row r="66" spans="2:6" ht="30" customHeight="1" x14ac:dyDescent="0.25">
      <c r="B66" s="105" t="s">
        <v>41</v>
      </c>
      <c r="C66" s="114"/>
      <c r="D66" s="106">
        <v>200</v>
      </c>
      <c r="E66" s="106">
        <v>260</v>
      </c>
      <c r="F66" s="106"/>
    </row>
    <row r="67" spans="2:6" ht="30" customHeight="1" x14ac:dyDescent="0.25">
      <c r="B67" s="107" t="s">
        <v>42</v>
      </c>
      <c r="C67" s="114"/>
      <c r="D67" s="106">
        <v>100</v>
      </c>
      <c r="E67" s="106">
        <v>150</v>
      </c>
      <c r="F67" s="106"/>
    </row>
    <row r="68" spans="2:6" ht="30" customHeight="1" x14ac:dyDescent="0.25">
      <c r="B68" s="108" t="s">
        <v>43</v>
      </c>
      <c r="C68" s="114">
        <f>F68/2</f>
        <v>200</v>
      </c>
      <c r="D68" s="106">
        <f>(E68-C68)/(E65-C65)*(D65-C65)+C68</f>
        <v>233.33333333333334</v>
      </c>
      <c r="E68" s="106">
        <v>300</v>
      </c>
      <c r="F68" s="106">
        <v>400</v>
      </c>
    </row>
    <row r="71" spans="2:6" s="3" customFormat="1" x14ac:dyDescent="0.25">
      <c r="B71" s="150" t="s">
        <v>44</v>
      </c>
    </row>
    <row r="73" spans="2:6" x14ac:dyDescent="0.25">
      <c r="B73" s="103" t="s">
        <v>45</v>
      </c>
      <c r="C73" s="104" t="s">
        <v>46</v>
      </c>
      <c r="D73" s="104" t="s">
        <v>47</v>
      </c>
    </row>
    <row r="74" spans="2:6" x14ac:dyDescent="0.25">
      <c r="B74" s="105" t="s">
        <v>48</v>
      </c>
      <c r="C74" s="190">
        <v>125</v>
      </c>
      <c r="D74" s="190">
        <v>200</v>
      </c>
    </row>
    <row r="75" spans="2:6" x14ac:dyDescent="0.25">
      <c r="B75" s="191" t="s">
        <v>49</v>
      </c>
      <c r="C75" s="190">
        <v>120</v>
      </c>
      <c r="D75" s="190">
        <v>195</v>
      </c>
    </row>
    <row r="76" spans="2:6" x14ac:dyDescent="0.25">
      <c r="B76" s="191" t="s">
        <v>50</v>
      </c>
      <c r="C76" s="190">
        <v>3</v>
      </c>
      <c r="D76" s="190">
        <v>6</v>
      </c>
    </row>
    <row r="77" spans="2:6" x14ac:dyDescent="0.25">
      <c r="B77" s="192" t="s">
        <v>51</v>
      </c>
      <c r="C77" s="190">
        <v>105</v>
      </c>
      <c r="D77" s="190">
        <v>130</v>
      </c>
    </row>
    <row r="78" spans="2:6" x14ac:dyDescent="0.25">
      <c r="B78" s="193" t="s">
        <v>52</v>
      </c>
      <c r="C78" s="190">
        <v>70</v>
      </c>
      <c r="D78" s="190">
        <v>130</v>
      </c>
    </row>
    <row r="79" spans="2:6" x14ac:dyDescent="0.25">
      <c r="B79" s="193" t="s">
        <v>53</v>
      </c>
      <c r="C79" s="190">
        <v>10</v>
      </c>
      <c r="D79" s="190">
        <v>20</v>
      </c>
    </row>
    <row r="80" spans="2:6" x14ac:dyDescent="0.25">
      <c r="B80" s="193" t="s">
        <v>54</v>
      </c>
      <c r="C80" s="190">
        <v>8</v>
      </c>
      <c r="D80" s="190">
        <v>12</v>
      </c>
    </row>
    <row r="81" spans="2:4" x14ac:dyDescent="0.25">
      <c r="B81" s="193" t="s">
        <v>55</v>
      </c>
      <c r="C81" s="190">
        <v>6</v>
      </c>
      <c r="D81" s="190">
        <v>9</v>
      </c>
    </row>
    <row r="82" spans="2:4" x14ac:dyDescent="0.25">
      <c r="B82" s="193" t="s">
        <v>56</v>
      </c>
      <c r="C82" s="190">
        <v>5</v>
      </c>
      <c r="D82" s="190">
        <v>5</v>
      </c>
    </row>
    <row r="83" spans="2:4" x14ac:dyDescent="0.25">
      <c r="B83" s="193" t="s">
        <v>57</v>
      </c>
      <c r="C83" s="190">
        <v>3</v>
      </c>
      <c r="D83" s="190">
        <v>5</v>
      </c>
    </row>
    <row r="84" spans="2:4" x14ac:dyDescent="0.25">
      <c r="B84" s="193" t="s">
        <v>58</v>
      </c>
      <c r="C84" s="190">
        <v>2</v>
      </c>
      <c r="D84" s="190">
        <v>3</v>
      </c>
    </row>
    <row r="85" spans="2:4" x14ac:dyDescent="0.25">
      <c r="B85" s="169" t="s">
        <v>59</v>
      </c>
      <c r="C85" s="190">
        <v>55</v>
      </c>
      <c r="D85" s="190">
        <v>80</v>
      </c>
    </row>
    <row r="86" spans="2:4" x14ac:dyDescent="0.25">
      <c r="B86" s="194" t="s">
        <v>60</v>
      </c>
      <c r="C86" s="190">
        <v>50</v>
      </c>
      <c r="D86" s="190">
        <v>70</v>
      </c>
    </row>
    <row r="87" spans="2:4" x14ac:dyDescent="0.25">
      <c r="B87" s="194" t="s">
        <v>61</v>
      </c>
      <c r="C87" s="190">
        <v>4</v>
      </c>
      <c r="D87" s="190">
        <v>8</v>
      </c>
    </row>
    <row r="88" spans="2:4" x14ac:dyDescent="0.25">
      <c r="B88" s="194" t="s">
        <v>62</v>
      </c>
      <c r="C88" s="190">
        <v>1</v>
      </c>
      <c r="D88" s="190">
        <v>2</v>
      </c>
    </row>
    <row r="89" spans="2:4" x14ac:dyDescent="0.25">
      <c r="B89" s="194" t="s">
        <v>63</v>
      </c>
      <c r="C89" s="190">
        <v>1</v>
      </c>
      <c r="D89" s="190">
        <v>1</v>
      </c>
    </row>
    <row r="90" spans="2:4" x14ac:dyDescent="0.25">
      <c r="B90" s="195" t="s">
        <v>64</v>
      </c>
      <c r="C90" s="190">
        <v>5</v>
      </c>
      <c r="D90" s="190">
        <v>10</v>
      </c>
    </row>
    <row r="91" spans="2:4" x14ac:dyDescent="0.25">
      <c r="B91" s="196" t="s">
        <v>65</v>
      </c>
      <c r="C91" s="190">
        <v>2</v>
      </c>
      <c r="D91" s="190">
        <v>3</v>
      </c>
    </row>
    <row r="92" spans="2:4" x14ac:dyDescent="0.25">
      <c r="B92" s="196" t="s">
        <v>66</v>
      </c>
      <c r="C92" s="190">
        <v>1</v>
      </c>
      <c r="D92" s="190">
        <v>2</v>
      </c>
    </row>
    <row r="93" spans="2:4" x14ac:dyDescent="0.25">
      <c r="B93" s="196" t="s">
        <v>67</v>
      </c>
      <c r="C93" s="190">
        <v>1</v>
      </c>
      <c r="D93" s="190">
        <v>2</v>
      </c>
    </row>
    <row r="96" spans="2:4" s="3" customFormat="1" x14ac:dyDescent="0.25">
      <c r="B96" s="150" t="s">
        <v>68</v>
      </c>
    </row>
    <row r="98" spans="2:9" ht="45" customHeight="1" x14ac:dyDescent="0.25">
      <c r="B98" s="103" t="s">
        <v>69</v>
      </c>
      <c r="C98" s="104">
        <v>2019</v>
      </c>
      <c r="D98" s="104">
        <v>2020</v>
      </c>
      <c r="E98" s="104">
        <v>2021</v>
      </c>
      <c r="F98" s="104">
        <v>2022</v>
      </c>
      <c r="G98" s="104">
        <v>2023</v>
      </c>
      <c r="H98" s="104">
        <v>2024</v>
      </c>
      <c r="I98" s="104">
        <v>2025</v>
      </c>
    </row>
    <row r="99" spans="2:9" ht="30" customHeight="1" x14ac:dyDescent="0.25">
      <c r="B99" s="105" t="s">
        <v>70</v>
      </c>
      <c r="C99" s="106">
        <v>421</v>
      </c>
      <c r="D99" s="106">
        <v>437.57893029199954</v>
      </c>
      <c r="E99" s="106">
        <v>456.39789274937692</v>
      </c>
      <c r="F99" s="106">
        <v>477.32345650938862</v>
      </c>
      <c r="G99" s="106">
        <v>500.67194238789421</v>
      </c>
      <c r="H99" s="106">
        <v>526.80908850383616</v>
      </c>
      <c r="I99" s="106">
        <v>556.15780462971895</v>
      </c>
    </row>
    <row r="100" spans="2:9" ht="30" customHeight="1" x14ac:dyDescent="0.25">
      <c r="B100" s="107" t="s">
        <v>71</v>
      </c>
      <c r="C100" s="106">
        <v>421</v>
      </c>
      <c r="D100" s="106">
        <v>449.53914475945686</v>
      </c>
      <c r="E100" s="106">
        <v>481.76971956183957</v>
      </c>
      <c r="F100" s="106">
        <v>517.81647383411655</v>
      </c>
      <c r="G100" s="106">
        <v>558.30918085575922</v>
      </c>
      <c r="H100" s="106">
        <v>603.99427843286298</v>
      </c>
      <c r="I100" s="106">
        <v>655.75713477446516</v>
      </c>
    </row>
    <row r="101" spans="2:9" ht="30" customHeight="1" x14ac:dyDescent="0.25">
      <c r="B101" s="108" t="s">
        <v>72</v>
      </c>
      <c r="C101" s="106">
        <v>421</v>
      </c>
      <c r="D101" s="106">
        <v>458.60838945871598</v>
      </c>
      <c r="E101" s="106">
        <v>501.18727734610525</v>
      </c>
      <c r="F101" s="106">
        <v>549.05010974737434</v>
      </c>
      <c r="G101" s="106">
        <v>603.05103224291258</v>
      </c>
      <c r="H101" s="106">
        <v>664.20439628497707</v>
      </c>
      <c r="I101" s="106">
        <v>733.71670333378825</v>
      </c>
    </row>
    <row r="102" spans="2:9" ht="30" customHeight="1" x14ac:dyDescent="0.25">
      <c r="B102" s="109" t="s">
        <v>73</v>
      </c>
      <c r="C102" s="106">
        <v>421</v>
      </c>
      <c r="D102" s="106">
        <v>402.33421740918772</v>
      </c>
      <c r="E102" s="106">
        <v>385.47339098053061</v>
      </c>
      <c r="F102" s="106">
        <v>369.93823708867239</v>
      </c>
      <c r="G102" s="106">
        <v>355.66137571941749</v>
      </c>
      <c r="H102" s="106">
        <v>342.58002073349775</v>
      </c>
      <c r="I102" s="106">
        <v>330.63572404276869</v>
      </c>
    </row>
    <row r="104" spans="2:9" s="3" customFormat="1" x14ac:dyDescent="0.25">
      <c r="B104" s="150" t="s">
        <v>74</v>
      </c>
    </row>
    <row r="106" spans="2:9" ht="45" customHeight="1" x14ac:dyDescent="0.25">
      <c r="B106" s="103" t="s">
        <v>1</v>
      </c>
      <c r="C106" s="104">
        <v>2013</v>
      </c>
      <c r="D106" s="104">
        <v>2014</v>
      </c>
      <c r="E106" s="104">
        <v>2015</v>
      </c>
      <c r="F106" s="104">
        <v>2016</v>
      </c>
      <c r="G106" s="104">
        <v>2017</v>
      </c>
      <c r="H106" s="104">
        <v>2018</v>
      </c>
      <c r="I106" s="104">
        <v>2019</v>
      </c>
    </row>
    <row r="107" spans="2:9" ht="30" customHeight="1" x14ac:dyDescent="0.25">
      <c r="B107" s="105" t="s">
        <v>75</v>
      </c>
      <c r="C107" s="106">
        <v>222.36809958605352</v>
      </c>
      <c r="D107" s="106">
        <v>237.2358294753632</v>
      </c>
      <c r="E107" s="106">
        <v>275.74329831177056</v>
      </c>
      <c r="F107" s="106">
        <v>332.22558769982669</v>
      </c>
      <c r="G107" s="106">
        <v>378.6253173417677</v>
      </c>
      <c r="H107" s="106">
        <v>409.52574638590909</v>
      </c>
      <c r="I107" s="106">
        <v>420.59296344633037</v>
      </c>
    </row>
    <row r="109" spans="2:9" s="3" customFormat="1" x14ac:dyDescent="0.25">
      <c r="B109" s="150" t="s">
        <v>76</v>
      </c>
    </row>
    <row r="111" spans="2:9" ht="30" x14ac:dyDescent="0.25">
      <c r="B111" s="103" t="s">
        <v>1</v>
      </c>
      <c r="C111" s="104">
        <v>2013</v>
      </c>
      <c r="D111" s="104">
        <v>2014</v>
      </c>
      <c r="E111" s="104">
        <v>2015</v>
      </c>
      <c r="F111" s="104">
        <v>2016</v>
      </c>
      <c r="G111" s="104">
        <v>2017</v>
      </c>
    </row>
    <row r="112" spans="2:9" ht="30" x14ac:dyDescent="0.25">
      <c r="B112" s="105" t="s">
        <v>77</v>
      </c>
      <c r="C112" s="106">
        <v>260</v>
      </c>
      <c r="D112" s="106">
        <v>275</v>
      </c>
      <c r="E112" s="106">
        <v>290</v>
      </c>
      <c r="F112" s="106">
        <v>320</v>
      </c>
      <c r="G112" s="106">
        <v>350</v>
      </c>
    </row>
    <row r="114" spans="2:8" ht="30" x14ac:dyDescent="0.25">
      <c r="B114" s="103" t="s">
        <v>1</v>
      </c>
      <c r="C114" s="104">
        <v>2017</v>
      </c>
      <c r="D114" s="104">
        <v>2022</v>
      </c>
      <c r="E114" s="104">
        <v>2030</v>
      </c>
    </row>
    <row r="115" spans="2:8" ht="30" x14ac:dyDescent="0.25">
      <c r="B115" s="105" t="s">
        <v>77</v>
      </c>
      <c r="C115" s="106">
        <v>350</v>
      </c>
      <c r="D115" s="106">
        <f>1.63/3.25*1000</f>
        <v>501.53846153846149</v>
      </c>
      <c r="E115" s="106">
        <f>2.86/3.25*1000</f>
        <v>880</v>
      </c>
    </row>
    <row r="117" spans="2:8" s="3" customFormat="1" x14ac:dyDescent="0.25">
      <c r="B117" s="150" t="s">
        <v>78</v>
      </c>
      <c r="G117" s="150" t="s">
        <v>79</v>
      </c>
    </row>
    <row r="119" spans="2:8" ht="45" customHeight="1" x14ac:dyDescent="0.25">
      <c r="B119" s="103" t="s">
        <v>80</v>
      </c>
      <c r="C119" s="104">
        <v>2010</v>
      </c>
      <c r="D119" s="104">
        <v>2022</v>
      </c>
      <c r="E119" s="200" t="s">
        <v>81</v>
      </c>
      <c r="G119" s="104">
        <v>2019</v>
      </c>
      <c r="H119" s="200" t="s">
        <v>82</v>
      </c>
    </row>
    <row r="120" spans="2:8" ht="30" customHeight="1" x14ac:dyDescent="0.25">
      <c r="B120" s="105" t="s">
        <v>59</v>
      </c>
      <c r="C120" s="106">
        <v>10</v>
      </c>
      <c r="D120" s="106">
        <v>90</v>
      </c>
      <c r="E120" s="199">
        <f>(D120/C120)^(1/(D119-C119)-1)</f>
        <v>0.1334374394640003</v>
      </c>
      <c r="G120" s="106">
        <v>80</v>
      </c>
      <c r="H120" s="201">
        <f>(D120/G120)^(1/(D119-G119))-1</f>
        <v>4.0041911525952045E-2</v>
      </c>
    </row>
    <row r="121" spans="2:8" ht="30" customHeight="1" x14ac:dyDescent="0.25">
      <c r="B121" s="107" t="s">
        <v>83</v>
      </c>
      <c r="D121" s="106">
        <v>73</v>
      </c>
    </row>
    <row r="122" spans="2:8" ht="30" customHeight="1" x14ac:dyDescent="0.25">
      <c r="B122" s="198" t="s">
        <v>84</v>
      </c>
      <c r="D122" s="106">
        <v>400</v>
      </c>
    </row>
    <row r="124" spans="2:8" s="3" customFormat="1" x14ac:dyDescent="0.25">
      <c r="B124" s="150" t="s">
        <v>85</v>
      </c>
    </row>
    <row r="125" spans="2:8" x14ac:dyDescent="0.25">
      <c r="B125" s="113" t="s">
        <v>86</v>
      </c>
    </row>
    <row r="126" spans="2:8" ht="45" customHeight="1" x14ac:dyDescent="0.25">
      <c r="B126" s="103" t="s">
        <v>87</v>
      </c>
      <c r="C126" s="104">
        <v>2023</v>
      </c>
      <c r="D126" s="104">
        <v>2030</v>
      </c>
    </row>
    <row r="127" spans="2:8" ht="30" customHeight="1" x14ac:dyDescent="0.25">
      <c r="B127" s="105" t="s">
        <v>88</v>
      </c>
      <c r="C127" s="106">
        <v>450</v>
      </c>
      <c r="D127" s="106">
        <v>750</v>
      </c>
    </row>
    <row r="128" spans="2:8" ht="30" customHeight="1" x14ac:dyDescent="0.25">
      <c r="B128" s="107" t="s">
        <v>89</v>
      </c>
      <c r="C128" s="106">
        <v>450</v>
      </c>
      <c r="D128" s="106">
        <v>1500</v>
      </c>
    </row>
    <row r="129" spans="2:4" ht="30" customHeight="1" x14ac:dyDescent="0.25">
      <c r="B129" s="108" t="s">
        <v>90</v>
      </c>
      <c r="C129" s="106">
        <v>450</v>
      </c>
      <c r="D129" s="106">
        <v>2125</v>
      </c>
    </row>
    <row r="131" spans="2:4" s="3" customFormat="1" x14ac:dyDescent="0.25">
      <c r="B131" s="150" t="s">
        <v>91</v>
      </c>
    </row>
    <row r="133" spans="2:4" ht="45" customHeight="1" x14ac:dyDescent="0.25">
      <c r="B133" s="103" t="s">
        <v>1</v>
      </c>
      <c r="C133" s="104">
        <v>2023</v>
      </c>
      <c r="D133" s="104">
        <v>2030</v>
      </c>
    </row>
    <row r="134" spans="2:4" ht="30" customHeight="1" x14ac:dyDescent="0.25">
      <c r="B134" s="105" t="s">
        <v>92</v>
      </c>
      <c r="C134" s="106">
        <v>60</v>
      </c>
      <c r="D134" s="106">
        <v>150</v>
      </c>
    </row>
    <row r="136" spans="2:4" s="3" customFormat="1" x14ac:dyDescent="0.25">
      <c r="B136" s="150" t="s">
        <v>93</v>
      </c>
    </row>
    <row r="138" spans="2:4" ht="45" customHeight="1" x14ac:dyDescent="0.25">
      <c r="B138" s="103" t="s">
        <v>94</v>
      </c>
      <c r="C138" s="104">
        <v>2023</v>
      </c>
      <c r="D138" s="104">
        <v>2030</v>
      </c>
    </row>
    <row r="139" spans="2:4" ht="30" customHeight="1" x14ac:dyDescent="0.25">
      <c r="B139" s="105" t="s">
        <v>95</v>
      </c>
      <c r="C139" s="106">
        <v>55</v>
      </c>
      <c r="D139" s="106">
        <v>171</v>
      </c>
    </row>
    <row r="140" spans="2:4" ht="30" customHeight="1" x14ac:dyDescent="0.25">
      <c r="B140" s="107" t="s">
        <v>96</v>
      </c>
      <c r="C140" s="106">
        <v>55</v>
      </c>
      <c r="D140" s="106">
        <v>219</v>
      </c>
    </row>
    <row r="141" spans="2:4" ht="30" customHeight="1" x14ac:dyDescent="0.25">
      <c r="B141" s="108" t="s">
        <v>97</v>
      </c>
      <c r="C141" s="106">
        <v>55</v>
      </c>
      <c r="D141" s="106">
        <v>298</v>
      </c>
    </row>
    <row r="143" spans="2:4" s="3" customFormat="1" x14ac:dyDescent="0.25">
      <c r="B143" s="150" t="s">
        <v>98</v>
      </c>
    </row>
    <row r="145" spans="2:10" ht="45" customHeight="1" x14ac:dyDescent="0.25">
      <c r="B145" s="103" t="s">
        <v>99</v>
      </c>
      <c r="C145" s="104">
        <v>2019</v>
      </c>
      <c r="D145" s="104">
        <v>2020</v>
      </c>
      <c r="E145" s="104">
        <v>2021</v>
      </c>
      <c r="F145" s="104">
        <v>2022</v>
      </c>
      <c r="G145" s="104">
        <v>2023</v>
      </c>
      <c r="H145" s="104">
        <v>2024</v>
      </c>
      <c r="I145" s="104">
        <v>2030</v>
      </c>
      <c r="J145" s="167" t="s">
        <v>100</v>
      </c>
    </row>
    <row r="146" spans="2:10" ht="30" customHeight="1" x14ac:dyDescent="0.25">
      <c r="B146" s="105" t="s">
        <v>101</v>
      </c>
      <c r="C146" s="106">
        <v>54.63</v>
      </c>
      <c r="D146" s="106">
        <v>67.14</v>
      </c>
      <c r="E146" s="106">
        <v>89</v>
      </c>
      <c r="F146" s="106">
        <v>95.5</v>
      </c>
      <c r="G146" s="106">
        <v>121.13</v>
      </c>
      <c r="H146" s="106">
        <v>121.13</v>
      </c>
      <c r="I146" s="106">
        <v>121.13</v>
      </c>
      <c r="J146" s="166">
        <f>(G146/C146)^(1/(G145-C145))-1</f>
        <v>0.22026773752446704</v>
      </c>
    </row>
    <row r="148" spans="2:10" ht="45" customHeight="1" x14ac:dyDescent="0.25">
      <c r="B148" s="103" t="s">
        <v>102</v>
      </c>
      <c r="C148" s="104">
        <v>2022</v>
      </c>
      <c r="D148" s="104">
        <v>2023</v>
      </c>
      <c r="E148" s="104">
        <v>2024</v>
      </c>
    </row>
    <row r="149" spans="2:10" ht="30" customHeight="1" x14ac:dyDescent="0.25">
      <c r="B149" s="105" t="s">
        <v>103</v>
      </c>
      <c r="C149" s="106"/>
      <c r="D149" s="106">
        <v>70</v>
      </c>
      <c r="E149" s="106">
        <v>130</v>
      </c>
    </row>
    <row r="150" spans="2:10" ht="30" customHeight="1" x14ac:dyDescent="0.25">
      <c r="B150" s="107" t="s">
        <v>104</v>
      </c>
      <c r="C150" s="106"/>
      <c r="D150" s="106">
        <v>35</v>
      </c>
      <c r="E150" s="106"/>
    </row>
    <row r="151" spans="2:10" ht="30" customHeight="1" x14ac:dyDescent="0.25">
      <c r="B151" s="108" t="s">
        <v>37</v>
      </c>
      <c r="C151" s="106">
        <v>110</v>
      </c>
      <c r="D151" s="106"/>
      <c r="E151" s="106"/>
    </row>
    <row r="152" spans="2:10" ht="30" customHeight="1" x14ac:dyDescent="0.25">
      <c r="B152" s="105" t="s">
        <v>105</v>
      </c>
      <c r="C152" s="106">
        <v>125</v>
      </c>
      <c r="D152" s="106"/>
      <c r="E152" s="106"/>
    </row>
    <row r="153" spans="2:10" ht="30" customHeight="1" x14ac:dyDescent="0.25">
      <c r="B153" s="107" t="s">
        <v>4</v>
      </c>
      <c r="C153" s="106"/>
      <c r="D153" s="106">
        <v>125</v>
      </c>
      <c r="E153" s="106"/>
    </row>
    <row r="154" spans="2:10" ht="30" customHeight="1" x14ac:dyDescent="0.25">
      <c r="B154" s="108" t="s">
        <v>106</v>
      </c>
      <c r="C154" s="106"/>
      <c r="D154" s="106" t="s">
        <v>107</v>
      </c>
      <c r="E154" s="106"/>
    </row>
    <row r="156" spans="2:10" s="3" customFormat="1" x14ac:dyDescent="0.25">
      <c r="B156" s="150" t="s">
        <v>108</v>
      </c>
    </row>
    <row r="158" spans="2:10" x14ac:dyDescent="0.25">
      <c r="B158" s="113"/>
    </row>
    <row r="159" spans="2:10" x14ac:dyDescent="0.25">
      <c r="B159" s="113"/>
    </row>
    <row r="160" spans="2:10" x14ac:dyDescent="0.25">
      <c r="B160" s="1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1B43-8B32-4A17-B733-F92C038A54D9}">
  <dimension ref="B2:V4"/>
  <sheetViews>
    <sheetView zoomScale="60" zoomScaleNormal="60" workbookViewId="0">
      <selection activeCell="V4" sqref="V4"/>
    </sheetView>
  </sheetViews>
  <sheetFormatPr baseColWidth="10" defaultColWidth="11.42578125" defaultRowHeight="15" x14ac:dyDescent="0.25"/>
  <cols>
    <col min="1" max="1" width="3.140625" customWidth="1"/>
    <col min="2" max="2" width="35.42578125" customWidth="1"/>
    <col min="3" max="22" width="7.42578125" customWidth="1"/>
  </cols>
  <sheetData>
    <row r="2" spans="2:22" ht="30" customHeight="1" x14ac:dyDescent="0.25">
      <c r="B2" s="95" t="s">
        <v>166</v>
      </c>
      <c r="C2" s="96">
        <v>2005</v>
      </c>
      <c r="D2" s="96">
        <v>2006</v>
      </c>
      <c r="E2" s="96">
        <v>2007</v>
      </c>
      <c r="F2" s="96">
        <v>2008</v>
      </c>
      <c r="G2" s="96">
        <v>2009</v>
      </c>
      <c r="H2" s="96">
        <v>2010</v>
      </c>
      <c r="I2" s="96">
        <v>2011</v>
      </c>
      <c r="J2" s="96">
        <v>2012</v>
      </c>
      <c r="K2" s="96">
        <v>2013</v>
      </c>
      <c r="L2" s="96">
        <v>2014</v>
      </c>
      <c r="M2" s="96">
        <v>2015</v>
      </c>
      <c r="N2" s="96">
        <v>2016</v>
      </c>
      <c r="O2" s="96">
        <v>2017</v>
      </c>
      <c r="P2" s="96">
        <v>2018</v>
      </c>
      <c r="Q2" s="96">
        <v>2019</v>
      </c>
      <c r="R2" s="96">
        <v>2020</v>
      </c>
      <c r="S2" s="96">
        <v>2021</v>
      </c>
      <c r="T2" s="96">
        <v>2022</v>
      </c>
      <c r="U2" s="96">
        <v>2023</v>
      </c>
      <c r="V2" s="96">
        <v>2024</v>
      </c>
    </row>
    <row r="3" spans="2:22" s="11" customFormat="1" ht="30" customHeight="1" x14ac:dyDescent="0.25">
      <c r="B3" s="97" t="s">
        <v>167</v>
      </c>
      <c r="C3" s="98">
        <v>120</v>
      </c>
      <c r="D3" s="98">
        <v>125</v>
      </c>
      <c r="E3" s="98">
        <v>130</v>
      </c>
      <c r="F3" s="98">
        <v>135</v>
      </c>
      <c r="G3" s="98">
        <v>140</v>
      </c>
      <c r="H3" s="98">
        <v>145</v>
      </c>
      <c r="I3" s="98">
        <v>150</v>
      </c>
      <c r="J3" s="98">
        <v>155</v>
      </c>
      <c r="K3" s="98">
        <v>160</v>
      </c>
      <c r="L3" s="98">
        <v>165</v>
      </c>
      <c r="M3" s="98">
        <v>170</v>
      </c>
      <c r="N3" s="98">
        <v>180</v>
      </c>
      <c r="O3" s="98">
        <v>190</v>
      </c>
      <c r="P3" s="98">
        <v>210</v>
      </c>
      <c r="Q3" s="98">
        <v>230</v>
      </c>
      <c r="R3" s="98">
        <v>260</v>
      </c>
      <c r="S3" s="98">
        <v>300</v>
      </c>
      <c r="T3" s="98">
        <v>340</v>
      </c>
      <c r="U3" s="98">
        <v>380</v>
      </c>
      <c r="V3" s="98">
        <v>420</v>
      </c>
    </row>
    <row r="4" spans="2:22" s="11" customFormat="1" ht="30" customHeight="1" x14ac:dyDescent="0.25">
      <c r="B4" s="101" t="s">
        <v>168</v>
      </c>
      <c r="C4" s="99"/>
      <c r="D4" s="99"/>
      <c r="E4" s="99"/>
      <c r="F4" s="99"/>
      <c r="G4" s="99"/>
      <c r="H4" s="100">
        <f>(H3/C3)^(1/(H2-C2))-1</f>
        <v>3.8573773084258578E-2</v>
      </c>
      <c r="I4" s="100">
        <f t="shared" ref="I4:V4" si="0">(I3/D3)^(1/(I2-D2))-1</f>
        <v>3.7137289336648172E-2</v>
      </c>
      <c r="J4" s="100">
        <f t="shared" si="0"/>
        <v>3.5804203580214189E-2</v>
      </c>
      <c r="K4" s="100">
        <f t="shared" si="0"/>
        <v>3.4563715943573214E-2</v>
      </c>
      <c r="L4" s="100">
        <f t="shared" si="0"/>
        <v>3.3406482938779236E-2</v>
      </c>
      <c r="M4" s="100">
        <f t="shared" si="0"/>
        <v>3.2324379535307868E-2</v>
      </c>
      <c r="N4" s="100">
        <f t="shared" si="0"/>
        <v>3.7137289336648172E-2</v>
      </c>
      <c r="O4" s="100">
        <f t="shared" si="0"/>
        <v>4.1560210156864175E-2</v>
      </c>
      <c r="P4" s="100">
        <f t="shared" si="0"/>
        <v>5.5892882483376871E-2</v>
      </c>
      <c r="Q4" s="100">
        <f t="shared" si="0"/>
        <v>6.8682698374176177E-2</v>
      </c>
      <c r="R4" s="100">
        <f t="shared" si="0"/>
        <v>8.8691633250776114E-2</v>
      </c>
      <c r="S4" s="100">
        <f t="shared" si="0"/>
        <v>0.10756634324829006</v>
      </c>
      <c r="T4" s="100">
        <f t="shared" si="0"/>
        <v>0.1234275325950922</v>
      </c>
      <c r="U4" s="100">
        <f t="shared" si="0"/>
        <v>0.12593380967869239</v>
      </c>
      <c r="V4" s="100">
        <f t="shared" si="0"/>
        <v>0.12798751017068111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7DBC-E508-47DA-9E28-3A6012529227}">
  <dimension ref="A2:E30"/>
  <sheetViews>
    <sheetView zoomScale="70" zoomScaleNormal="70" workbookViewId="0">
      <selection activeCell="B2" sqref="B2"/>
    </sheetView>
  </sheetViews>
  <sheetFormatPr baseColWidth="10" defaultColWidth="11.42578125" defaultRowHeight="15" x14ac:dyDescent="0.25"/>
  <cols>
    <col min="1" max="1" width="5.7109375" customWidth="1"/>
    <col min="2" max="2" width="73.42578125" customWidth="1"/>
    <col min="3" max="3" width="21.28515625" style="174" customWidth="1"/>
    <col min="4" max="4" width="16.42578125" customWidth="1"/>
  </cols>
  <sheetData>
    <row r="2" spans="2:5" x14ac:dyDescent="0.25">
      <c r="B2" s="149" t="s">
        <v>169</v>
      </c>
    </row>
    <row r="3" spans="2:5" x14ac:dyDescent="0.25">
      <c r="B3" s="149"/>
    </row>
    <row r="4" spans="2:5" ht="45" x14ac:dyDescent="0.25">
      <c r="B4" s="103"/>
      <c r="C4" s="173" t="s">
        <v>170</v>
      </c>
      <c r="D4" s="173" t="s">
        <v>171</v>
      </c>
      <c r="E4" s="165" t="s">
        <v>172</v>
      </c>
    </row>
    <row r="5" spans="2:5" x14ac:dyDescent="0.25">
      <c r="B5" s="105" t="s">
        <v>173</v>
      </c>
      <c r="C5" s="197">
        <f>'0 - Refs hors TSP'!C5</f>
        <v>176</v>
      </c>
      <c r="D5" s="177">
        <f>C5</f>
        <v>176</v>
      </c>
      <c r="E5" s="165" t="s">
        <v>174</v>
      </c>
    </row>
    <row r="6" spans="2:5" ht="15" customHeight="1" x14ac:dyDescent="0.25">
      <c r="B6" s="107" t="s">
        <v>175</v>
      </c>
      <c r="C6" s="197">
        <f>90*(1+0.04)</f>
        <v>93.600000000000009</v>
      </c>
      <c r="D6" s="177">
        <f t="shared" ref="D6:D7" si="0">C6</f>
        <v>93.600000000000009</v>
      </c>
      <c r="E6" s="165" t="s">
        <v>176</v>
      </c>
    </row>
    <row r="7" spans="2:5" x14ac:dyDescent="0.25">
      <c r="B7" s="189" t="s">
        <v>177</v>
      </c>
      <c r="C7" s="197">
        <v>130</v>
      </c>
      <c r="D7" s="197">
        <f t="shared" si="0"/>
        <v>130</v>
      </c>
      <c r="E7" s="165" t="s">
        <v>178</v>
      </c>
    </row>
    <row r="8" spans="2:5" x14ac:dyDescent="0.25">
      <c r="B8" s="108" t="s">
        <v>179</v>
      </c>
      <c r="C8" s="177">
        <v>54</v>
      </c>
      <c r="D8" s="197">
        <v>62</v>
      </c>
      <c r="E8" s="165" t="s">
        <v>180</v>
      </c>
    </row>
    <row r="9" spans="2:5" x14ac:dyDescent="0.25">
      <c r="B9" s="109" t="s">
        <v>181</v>
      </c>
      <c r="C9" s="177">
        <v>5</v>
      </c>
      <c r="D9" s="197">
        <v>14</v>
      </c>
      <c r="E9" s="165" t="s">
        <v>182</v>
      </c>
    </row>
    <row r="10" spans="2:5" x14ac:dyDescent="0.25">
      <c r="B10" s="105" t="s">
        <v>183</v>
      </c>
      <c r="C10" s="177">
        <v>1.5</v>
      </c>
      <c r="D10" s="197">
        <v>12</v>
      </c>
      <c r="E10" s="165" t="s">
        <v>184</v>
      </c>
    </row>
    <row r="11" spans="2:5" x14ac:dyDescent="0.25">
      <c r="B11" s="107" t="s">
        <v>185</v>
      </c>
      <c r="C11" s="177">
        <v>1.3</v>
      </c>
      <c r="D11" s="197">
        <v>7</v>
      </c>
      <c r="E11" s="165" t="s">
        <v>186</v>
      </c>
    </row>
    <row r="12" spans="2:5" x14ac:dyDescent="0.25">
      <c r="B12" s="189" t="s">
        <v>187</v>
      </c>
      <c r="C12" s="177">
        <v>1.3</v>
      </c>
      <c r="D12" s="197">
        <v>9</v>
      </c>
      <c r="E12" s="165" t="s">
        <v>188</v>
      </c>
    </row>
    <row r="13" spans="2:5" x14ac:dyDescent="0.25">
      <c r="B13" s="108" t="s">
        <v>189</v>
      </c>
      <c r="C13" s="177">
        <v>10</v>
      </c>
      <c r="D13" s="197">
        <v>25</v>
      </c>
      <c r="E13" s="165" t="s">
        <v>190</v>
      </c>
    </row>
    <row r="14" spans="2:5" x14ac:dyDescent="0.25">
      <c r="B14" s="109" t="s">
        <v>191</v>
      </c>
      <c r="C14" s="177">
        <f>SUM(C5:C13)</f>
        <v>472.70000000000005</v>
      </c>
      <c r="D14" s="177">
        <f>SUM(D5:D13)</f>
        <v>528.6</v>
      </c>
    </row>
    <row r="16" spans="2:5" x14ac:dyDescent="0.25">
      <c r="B16" s="149" t="s">
        <v>192</v>
      </c>
    </row>
    <row r="18" spans="1:4" x14ac:dyDescent="0.25">
      <c r="B18" s="181" t="s">
        <v>193</v>
      </c>
      <c r="C18" s="173">
        <v>2023</v>
      </c>
    </row>
    <row r="19" spans="1:4" x14ac:dyDescent="0.25">
      <c r="B19" s="188" t="s">
        <v>194</v>
      </c>
      <c r="C19" s="177">
        <v>530</v>
      </c>
    </row>
    <row r="20" spans="1:4" x14ac:dyDescent="0.25">
      <c r="B20" s="178" t="s">
        <v>195</v>
      </c>
      <c r="C20" s="175">
        <v>40</v>
      </c>
    </row>
    <row r="21" spans="1:4" x14ac:dyDescent="0.25">
      <c r="B21" s="179" t="s">
        <v>196</v>
      </c>
      <c r="C21" s="175">
        <v>150</v>
      </c>
    </row>
    <row r="22" spans="1:4" x14ac:dyDescent="0.25">
      <c r="B22" s="180" t="s">
        <v>197</v>
      </c>
      <c r="C22" s="187">
        <f>C19-C20-C21</f>
        <v>340</v>
      </c>
    </row>
    <row r="24" spans="1:4" x14ac:dyDescent="0.25">
      <c r="B24" s="149" t="s">
        <v>198</v>
      </c>
      <c r="C24" s="176"/>
      <c r="D24" s="92"/>
    </row>
    <row r="25" spans="1:4" x14ac:dyDescent="0.25">
      <c r="A25" s="89"/>
      <c r="B25" s="88"/>
      <c r="C25" s="176"/>
      <c r="D25" s="92"/>
    </row>
    <row r="26" spans="1:4" x14ac:dyDescent="0.25">
      <c r="A26" s="88"/>
      <c r="B26" s="182" t="s">
        <v>199</v>
      </c>
      <c r="C26" s="171">
        <v>2023</v>
      </c>
      <c r="D26" s="88"/>
    </row>
    <row r="27" spans="1:4" x14ac:dyDescent="0.25">
      <c r="A27" s="88"/>
      <c r="B27" s="183" t="s">
        <v>200</v>
      </c>
      <c r="C27" s="172">
        <f>C22+C20</f>
        <v>380</v>
      </c>
      <c r="D27" s="88"/>
    </row>
    <row r="28" spans="1:4" x14ac:dyDescent="0.25">
      <c r="A28" s="88"/>
      <c r="B28" s="184" t="s">
        <v>201</v>
      </c>
      <c r="C28" s="172">
        <f>'0 - Refs hors TSP'!D11</f>
        <v>361</v>
      </c>
      <c r="D28" s="91"/>
    </row>
    <row r="29" spans="1:4" x14ac:dyDescent="0.25">
      <c r="A29" s="88"/>
      <c r="B29" s="185" t="s">
        <v>202</v>
      </c>
      <c r="C29" s="172">
        <f>'0 - Refs hors TSP'!D153</f>
        <v>125</v>
      </c>
      <c r="D29" s="170" t="s">
        <v>203</v>
      </c>
    </row>
    <row r="30" spans="1:4" x14ac:dyDescent="0.25">
      <c r="A30" s="88"/>
      <c r="B30" s="186" t="s">
        <v>204</v>
      </c>
      <c r="C30" s="172" t="s">
        <v>205</v>
      </c>
      <c r="D30" s="8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31370-DB26-475C-813A-5FE79999FB38}">
  <dimension ref="B2:S11"/>
  <sheetViews>
    <sheetView zoomScale="40" zoomScaleNormal="40" workbookViewId="0">
      <selection activeCell="L4" sqref="L4"/>
    </sheetView>
  </sheetViews>
  <sheetFormatPr baseColWidth="10" defaultColWidth="11.42578125" defaultRowHeight="15" x14ac:dyDescent="0.25"/>
  <cols>
    <col min="2" max="2" width="43.42578125" customWidth="1"/>
    <col min="16" max="17" width="12.42578125" customWidth="1"/>
    <col min="18" max="18" width="13.85546875" customWidth="1"/>
    <col min="19" max="19" width="162.7109375" customWidth="1"/>
  </cols>
  <sheetData>
    <row r="2" spans="2:19" ht="30" customHeight="1" x14ac:dyDescent="0.25">
      <c r="B2" s="113"/>
      <c r="C2" s="96">
        <v>2023</v>
      </c>
      <c r="D2" s="96">
        <v>2024</v>
      </c>
      <c r="E2" s="96">
        <v>2025</v>
      </c>
      <c r="F2" s="96">
        <v>2026</v>
      </c>
      <c r="G2" s="96">
        <v>2027</v>
      </c>
      <c r="H2" s="96">
        <v>2028</v>
      </c>
      <c r="I2" s="96">
        <v>2029</v>
      </c>
      <c r="J2" s="96">
        <v>2030</v>
      </c>
      <c r="K2" s="96">
        <v>2031</v>
      </c>
      <c r="L2" s="96">
        <v>2032</v>
      </c>
      <c r="M2" s="96">
        <v>2033</v>
      </c>
      <c r="N2" s="96">
        <v>2034</v>
      </c>
      <c r="O2" s="96">
        <v>2035</v>
      </c>
      <c r="P2" s="96" t="s">
        <v>206</v>
      </c>
      <c r="Q2" s="96" t="s">
        <v>207</v>
      </c>
      <c r="R2" s="96" t="s">
        <v>208</v>
      </c>
    </row>
    <row r="3" spans="2:19" ht="30" customHeight="1" x14ac:dyDescent="0.25">
      <c r="B3" s="158" t="s">
        <v>197</v>
      </c>
      <c r="C3" s="98">
        <f>'2 - Conso élec état des lieux'!C22</f>
        <v>340</v>
      </c>
      <c r="D3" s="98">
        <f>C3*(1+$P$3)</f>
        <v>367.20000000000005</v>
      </c>
      <c r="E3" s="98">
        <f t="shared" ref="E3:J3" si="0">D3*(1+$P$3)</f>
        <v>396.57600000000008</v>
      </c>
      <c r="F3" s="98">
        <f t="shared" si="0"/>
        <v>428.3020800000001</v>
      </c>
      <c r="G3" s="98">
        <f t="shared" si="0"/>
        <v>462.56624640000013</v>
      </c>
      <c r="H3" s="98">
        <f t="shared" si="0"/>
        <v>499.57154611200019</v>
      </c>
      <c r="I3" s="98">
        <f t="shared" si="0"/>
        <v>539.53726980096019</v>
      </c>
      <c r="J3" s="98">
        <f t="shared" si="0"/>
        <v>582.70025138503706</v>
      </c>
      <c r="K3" s="98">
        <f>J3*(1+$Q$3)</f>
        <v>629.31627149584006</v>
      </c>
      <c r="L3" s="98">
        <f t="shared" ref="L3:O3" si="1">K3*(1+$Q$3)</f>
        <v>679.66157321550736</v>
      </c>
      <c r="M3" s="98">
        <f t="shared" si="1"/>
        <v>734.03449907274796</v>
      </c>
      <c r="N3" s="98">
        <f t="shared" si="1"/>
        <v>792.75725899856786</v>
      </c>
      <c r="O3" s="98">
        <f t="shared" si="1"/>
        <v>856.17783971845336</v>
      </c>
      <c r="P3" s="163">
        <v>0.08</v>
      </c>
      <c r="Q3" s="163">
        <v>0.08</v>
      </c>
      <c r="R3" s="161"/>
      <c r="S3" s="168" t="s">
        <v>209</v>
      </c>
    </row>
    <row r="4" spans="2:19" ht="30" customHeight="1" x14ac:dyDescent="0.25">
      <c r="B4" s="123" t="s">
        <v>195</v>
      </c>
      <c r="C4" s="160">
        <f>'2 - Conso élec état des lieux'!C20</f>
        <v>40</v>
      </c>
      <c r="D4" s="160">
        <f>C4*(1+$P$4)</f>
        <v>58</v>
      </c>
      <c r="E4" s="160">
        <f t="shared" ref="E4:J4" si="2">D4*(1+$P$4)</f>
        <v>84.1</v>
      </c>
      <c r="F4" s="160">
        <f t="shared" si="2"/>
        <v>121.94499999999999</v>
      </c>
      <c r="G4" s="160">
        <f t="shared" si="2"/>
        <v>176.82024999999999</v>
      </c>
      <c r="H4" s="160">
        <f t="shared" si="2"/>
        <v>256.38936249999995</v>
      </c>
      <c r="I4" s="160">
        <f t="shared" si="2"/>
        <v>371.76457562499991</v>
      </c>
      <c r="J4" s="160">
        <f t="shared" si="2"/>
        <v>539.05863465624986</v>
      </c>
      <c r="K4" s="160">
        <f>J4*(1+$Q$4)</f>
        <v>649.6103249738743</v>
      </c>
      <c r="L4" s="160">
        <f t="shared" ref="L4:O4" si="3">K4*(1+$Q$4)</f>
        <v>782.83427290198586</v>
      </c>
      <c r="M4" s="160">
        <f t="shared" si="3"/>
        <v>943.38017003443929</v>
      </c>
      <c r="N4" s="160">
        <f t="shared" si="3"/>
        <v>1136.8512800481783</v>
      </c>
      <c r="O4" s="160">
        <f t="shared" si="3"/>
        <v>1369.9999999999998</v>
      </c>
      <c r="P4" s="163">
        <v>0.45</v>
      </c>
      <c r="Q4" s="163">
        <v>0.20508286707645773</v>
      </c>
      <c r="R4" s="162"/>
      <c r="S4" s="168" t="s">
        <v>210</v>
      </c>
    </row>
    <row r="5" spans="2:19" ht="30" customHeight="1" x14ac:dyDescent="0.25">
      <c r="B5" s="157" t="s">
        <v>196</v>
      </c>
      <c r="C5" s="98">
        <f>'2 - Conso élec état des lieux'!C21</f>
        <v>150</v>
      </c>
      <c r="D5" s="98">
        <f>C5*(1+$P$5)</f>
        <v>173.7</v>
      </c>
      <c r="E5" s="98">
        <f t="shared" ref="E5:J5" si="4">D5*(1+$P$5)</f>
        <v>201.14459999999997</v>
      </c>
      <c r="F5" s="98">
        <f t="shared" si="4"/>
        <v>232.92544679999995</v>
      </c>
      <c r="G5" s="98">
        <f t="shared" si="4"/>
        <v>269.72766739439993</v>
      </c>
      <c r="H5" s="98">
        <f t="shared" si="4"/>
        <v>312.34463884271509</v>
      </c>
      <c r="I5" s="98">
        <f t="shared" si="4"/>
        <v>361.69509177986401</v>
      </c>
      <c r="J5" s="98">
        <f t="shared" si="4"/>
        <v>418.84291628108252</v>
      </c>
      <c r="K5" s="98">
        <f>J5*(1+$P$5)</f>
        <v>485.02009705349354</v>
      </c>
      <c r="L5" s="98">
        <f t="shared" ref="L5:O5" si="5">K5*(1+$P$5)</f>
        <v>561.65327238794544</v>
      </c>
      <c r="M5" s="98">
        <f t="shared" si="5"/>
        <v>650.39448942524075</v>
      </c>
      <c r="N5" s="98">
        <f t="shared" si="5"/>
        <v>753.15681875442874</v>
      </c>
      <c r="O5" s="98">
        <f t="shared" si="5"/>
        <v>872.15559611762842</v>
      </c>
      <c r="P5" s="163">
        <v>0.158</v>
      </c>
      <c r="Q5" s="163">
        <v>0.158</v>
      </c>
      <c r="R5" s="161"/>
      <c r="S5" s="168" t="s">
        <v>211</v>
      </c>
    </row>
    <row r="6" spans="2:19" ht="30" customHeight="1" x14ac:dyDescent="0.25">
      <c r="B6" s="159" t="s">
        <v>153</v>
      </c>
      <c r="C6" s="98">
        <f t="shared" ref="C6:O6" si="6">SUM(C3:C5)</f>
        <v>530</v>
      </c>
      <c r="D6" s="98">
        <f t="shared" si="6"/>
        <v>598.90000000000009</v>
      </c>
      <c r="E6" s="98">
        <f t="shared" si="6"/>
        <v>681.82060000000001</v>
      </c>
      <c r="F6" s="98">
        <f t="shared" si="6"/>
        <v>783.17252680000001</v>
      </c>
      <c r="G6" s="98">
        <f t="shared" si="6"/>
        <v>909.11416379440016</v>
      </c>
      <c r="H6" s="98">
        <f t="shared" si="6"/>
        <v>1068.3055474547152</v>
      </c>
      <c r="I6" s="98">
        <f t="shared" si="6"/>
        <v>1272.996937205824</v>
      </c>
      <c r="J6" s="98">
        <f t="shared" si="6"/>
        <v>1540.6018023223696</v>
      </c>
      <c r="K6" s="98">
        <f t="shared" si="6"/>
        <v>1763.9466935232078</v>
      </c>
      <c r="L6" s="98">
        <f t="shared" si="6"/>
        <v>2024.1491185054388</v>
      </c>
      <c r="M6" s="98">
        <f t="shared" si="6"/>
        <v>2327.8091585324282</v>
      </c>
      <c r="N6" s="98">
        <f t="shared" si="6"/>
        <v>2682.765357801175</v>
      </c>
      <c r="O6" s="98">
        <f t="shared" si="6"/>
        <v>3098.3334358360817</v>
      </c>
      <c r="P6" s="161"/>
      <c r="Q6" s="161"/>
      <c r="R6" s="141">
        <f>(O6/C6)^(1/(O2-C2))-1</f>
        <v>0.15852219121640743</v>
      </c>
    </row>
    <row r="7" spans="2:19" ht="15" customHeight="1" x14ac:dyDescent="0.25">
      <c r="J7">
        <f>J6/C6</f>
        <v>2.9067958534384331</v>
      </c>
    </row>
    <row r="8" spans="2:19" ht="30" customHeight="1" x14ac:dyDescent="0.25">
      <c r="B8" s="113"/>
      <c r="C8" s="96">
        <v>2023</v>
      </c>
      <c r="D8" s="96">
        <v>2024</v>
      </c>
      <c r="E8" s="96">
        <v>2025</v>
      </c>
      <c r="F8" s="96">
        <v>2026</v>
      </c>
      <c r="G8" s="96">
        <v>2027</v>
      </c>
      <c r="H8" s="96">
        <v>2028</v>
      </c>
      <c r="I8" s="96">
        <v>2029</v>
      </c>
      <c r="J8" s="96">
        <v>2030</v>
      </c>
      <c r="K8" s="96">
        <v>2031</v>
      </c>
      <c r="L8" s="96">
        <v>2032</v>
      </c>
      <c r="M8" s="96">
        <v>2033</v>
      </c>
      <c r="N8" s="96">
        <v>2034</v>
      </c>
      <c r="O8" s="96">
        <v>2035</v>
      </c>
      <c r="P8" s="96" t="s">
        <v>212</v>
      </c>
      <c r="S8" s="164"/>
    </row>
    <row r="9" spans="2:19" ht="45" customHeight="1" x14ac:dyDescent="0.25">
      <c r="B9" s="123" t="s">
        <v>213</v>
      </c>
      <c r="C9" s="98">
        <v>530</v>
      </c>
      <c r="D9" s="98">
        <f t="shared" ref="D9:O9" si="7">C9*(1+$R$6)</f>
        <v>614.01676134469596</v>
      </c>
      <c r="E9" s="98">
        <f t="shared" si="7"/>
        <v>711.35204379665902</v>
      </c>
      <c r="F9" s="98">
        <f t="shared" si="7"/>
        <v>824.11712850557524</v>
      </c>
      <c r="G9" s="98">
        <f t="shared" si="7"/>
        <v>954.75798153525261</v>
      </c>
      <c r="H9" s="98">
        <f t="shared" si="7"/>
        <v>1106.1083088495752</v>
      </c>
      <c r="I9" s="98">
        <f t="shared" si="7"/>
        <v>1281.4510216910846</v>
      </c>
      <c r="J9" s="98">
        <f t="shared" si="7"/>
        <v>1484.5894455860594</v>
      </c>
      <c r="K9" s="98">
        <f t="shared" si="7"/>
        <v>1719.929817557113</v>
      </c>
      <c r="L9" s="98">
        <f t="shared" si="7"/>
        <v>1992.5768609747024</v>
      </c>
      <c r="M9" s="98">
        <f t="shared" si="7"/>
        <v>2308.444511143523</v>
      </c>
      <c r="N9" s="98">
        <f t="shared" si="7"/>
        <v>2674.3841933514827</v>
      </c>
      <c r="O9" s="98">
        <f t="shared" si="7"/>
        <v>3098.3334358360839</v>
      </c>
      <c r="P9" s="141">
        <f>R6</f>
        <v>0.15852219121640743</v>
      </c>
    </row>
    <row r="10" spans="2:19" ht="45" customHeight="1" x14ac:dyDescent="0.25">
      <c r="B10" s="147" t="s">
        <v>214</v>
      </c>
      <c r="C10" s="160">
        <f>C6</f>
        <v>530</v>
      </c>
      <c r="D10" s="160">
        <f>C10*(1+'1 - Taux de croissance hist'!$V$4)</f>
        <v>597.833380390461</v>
      </c>
      <c r="E10" s="160">
        <f>D10*(1+'1 - Taux de croissance hist'!$V$4)</f>
        <v>674.34858624355775</v>
      </c>
      <c r="F10" s="160">
        <f>E10*(1+'1 - Taux de croissance hist'!$V$4)</f>
        <v>760.65678278398957</v>
      </c>
      <c r="G10" s="160">
        <f>F10*(1+'1 - Taux de croissance hist'!$V$4)</f>
        <v>858.01135050695302</v>
      </c>
      <c r="H10" s="160">
        <f>G10*(1+'1 - Taux de croissance hist'!$V$4)</f>
        <v>967.82608695652152</v>
      </c>
      <c r="I10" s="160">
        <f>H10*(1+'1 - Taux de croissance hist'!$V$4)</f>
        <v>1091.6957381043198</v>
      </c>
      <c r="J10" s="160">
        <f>I10*(1+'1 - Taux de croissance hist'!$V$4)</f>
        <v>1231.4191574882357</v>
      </c>
      <c r="K10" s="160">
        <f>J10*(1+'1 - Taux de croissance hist'!$V$4)</f>
        <v>1389.0254294316328</v>
      </c>
      <c r="L10" s="160">
        <f>K10*(1+'1 - Taux de croissance hist'!$V$4)</f>
        <v>1566.8033357083486</v>
      </c>
      <c r="M10" s="160">
        <f>L10*(1+'1 - Taux de croissance hist'!$V$4)</f>
        <v>1767.334593572778</v>
      </c>
      <c r="N10" s="160">
        <f>M10*(1+'1 - Taux de croissance hist'!$V$4)</f>
        <v>1993.5313478426704</v>
      </c>
      <c r="O10" s="160">
        <f>N10*(1+'1 - Taux de croissance hist'!$V$4)</f>
        <v>2248.6784615002557</v>
      </c>
      <c r="P10" s="163">
        <f>'1 - Taux de croissance hist'!V4</f>
        <v>0.12798751017068111</v>
      </c>
    </row>
    <row r="11" spans="2:19" x14ac:dyDescent="0.25">
      <c r="J11">
        <f>J10/C10</f>
        <v>2.3234323726193127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71"/>
  <sheetViews>
    <sheetView zoomScale="90" zoomScaleNormal="90" workbookViewId="0">
      <selection activeCell="AD64" sqref="AD64"/>
    </sheetView>
  </sheetViews>
  <sheetFormatPr baseColWidth="10" defaultColWidth="11.42578125" defaultRowHeight="15" x14ac:dyDescent="0.25"/>
  <cols>
    <col min="2" max="2" width="38.7109375" customWidth="1"/>
  </cols>
  <sheetData>
    <row r="2" spans="2:18" ht="30" customHeight="1" x14ac:dyDescent="0.25">
      <c r="B2" s="261" t="str">
        <f>'3 - Conso élec TWh monde'!B9</f>
        <v>Scénario exploratoire de déploiement indifférencié de l'offre de calcul et de son adoption généralisée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</row>
    <row r="3" spans="2:18" s="12" customFormat="1" ht="45" customHeight="1" x14ac:dyDescent="0.25">
      <c r="B3" s="145" t="s">
        <v>215</v>
      </c>
      <c r="C3" s="259">
        <v>2020</v>
      </c>
      <c r="D3" s="259">
        <v>2021</v>
      </c>
      <c r="E3" s="259">
        <v>2022</v>
      </c>
      <c r="F3" s="259">
        <v>2023</v>
      </c>
      <c r="G3" s="259">
        <v>2024</v>
      </c>
      <c r="H3" s="259">
        <v>2025</v>
      </c>
      <c r="I3" s="260">
        <v>2026</v>
      </c>
      <c r="J3" s="260">
        <v>2027</v>
      </c>
      <c r="K3" s="260">
        <v>2028</v>
      </c>
      <c r="L3" s="260">
        <v>2029</v>
      </c>
      <c r="M3" s="260">
        <v>2030</v>
      </c>
      <c r="N3" s="260">
        <v>2031</v>
      </c>
      <c r="O3" s="260">
        <v>2032</v>
      </c>
      <c r="P3" s="260">
        <v>2033</v>
      </c>
      <c r="Q3" s="260">
        <v>2034</v>
      </c>
      <c r="R3" s="260">
        <v>2035</v>
      </c>
    </row>
    <row r="4" spans="2:18" ht="30" customHeight="1" x14ac:dyDescent="0.25">
      <c r="B4" s="142" t="s">
        <v>216</v>
      </c>
      <c r="C4" s="98">
        <v>400</v>
      </c>
      <c r="D4" s="98">
        <f>C4*1.1</f>
        <v>440.00000000000006</v>
      </c>
      <c r="E4" s="98">
        <f>D4*1.1</f>
        <v>484.00000000000011</v>
      </c>
      <c r="F4" s="98">
        <f>'3 - Conso élec TWh monde'!C9</f>
        <v>530</v>
      </c>
      <c r="G4" s="98">
        <f>'3 - Conso élec TWh monde'!D9</f>
        <v>614.01676134469596</v>
      </c>
      <c r="H4" s="98">
        <f>'3 - Conso élec TWh monde'!E9</f>
        <v>711.35204379665902</v>
      </c>
      <c r="I4" s="98">
        <f>'3 - Conso élec TWh monde'!F9</f>
        <v>824.11712850557524</v>
      </c>
      <c r="J4" s="98">
        <f>'3 - Conso élec TWh monde'!G9</f>
        <v>954.75798153525261</v>
      </c>
      <c r="K4" s="98">
        <f>'3 - Conso élec TWh monde'!H9</f>
        <v>1106.1083088495752</v>
      </c>
      <c r="L4" s="98">
        <f>'3 - Conso élec TWh monde'!I9</f>
        <v>1281.4510216910846</v>
      </c>
      <c r="M4" s="98">
        <f>'3 - Conso élec TWh monde'!J9</f>
        <v>1484.5894455860594</v>
      </c>
      <c r="N4" s="98">
        <f>'3 - Conso élec TWh monde'!K9</f>
        <v>1719.929817557113</v>
      </c>
      <c r="O4" s="98">
        <f>'3 - Conso élec TWh monde'!L9</f>
        <v>1992.5768609747024</v>
      </c>
      <c r="P4" s="98">
        <f>'3 - Conso élec TWh monde'!M9</f>
        <v>2308.444511143523</v>
      </c>
      <c r="Q4" s="98">
        <f>'3 - Conso élec TWh monde'!N9</f>
        <v>2674.3841933514827</v>
      </c>
      <c r="R4" s="98">
        <f>'3 - Conso élec TWh monde'!O9</f>
        <v>3098.3334358360839</v>
      </c>
    </row>
    <row r="5" spans="2:18" ht="30" customHeight="1" x14ac:dyDescent="0.25">
      <c r="B5" s="143" t="s">
        <v>217</v>
      </c>
      <c r="C5" s="141">
        <v>0.35</v>
      </c>
      <c r="D5" s="141">
        <v>0.35</v>
      </c>
      <c r="E5" s="141">
        <v>0.35</v>
      </c>
      <c r="F5" s="141">
        <v>0.35</v>
      </c>
      <c r="G5" s="141">
        <v>0.35</v>
      </c>
      <c r="H5" s="141">
        <v>0.35</v>
      </c>
      <c r="I5" s="141">
        <v>0.35</v>
      </c>
      <c r="J5" s="141">
        <v>0.35</v>
      </c>
      <c r="K5" s="141">
        <v>0.35</v>
      </c>
      <c r="L5" s="141">
        <v>0.35</v>
      </c>
      <c r="M5" s="141">
        <v>0.35</v>
      </c>
      <c r="N5" s="141">
        <v>0.35</v>
      </c>
      <c r="O5" s="141">
        <v>0.35</v>
      </c>
      <c r="P5" s="141">
        <v>0.35</v>
      </c>
      <c r="Q5" s="141">
        <v>0.35</v>
      </c>
      <c r="R5" s="141">
        <v>0.35</v>
      </c>
    </row>
    <row r="6" spans="2:18" ht="30" customHeight="1" x14ac:dyDescent="0.25">
      <c r="B6" s="144" t="s">
        <v>218</v>
      </c>
      <c r="C6" s="98">
        <v>458</v>
      </c>
      <c r="D6" s="98">
        <v>458</v>
      </c>
      <c r="E6" s="98">
        <v>458</v>
      </c>
      <c r="F6" s="98">
        <v>458</v>
      </c>
      <c r="G6" s="98">
        <f t="shared" ref="G6:L6" si="0">($M$6-$F$6)/($M$3-$F$3)*(G3-$F$3)+$F$6</f>
        <v>437.14285714285717</v>
      </c>
      <c r="H6" s="98">
        <f t="shared" si="0"/>
        <v>416.28571428571428</v>
      </c>
      <c r="I6" s="98">
        <f t="shared" si="0"/>
        <v>395.42857142857144</v>
      </c>
      <c r="J6" s="98">
        <f t="shared" si="0"/>
        <v>374.57142857142856</v>
      </c>
      <c r="K6" s="98">
        <f t="shared" si="0"/>
        <v>353.71428571428572</v>
      </c>
      <c r="L6" s="98">
        <f t="shared" si="0"/>
        <v>332.85714285714289</v>
      </c>
      <c r="M6" s="98">
        <v>312</v>
      </c>
      <c r="N6" s="98">
        <f>($R$6-$M$6)/($R$3-$M$3)*(N3-$M$3)+$M$6</f>
        <v>293.39999999999998</v>
      </c>
      <c r="O6" s="98">
        <f>($R$6-$M$6)/($R$3-$M$3)*(O3-$M$3)+$M$6</f>
        <v>274.8</v>
      </c>
      <c r="P6" s="98">
        <f>($R$6-$M$6)/($R$3-$M$3)*(P3-$M$3)+$M$6</f>
        <v>256.2</v>
      </c>
      <c r="Q6" s="98">
        <f>($R$6-$M$6)/($R$3-$M$3)*(Q3-$M$3)+$M$6</f>
        <v>237.6</v>
      </c>
      <c r="R6" s="98">
        <v>219</v>
      </c>
    </row>
    <row r="7" spans="2:18" ht="30" customHeight="1" x14ac:dyDescent="0.25">
      <c r="B7" s="146" t="s">
        <v>219</v>
      </c>
      <c r="C7" s="98">
        <f>C4*C6*(1+C5)/1000</f>
        <v>247.32000000000002</v>
      </c>
      <c r="D7" s="98">
        <f t="shared" ref="D7:E7" si="1">D4*D6*(1+D5)/1000</f>
        <v>272.05200000000008</v>
      </c>
      <c r="E7" s="98">
        <f t="shared" si="1"/>
        <v>299.25720000000007</v>
      </c>
      <c r="F7" s="98">
        <f>F4*F6*(1+F5)/1000</f>
        <v>327.69900000000001</v>
      </c>
      <c r="G7" s="98">
        <f>G4*G6*(1+G5)/1000</f>
        <v>362.35760587356276</v>
      </c>
      <c r="H7" s="98">
        <f t="shared" ref="H7:R7" si="2">H4*H6*(1+H5)/1000</f>
        <v>399.76968644166817</v>
      </c>
      <c r="I7" s="98">
        <f t="shared" si="2"/>
        <v>439.93726939994764</v>
      </c>
      <c r="J7" s="98">
        <f t="shared" si="2"/>
        <v>482.79383246290479</v>
      </c>
      <c r="K7" s="98">
        <f t="shared" si="2"/>
        <v>528.18251902294151</v>
      </c>
      <c r="L7" s="98">
        <f t="shared" si="2"/>
        <v>575.82916981847245</v>
      </c>
      <c r="M7" s="98">
        <f t="shared" si="2"/>
        <v>625.30907448084827</v>
      </c>
      <c r="N7" s="98">
        <f t="shared" si="2"/>
        <v>681.2470014361968</v>
      </c>
      <c r="O7" s="98">
        <f t="shared" si="2"/>
        <v>739.2061638843951</v>
      </c>
      <c r="P7" s="98">
        <f t="shared" si="2"/>
        <v>798.42170306921037</v>
      </c>
      <c r="Q7" s="98">
        <f t="shared" si="2"/>
        <v>857.83547385942154</v>
      </c>
      <c r="R7" s="98">
        <f t="shared" si="2"/>
        <v>916.02228030493825</v>
      </c>
    </row>
    <row r="8" spans="2:18" ht="30" customHeight="1" x14ac:dyDescent="0.25">
      <c r="C8" s="118"/>
      <c r="D8" s="118"/>
      <c r="E8" s="118"/>
      <c r="F8" s="118"/>
      <c r="G8" s="118"/>
      <c r="H8" s="118"/>
      <c r="I8" s="118">
        <f>I7-H7</f>
        <v>40.167582958279468</v>
      </c>
      <c r="J8" s="118">
        <f t="shared" ref="J8:K8" si="3">J7-I7</f>
        <v>42.85656306295715</v>
      </c>
      <c r="K8" s="118">
        <f t="shared" si="3"/>
        <v>45.388686560036717</v>
      </c>
      <c r="L8" s="118">
        <f>L7-K7</f>
        <v>47.646650795530945</v>
      </c>
      <c r="M8" s="118">
        <f t="shared" ref="M8" si="4">M7-L7</f>
        <v>49.479904662375816</v>
      </c>
      <c r="N8" s="118">
        <f t="shared" ref="N8" si="5">N7-M7</f>
        <v>55.93792695534853</v>
      </c>
      <c r="O8" s="118">
        <f t="shared" ref="O8:Q8" si="6">O7-N7</f>
        <v>57.959162448198299</v>
      </c>
      <c r="P8" s="118">
        <f t="shared" si="6"/>
        <v>59.21553918481527</v>
      </c>
      <c r="Q8" s="118">
        <f t="shared" si="6"/>
        <v>59.413770790211174</v>
      </c>
      <c r="R8" s="118">
        <f t="shared" ref="R8" si="7">R7-Q7</f>
        <v>58.186806445516709</v>
      </c>
    </row>
    <row r="9" spans="2:18" ht="60" x14ac:dyDescent="0.25">
      <c r="B9" s="123" t="s">
        <v>220</v>
      </c>
      <c r="C9" s="96">
        <v>2020</v>
      </c>
      <c r="D9" s="96">
        <v>2021</v>
      </c>
      <c r="E9" s="96">
        <v>2022</v>
      </c>
      <c r="F9" s="96">
        <v>2023</v>
      </c>
      <c r="G9" s="96">
        <v>2024</v>
      </c>
      <c r="H9" s="96">
        <v>2025</v>
      </c>
      <c r="I9" s="90">
        <v>2026</v>
      </c>
      <c r="J9" s="90">
        <v>2027</v>
      </c>
      <c r="K9" s="90">
        <v>2028</v>
      </c>
      <c r="L9" s="90">
        <v>2029</v>
      </c>
      <c r="M9" s="90">
        <v>2030</v>
      </c>
      <c r="N9" s="90">
        <v>2031</v>
      </c>
      <c r="O9" s="90">
        <v>2032</v>
      </c>
      <c r="P9" s="90">
        <v>2033</v>
      </c>
      <c r="Q9" s="90">
        <v>2034</v>
      </c>
      <c r="R9" s="90">
        <v>2035</v>
      </c>
    </row>
    <row r="10" spans="2:18" ht="33" x14ac:dyDescent="0.25">
      <c r="B10" s="144" t="s">
        <v>218</v>
      </c>
      <c r="C10" s="98">
        <v>458</v>
      </c>
      <c r="D10" s="98">
        <v>458</v>
      </c>
      <c r="E10" s="98">
        <v>458</v>
      </c>
      <c r="F10" s="98">
        <v>458</v>
      </c>
      <c r="G10" s="98">
        <v>458</v>
      </c>
      <c r="H10" s="98">
        <v>458</v>
      </c>
      <c r="I10" s="98">
        <v>458</v>
      </c>
      <c r="J10" s="98">
        <v>458</v>
      </c>
      <c r="K10" s="98">
        <v>458</v>
      </c>
      <c r="L10" s="98">
        <v>458</v>
      </c>
      <c r="M10" s="98">
        <v>458</v>
      </c>
      <c r="N10" s="98">
        <v>458</v>
      </c>
      <c r="O10" s="98">
        <v>458</v>
      </c>
      <c r="P10" s="98">
        <v>458</v>
      </c>
      <c r="Q10" s="98">
        <v>458</v>
      </c>
      <c r="R10" s="98">
        <v>458</v>
      </c>
    </row>
    <row r="11" spans="2:18" ht="33" x14ac:dyDescent="0.25">
      <c r="B11" s="146" t="s">
        <v>219</v>
      </c>
      <c r="C11" s="98">
        <f t="shared" ref="C11:R11" si="8">C4*C10*(1+C5)/1000</f>
        <v>247.32000000000002</v>
      </c>
      <c r="D11" s="98">
        <f t="shared" si="8"/>
        <v>272.05200000000008</v>
      </c>
      <c r="E11" s="98">
        <f t="shared" si="8"/>
        <v>299.25720000000007</v>
      </c>
      <c r="F11" s="98">
        <f t="shared" si="8"/>
        <v>327.69900000000001</v>
      </c>
      <c r="G11" s="98">
        <f t="shared" si="8"/>
        <v>379.64656353942553</v>
      </c>
      <c r="H11" s="98">
        <f t="shared" si="8"/>
        <v>439.82896867947426</v>
      </c>
      <c r="I11" s="98">
        <f t="shared" si="8"/>
        <v>509.55162055499716</v>
      </c>
      <c r="J11" s="98">
        <f t="shared" si="8"/>
        <v>590.32685998324678</v>
      </c>
      <c r="K11" s="98">
        <f t="shared" si="8"/>
        <v>683.90676736169235</v>
      </c>
      <c r="L11" s="98">
        <f t="shared" si="8"/>
        <v>792.3211667115977</v>
      </c>
      <c r="M11" s="98">
        <f t="shared" si="8"/>
        <v>917.92165420586059</v>
      </c>
      <c r="N11" s="98">
        <f t="shared" si="8"/>
        <v>1063.432606195563</v>
      </c>
      <c r="O11" s="98">
        <f t="shared" si="8"/>
        <v>1232.0102731406587</v>
      </c>
      <c r="P11" s="98">
        <f t="shared" si="8"/>
        <v>1427.3112412400403</v>
      </c>
      <c r="Q11" s="98">
        <f t="shared" si="8"/>
        <v>1653.5717467492218</v>
      </c>
      <c r="R11" s="98">
        <f t="shared" si="8"/>
        <v>1915.6995633774507</v>
      </c>
    </row>
    <row r="13" spans="2:18" ht="30" customHeight="1" x14ac:dyDescent="0.25">
      <c r="C13" s="96">
        <v>2020</v>
      </c>
      <c r="D13" s="96">
        <v>2030</v>
      </c>
      <c r="E13" s="96">
        <v>2035</v>
      </c>
      <c r="F13" s="96">
        <v>2050</v>
      </c>
      <c r="I13" s="263" t="s">
        <v>221</v>
      </c>
      <c r="J13" s="263"/>
      <c r="K13" s="263"/>
      <c r="L13" s="263"/>
      <c r="M13" s="263"/>
      <c r="N13" s="151" t="s">
        <v>222</v>
      </c>
      <c r="O13" s="151" t="s">
        <v>223</v>
      </c>
      <c r="P13" s="151" t="s">
        <v>224</v>
      </c>
      <c r="Q13" s="154" t="s">
        <v>225</v>
      </c>
      <c r="R13" s="154" t="s">
        <v>226</v>
      </c>
    </row>
    <row r="14" spans="2:18" ht="30" customHeight="1" x14ac:dyDescent="0.25">
      <c r="B14" s="147" t="s">
        <v>227</v>
      </c>
      <c r="C14" s="98">
        <f>D14</f>
        <v>136.02600000000001</v>
      </c>
      <c r="D14" s="98">
        <f>C7*(1-0.45)</f>
        <v>136.02600000000001</v>
      </c>
      <c r="E14" s="156">
        <f>D14</f>
        <v>136.02600000000001</v>
      </c>
      <c r="F14" s="98"/>
      <c r="I14" s="262" t="str">
        <f>B3</f>
        <v>Scénario Stated Policies STEPS pour la réduction de l'intensité carbone de la génération d'électricité (IEA WEO, 2024)</v>
      </c>
      <c r="J14" s="262"/>
      <c r="K14" s="262"/>
      <c r="L14" s="262"/>
      <c r="M14" s="262"/>
      <c r="N14" s="152">
        <f>M7-C7</f>
        <v>377.98907448084822</v>
      </c>
      <c r="O14" s="153">
        <f>M7/C7</f>
        <v>2.5283401038365203</v>
      </c>
      <c r="P14" s="153">
        <f>(M7/C7)^(1/10)-1</f>
        <v>9.7194316646869394E-2</v>
      </c>
      <c r="Q14" s="155">
        <f>M7/1000/54*100</f>
        <v>1.1579797675571264</v>
      </c>
      <c r="R14" s="155">
        <f>M7/1000/44*100</f>
        <v>1.4211569874564733</v>
      </c>
    </row>
    <row r="15" spans="2:18" ht="30" customHeight="1" x14ac:dyDescent="0.25">
      <c r="B15" s="148" t="s">
        <v>228</v>
      </c>
      <c r="C15" s="98">
        <f>F15</f>
        <v>24.731999999999996</v>
      </c>
      <c r="D15" s="98">
        <f>C15</f>
        <v>24.731999999999996</v>
      </c>
      <c r="E15" s="98">
        <f>D15</f>
        <v>24.731999999999996</v>
      </c>
      <c r="F15" s="98">
        <f>C7*(1-0.9)</f>
        <v>24.731999999999996</v>
      </c>
      <c r="I15" s="262" t="str">
        <f>B9</f>
        <v>Sensibilité à un scénario de transition énergétique contrariée (intensité carbone de la génération d'électricité constante)</v>
      </c>
      <c r="J15" s="262"/>
      <c r="K15" s="262"/>
      <c r="L15" s="262"/>
      <c r="M15" s="262"/>
      <c r="N15" s="152">
        <f>M11-C11</f>
        <v>670.60165420586054</v>
      </c>
      <c r="O15" s="153">
        <f>M11/C11</f>
        <v>3.7114736139651483</v>
      </c>
      <c r="P15" s="153">
        <f>(M11/C11)^(1/10)-1</f>
        <v>0.14013069415235613</v>
      </c>
      <c r="Q15" s="155">
        <f>M11/1000/54*100</f>
        <v>1.699854915196038</v>
      </c>
      <c r="R15" s="155">
        <f>M11/1000/44*100</f>
        <v>2.0861855777405922</v>
      </c>
    </row>
    <row r="24" ht="36" customHeight="1" x14ac:dyDescent="0.25"/>
    <row r="40" spans="4:9" x14ac:dyDescent="0.25">
      <c r="D40" s="113"/>
      <c r="E40" s="113"/>
      <c r="G40" s="8"/>
      <c r="I40" s="230"/>
    </row>
    <row r="50" spans="2:22" x14ac:dyDescent="0.25">
      <c r="U50" t="s">
        <v>303</v>
      </c>
      <c r="V50" s="258">
        <v>0.75</v>
      </c>
    </row>
    <row r="51" spans="2:22" x14ac:dyDescent="0.25">
      <c r="U51" t="s">
        <v>304</v>
      </c>
      <c r="V51" s="258">
        <v>0.25</v>
      </c>
    </row>
    <row r="61" spans="2:22" x14ac:dyDescent="0.25">
      <c r="C61" s="258"/>
    </row>
    <row r="62" spans="2:22" x14ac:dyDescent="0.25">
      <c r="B62" t="s">
        <v>303</v>
      </c>
      <c r="D62" s="258">
        <v>0.75</v>
      </c>
    </row>
    <row r="63" spans="2:22" x14ac:dyDescent="0.25">
      <c r="B63" t="s">
        <v>304</v>
      </c>
      <c r="C63" t="s">
        <v>305</v>
      </c>
      <c r="D63" s="258">
        <f>25%*0.77</f>
        <v>0.1925</v>
      </c>
    </row>
    <row r="64" spans="2:22" x14ac:dyDescent="0.25">
      <c r="B64" t="s">
        <v>304</v>
      </c>
      <c r="C64" t="s">
        <v>306</v>
      </c>
      <c r="D64" s="258">
        <v>0.06</v>
      </c>
    </row>
    <row r="70" spans="2:2" x14ac:dyDescent="0.25">
      <c r="B70" t="s">
        <v>308</v>
      </c>
    </row>
    <row r="71" spans="2:2" x14ac:dyDescent="0.25">
      <c r="B71" t="s">
        <v>307</v>
      </c>
    </row>
  </sheetData>
  <mergeCells count="4">
    <mergeCell ref="B2:R2"/>
    <mergeCell ref="I14:M14"/>
    <mergeCell ref="I13:M13"/>
    <mergeCell ref="I15:M1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35D2F-EDDB-4B40-8301-13B7BD1888FB}">
  <dimension ref="B2:V30"/>
  <sheetViews>
    <sheetView zoomScale="60" zoomScaleNormal="60" workbookViewId="0">
      <selection activeCell="B2" sqref="B2"/>
    </sheetView>
  </sheetViews>
  <sheetFormatPr baseColWidth="10" defaultColWidth="11.42578125" defaultRowHeight="15" x14ac:dyDescent="0.25"/>
  <cols>
    <col min="2" max="2" width="51.140625" customWidth="1"/>
    <col min="6" max="6" width="15.85546875" style="10" customWidth="1"/>
    <col min="7" max="7" width="21.28515625" bestFit="1" customWidth="1"/>
    <col min="8" max="8" width="22.140625" bestFit="1" customWidth="1"/>
    <col min="9" max="9" width="10.42578125" bestFit="1" customWidth="1"/>
    <col min="10" max="10" width="14.85546875" customWidth="1"/>
    <col min="11" max="11" width="21.7109375" bestFit="1" customWidth="1"/>
    <col min="12" max="12" width="15.42578125" customWidth="1"/>
  </cols>
  <sheetData>
    <row r="2" spans="2:22" ht="45" customHeight="1" x14ac:dyDescent="0.25">
      <c r="B2" s="121" t="s">
        <v>229</v>
      </c>
      <c r="C2" s="122">
        <f>'4 - Emissions GES scénarios'!C7</f>
        <v>247.32000000000002</v>
      </c>
      <c r="F2" s="264" t="s">
        <v>230</v>
      </c>
      <c r="G2" s="265"/>
      <c r="H2" s="265"/>
      <c r="I2" s="265"/>
      <c r="J2" s="265"/>
      <c r="K2" s="266"/>
    </row>
    <row r="3" spans="2:22" ht="45" customHeight="1" x14ac:dyDescent="0.25">
      <c r="B3" s="123" t="s">
        <v>231</v>
      </c>
      <c r="C3" s="124">
        <f>C2*(1-0.9)</f>
        <v>24.731999999999996</v>
      </c>
      <c r="D3" s="118"/>
      <c r="E3" s="118"/>
      <c r="F3" s="126" t="s">
        <v>232</v>
      </c>
      <c r="G3" s="120" t="s">
        <v>233</v>
      </c>
      <c r="H3" s="126" t="s">
        <v>234</v>
      </c>
      <c r="I3" s="126" t="s">
        <v>235</v>
      </c>
      <c r="J3" s="126" t="s">
        <v>236</v>
      </c>
      <c r="K3" s="120" t="s">
        <v>237</v>
      </c>
    </row>
    <row r="4" spans="2:22" ht="15" customHeight="1" x14ac:dyDescent="0.25">
      <c r="D4" s="119"/>
      <c r="E4" s="119"/>
      <c r="F4" s="128">
        <v>25</v>
      </c>
      <c r="G4" s="138">
        <v>458</v>
      </c>
      <c r="H4" s="131">
        <f>35/100</f>
        <v>0.35</v>
      </c>
      <c r="I4" s="125">
        <f>H4/(1+H4)</f>
        <v>0.25925925925925924</v>
      </c>
      <c r="J4" s="134">
        <f>1/(1+H4)</f>
        <v>0.7407407407407407</v>
      </c>
      <c r="K4" s="139">
        <f t="shared" ref="K4:K28" si="0">F4*1000/G4/(1+H4)</f>
        <v>40.43344654698366</v>
      </c>
    </row>
    <row r="5" spans="2:22" x14ac:dyDescent="0.25">
      <c r="F5" s="129">
        <f t="shared" ref="F5:F10" si="1">F4</f>
        <v>25</v>
      </c>
      <c r="G5" s="138">
        <v>312</v>
      </c>
      <c r="H5" s="132">
        <f>H4</f>
        <v>0.35</v>
      </c>
      <c r="I5" s="127">
        <f t="shared" ref="I5:I28" si="2">H5/(1+H5)</f>
        <v>0.25925925925925924</v>
      </c>
      <c r="J5" s="135">
        <f t="shared" ref="J5:J28" si="3">1/(1+H5)</f>
        <v>0.7407407407407407</v>
      </c>
      <c r="K5" s="139">
        <f t="shared" si="0"/>
        <v>59.354226020892682</v>
      </c>
    </row>
    <row r="6" spans="2:22" x14ac:dyDescent="0.25">
      <c r="F6" s="129">
        <f t="shared" si="1"/>
        <v>25</v>
      </c>
      <c r="G6" s="138">
        <v>219</v>
      </c>
      <c r="H6" s="132">
        <f>H5</f>
        <v>0.35</v>
      </c>
      <c r="I6" s="127">
        <f t="shared" si="2"/>
        <v>0.25925925925925924</v>
      </c>
      <c r="J6" s="135">
        <f t="shared" si="3"/>
        <v>0.7407407407407407</v>
      </c>
      <c r="K6" s="139">
        <f t="shared" si="0"/>
        <v>84.559445290038894</v>
      </c>
    </row>
    <row r="7" spans="2:22" x14ac:dyDescent="0.25">
      <c r="C7" s="47"/>
      <c r="D7" s="47"/>
      <c r="E7" s="47"/>
      <c r="F7" s="129">
        <f t="shared" si="1"/>
        <v>25</v>
      </c>
      <c r="G7" s="138">
        <v>111</v>
      </c>
      <c r="H7" s="132">
        <f>H6</f>
        <v>0.35</v>
      </c>
      <c r="I7" s="127">
        <f t="shared" si="2"/>
        <v>0.25925925925925924</v>
      </c>
      <c r="J7" s="135">
        <f t="shared" si="3"/>
        <v>0.7407407407407407</v>
      </c>
      <c r="K7" s="139">
        <f t="shared" si="0"/>
        <v>166.83350016683349</v>
      </c>
    </row>
    <row r="8" spans="2:22" x14ac:dyDescent="0.25">
      <c r="F8" s="129">
        <f t="shared" si="1"/>
        <v>25</v>
      </c>
      <c r="G8" s="138">
        <v>25</v>
      </c>
      <c r="H8" s="133">
        <f>H7</f>
        <v>0.35</v>
      </c>
      <c r="I8" s="136">
        <f t="shared" si="2"/>
        <v>0.25925925925925924</v>
      </c>
      <c r="J8" s="137">
        <f t="shared" si="3"/>
        <v>0.7407407407407407</v>
      </c>
      <c r="K8" s="139">
        <f t="shared" si="0"/>
        <v>740.74074074074065</v>
      </c>
      <c r="V8" s="93"/>
    </row>
    <row r="9" spans="2:22" x14ac:dyDescent="0.25">
      <c r="F9" s="129">
        <f t="shared" si="1"/>
        <v>25</v>
      </c>
      <c r="G9" s="138">
        <v>458</v>
      </c>
      <c r="H9" s="131">
        <f>25/100</f>
        <v>0.25</v>
      </c>
      <c r="I9" s="125">
        <f t="shared" si="2"/>
        <v>0.2</v>
      </c>
      <c r="J9" s="134">
        <f t="shared" si="3"/>
        <v>0.8</v>
      </c>
      <c r="K9" s="139">
        <f t="shared" si="0"/>
        <v>43.668122270742359</v>
      </c>
      <c r="V9" s="94"/>
    </row>
    <row r="10" spans="2:22" x14ac:dyDescent="0.25">
      <c r="F10" s="129">
        <f t="shared" si="1"/>
        <v>25</v>
      </c>
      <c r="G10" s="138">
        <v>312</v>
      </c>
      <c r="H10" s="132">
        <f>H9</f>
        <v>0.25</v>
      </c>
      <c r="I10" s="127">
        <f t="shared" si="2"/>
        <v>0.2</v>
      </c>
      <c r="J10" s="135">
        <f t="shared" si="3"/>
        <v>0.8</v>
      </c>
      <c r="K10" s="139">
        <f t="shared" si="0"/>
        <v>64.102564102564102</v>
      </c>
    </row>
    <row r="11" spans="2:22" x14ac:dyDescent="0.25">
      <c r="F11" s="129">
        <f>F7</f>
        <v>25</v>
      </c>
      <c r="G11" s="138">
        <v>219</v>
      </c>
      <c r="H11" s="132">
        <f>H10</f>
        <v>0.25</v>
      </c>
      <c r="I11" s="127">
        <f t="shared" si="2"/>
        <v>0.2</v>
      </c>
      <c r="J11" s="135">
        <f t="shared" si="3"/>
        <v>0.8</v>
      </c>
      <c r="K11" s="139">
        <f t="shared" si="0"/>
        <v>91.324200913242009</v>
      </c>
    </row>
    <row r="12" spans="2:22" x14ac:dyDescent="0.25">
      <c r="F12" s="129">
        <f t="shared" ref="F12:F28" si="4">F11</f>
        <v>25</v>
      </c>
      <c r="G12" s="138">
        <v>111</v>
      </c>
      <c r="H12" s="132">
        <f>H11</f>
        <v>0.25</v>
      </c>
      <c r="I12" s="127">
        <f t="shared" si="2"/>
        <v>0.2</v>
      </c>
      <c r="J12" s="135">
        <f t="shared" si="3"/>
        <v>0.8</v>
      </c>
      <c r="K12" s="139">
        <f t="shared" si="0"/>
        <v>180.18018018018017</v>
      </c>
    </row>
    <row r="13" spans="2:22" x14ac:dyDescent="0.25">
      <c r="F13" s="129">
        <f t="shared" si="4"/>
        <v>25</v>
      </c>
      <c r="G13" s="138">
        <v>25</v>
      </c>
      <c r="H13" s="133">
        <f>H12</f>
        <v>0.25</v>
      </c>
      <c r="I13" s="136">
        <f t="shared" si="2"/>
        <v>0.2</v>
      </c>
      <c r="J13" s="137">
        <f t="shared" si="3"/>
        <v>0.8</v>
      </c>
      <c r="K13" s="139">
        <f t="shared" si="0"/>
        <v>800</v>
      </c>
    </row>
    <row r="14" spans="2:22" x14ac:dyDescent="0.25">
      <c r="F14" s="129">
        <f t="shared" si="4"/>
        <v>25</v>
      </c>
      <c r="G14" s="138">
        <v>458</v>
      </c>
      <c r="H14" s="131">
        <f>17/100</f>
        <v>0.17</v>
      </c>
      <c r="I14" s="125">
        <f t="shared" si="2"/>
        <v>0.14529914529914531</v>
      </c>
      <c r="J14" s="134">
        <f t="shared" si="3"/>
        <v>0.85470085470085477</v>
      </c>
      <c r="K14" s="139">
        <f t="shared" si="0"/>
        <v>46.653976784981154</v>
      </c>
    </row>
    <row r="15" spans="2:22" x14ac:dyDescent="0.25">
      <c r="F15" s="129">
        <f t="shared" si="4"/>
        <v>25</v>
      </c>
      <c r="G15" s="138">
        <v>312</v>
      </c>
      <c r="H15" s="132">
        <f>H14</f>
        <v>0.17</v>
      </c>
      <c r="I15" s="127">
        <f t="shared" si="2"/>
        <v>0.14529914529914531</v>
      </c>
      <c r="J15" s="135">
        <f t="shared" si="3"/>
        <v>0.85470085470085477</v>
      </c>
      <c r="K15" s="139">
        <f t="shared" si="0"/>
        <v>68.485645408722334</v>
      </c>
    </row>
    <row r="16" spans="2:22" x14ac:dyDescent="0.25">
      <c r="F16" s="129">
        <f t="shared" si="4"/>
        <v>25</v>
      </c>
      <c r="G16" s="138">
        <v>219</v>
      </c>
      <c r="H16" s="132">
        <f>H15</f>
        <v>0.17</v>
      </c>
      <c r="I16" s="127">
        <f t="shared" si="2"/>
        <v>0.14529914529914531</v>
      </c>
      <c r="J16" s="135">
        <f t="shared" si="3"/>
        <v>0.85470085470085477</v>
      </c>
      <c r="K16" s="139">
        <f t="shared" si="0"/>
        <v>97.568590719275662</v>
      </c>
    </row>
    <row r="17" spans="6:11" x14ac:dyDescent="0.25">
      <c r="F17" s="129">
        <f t="shared" si="4"/>
        <v>25</v>
      </c>
      <c r="G17" s="138">
        <v>111</v>
      </c>
      <c r="H17" s="132">
        <f>H16</f>
        <v>0.17</v>
      </c>
      <c r="I17" s="127">
        <f t="shared" si="2"/>
        <v>0.14529914529914531</v>
      </c>
      <c r="J17" s="135">
        <f t="shared" si="3"/>
        <v>0.85470085470085477</v>
      </c>
      <c r="K17" s="139">
        <f t="shared" si="0"/>
        <v>192.5001925001925</v>
      </c>
    </row>
    <row r="18" spans="6:11" x14ac:dyDescent="0.25">
      <c r="F18" s="129">
        <f t="shared" si="4"/>
        <v>25</v>
      </c>
      <c r="G18" s="138">
        <v>25</v>
      </c>
      <c r="H18" s="133">
        <f>H17</f>
        <v>0.17</v>
      </c>
      <c r="I18" s="136">
        <f t="shared" si="2"/>
        <v>0.14529914529914531</v>
      </c>
      <c r="J18" s="137">
        <f t="shared" si="3"/>
        <v>0.85470085470085477</v>
      </c>
      <c r="K18" s="139">
        <f t="shared" si="0"/>
        <v>854.70085470085473</v>
      </c>
    </row>
    <row r="19" spans="6:11" x14ac:dyDescent="0.25">
      <c r="F19" s="129">
        <f t="shared" si="4"/>
        <v>25</v>
      </c>
      <c r="G19" s="138">
        <v>458</v>
      </c>
      <c r="H19" s="131">
        <f>10/100</f>
        <v>0.1</v>
      </c>
      <c r="I19" s="125">
        <f t="shared" si="2"/>
        <v>9.0909090909090912E-2</v>
      </c>
      <c r="J19" s="134">
        <f t="shared" si="3"/>
        <v>0.90909090909090906</v>
      </c>
      <c r="K19" s="139">
        <f t="shared" si="0"/>
        <v>49.622866216752676</v>
      </c>
    </row>
    <row r="20" spans="6:11" x14ac:dyDescent="0.25">
      <c r="F20" s="129">
        <f t="shared" si="4"/>
        <v>25</v>
      </c>
      <c r="G20" s="138">
        <v>312</v>
      </c>
      <c r="H20" s="132">
        <f>H19</f>
        <v>0.1</v>
      </c>
      <c r="I20" s="127">
        <f t="shared" si="2"/>
        <v>9.0909090909090912E-2</v>
      </c>
      <c r="J20" s="135">
        <f t="shared" si="3"/>
        <v>0.90909090909090906</v>
      </c>
      <c r="K20" s="139">
        <f t="shared" si="0"/>
        <v>72.843822843822835</v>
      </c>
    </row>
    <row r="21" spans="6:11" x14ac:dyDescent="0.25">
      <c r="F21" s="129">
        <f t="shared" si="4"/>
        <v>25</v>
      </c>
      <c r="G21" s="138">
        <v>219</v>
      </c>
      <c r="H21" s="132">
        <f>H20</f>
        <v>0.1</v>
      </c>
      <c r="I21" s="127">
        <f t="shared" si="2"/>
        <v>9.0909090909090912E-2</v>
      </c>
      <c r="J21" s="135">
        <f t="shared" si="3"/>
        <v>0.90909090909090906</v>
      </c>
      <c r="K21" s="139">
        <f t="shared" si="0"/>
        <v>103.777501037775</v>
      </c>
    </row>
    <row r="22" spans="6:11" x14ac:dyDescent="0.25">
      <c r="F22" s="129">
        <f t="shared" si="4"/>
        <v>25</v>
      </c>
      <c r="G22" s="138">
        <v>111</v>
      </c>
      <c r="H22" s="132">
        <f>H21</f>
        <v>0.1</v>
      </c>
      <c r="I22" s="127">
        <f t="shared" si="2"/>
        <v>9.0909090909090912E-2</v>
      </c>
      <c r="J22" s="135">
        <f t="shared" si="3"/>
        <v>0.90909090909090906</v>
      </c>
      <c r="K22" s="139">
        <f t="shared" si="0"/>
        <v>204.75020475020472</v>
      </c>
    </row>
    <row r="23" spans="6:11" x14ac:dyDescent="0.25">
      <c r="F23" s="129">
        <f t="shared" si="4"/>
        <v>25</v>
      </c>
      <c r="G23" s="138">
        <v>25</v>
      </c>
      <c r="H23" s="133">
        <f>H22</f>
        <v>0.1</v>
      </c>
      <c r="I23" s="136">
        <f t="shared" si="2"/>
        <v>9.0909090909090912E-2</v>
      </c>
      <c r="J23" s="137">
        <f t="shared" si="3"/>
        <v>0.90909090909090906</v>
      </c>
      <c r="K23" s="139">
        <f t="shared" si="0"/>
        <v>909.09090909090901</v>
      </c>
    </row>
    <row r="24" spans="6:11" x14ac:dyDescent="0.25">
      <c r="F24" s="129">
        <f t="shared" si="4"/>
        <v>25</v>
      </c>
      <c r="G24" s="138">
        <v>458</v>
      </c>
      <c r="H24" s="131">
        <f>5/100</f>
        <v>0.05</v>
      </c>
      <c r="I24" s="125">
        <f t="shared" si="2"/>
        <v>4.7619047619047616E-2</v>
      </c>
      <c r="J24" s="134">
        <f t="shared" si="3"/>
        <v>0.95238095238095233</v>
      </c>
      <c r="K24" s="139">
        <f t="shared" si="0"/>
        <v>51.985859846121848</v>
      </c>
    </row>
    <row r="25" spans="6:11" x14ac:dyDescent="0.25">
      <c r="F25" s="129">
        <f t="shared" si="4"/>
        <v>25</v>
      </c>
      <c r="G25" s="138">
        <v>312</v>
      </c>
      <c r="H25" s="132">
        <f>H24</f>
        <v>0.05</v>
      </c>
      <c r="I25" s="127">
        <f t="shared" si="2"/>
        <v>4.7619047619047616E-2</v>
      </c>
      <c r="J25" s="135">
        <f t="shared" si="3"/>
        <v>0.95238095238095233</v>
      </c>
      <c r="K25" s="139">
        <f t="shared" si="0"/>
        <v>76.312576312576311</v>
      </c>
    </row>
    <row r="26" spans="6:11" x14ac:dyDescent="0.25">
      <c r="F26" s="129">
        <f t="shared" si="4"/>
        <v>25</v>
      </c>
      <c r="G26" s="138">
        <v>219</v>
      </c>
      <c r="H26" s="132">
        <f>H25</f>
        <v>0.05</v>
      </c>
      <c r="I26" s="127">
        <f t="shared" si="2"/>
        <v>4.7619047619047616E-2</v>
      </c>
      <c r="J26" s="135">
        <f t="shared" si="3"/>
        <v>0.95238095238095233</v>
      </c>
      <c r="K26" s="139">
        <f t="shared" si="0"/>
        <v>108.71928680147857</v>
      </c>
    </row>
    <row r="27" spans="6:11" x14ac:dyDescent="0.25">
      <c r="F27" s="129">
        <f t="shared" si="4"/>
        <v>25</v>
      </c>
      <c r="G27" s="138">
        <v>111</v>
      </c>
      <c r="H27" s="132">
        <f>H26</f>
        <v>0.05</v>
      </c>
      <c r="I27" s="127">
        <f t="shared" si="2"/>
        <v>4.7619047619047616E-2</v>
      </c>
      <c r="J27" s="135">
        <f t="shared" si="3"/>
        <v>0.95238095238095233</v>
      </c>
      <c r="K27" s="139">
        <f t="shared" si="0"/>
        <v>214.50021450021447</v>
      </c>
    </row>
    <row r="28" spans="6:11" x14ac:dyDescent="0.25">
      <c r="F28" s="130">
        <f t="shared" si="4"/>
        <v>25</v>
      </c>
      <c r="G28" s="138">
        <v>25</v>
      </c>
      <c r="H28" s="133">
        <f>H27</f>
        <v>0.05</v>
      </c>
      <c r="I28" s="136">
        <f t="shared" si="2"/>
        <v>4.7619047619047616E-2</v>
      </c>
      <c r="J28" s="137">
        <f t="shared" si="3"/>
        <v>0.95238095238095233</v>
      </c>
      <c r="K28" s="139">
        <f t="shared" si="0"/>
        <v>952.38095238095229</v>
      </c>
    </row>
    <row r="30" spans="6:11" x14ac:dyDescent="0.25">
      <c r="F30" s="140" t="s">
        <v>238</v>
      </c>
    </row>
  </sheetData>
  <mergeCells count="1">
    <mergeCell ref="F2:K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B087-D2CF-4BE2-8429-FC48482D2C96}">
  <dimension ref="A1:U155"/>
  <sheetViews>
    <sheetView zoomScale="60" zoomScaleNormal="60" workbookViewId="0">
      <selection sqref="A1:U1"/>
    </sheetView>
  </sheetViews>
  <sheetFormatPr baseColWidth="10" defaultColWidth="8.85546875" defaultRowHeight="15" x14ac:dyDescent="0.25"/>
  <cols>
    <col min="2" max="2" width="24.7109375" customWidth="1"/>
    <col min="3" max="3" width="12.7109375" bestFit="1" customWidth="1"/>
    <col min="4" max="4" width="12.42578125" bestFit="1" customWidth="1"/>
    <col min="5" max="9" width="10.42578125" bestFit="1" customWidth="1"/>
    <col min="10" max="15" width="11.42578125" bestFit="1" customWidth="1"/>
  </cols>
  <sheetData>
    <row r="1" spans="1:21" ht="15.75" x14ac:dyDescent="0.25">
      <c r="A1" s="273" t="s">
        <v>109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4"/>
    </row>
    <row r="2" spans="1:21" x14ac:dyDescent="0.2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</row>
    <row r="3" spans="1:21" ht="15.75" x14ac:dyDescent="0.25">
      <c r="A3" s="204"/>
      <c r="B3" s="250" t="s">
        <v>110</v>
      </c>
      <c r="C3" s="250">
        <v>2023</v>
      </c>
      <c r="D3" s="250">
        <v>2030</v>
      </c>
      <c r="E3" s="250" t="s">
        <v>111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</row>
    <row r="4" spans="1:21" x14ac:dyDescent="0.25">
      <c r="A4" s="204"/>
      <c r="B4" s="224" t="s">
        <v>112</v>
      </c>
      <c r="C4" s="224">
        <v>62</v>
      </c>
      <c r="D4" s="224">
        <v>150</v>
      </c>
      <c r="E4" s="225">
        <v>0.13</v>
      </c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</row>
    <row r="5" spans="1:21" x14ac:dyDescent="0.25">
      <c r="A5" s="204"/>
      <c r="B5" s="224" t="s">
        <v>113</v>
      </c>
      <c r="C5" s="224">
        <v>26</v>
      </c>
      <c r="D5" s="224">
        <v>30</v>
      </c>
      <c r="E5" s="22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</row>
    <row r="6" spans="1:21" x14ac:dyDescent="0.25">
      <c r="A6" s="204"/>
      <c r="B6" s="224" t="s">
        <v>114</v>
      </c>
      <c r="C6" s="224">
        <v>35</v>
      </c>
      <c r="D6" s="224">
        <v>48</v>
      </c>
      <c r="E6" s="22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</row>
    <row r="7" spans="1:21" x14ac:dyDescent="0.25">
      <c r="A7" s="204"/>
      <c r="B7" s="224" t="s">
        <v>115</v>
      </c>
      <c r="C7" s="224">
        <v>39</v>
      </c>
      <c r="D7" s="224">
        <v>22</v>
      </c>
      <c r="E7" s="22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</row>
    <row r="8" spans="1:21" x14ac:dyDescent="0.25">
      <c r="A8" s="204"/>
      <c r="B8" s="224" t="s">
        <v>116</v>
      </c>
      <c r="C8" s="224">
        <v>10</v>
      </c>
      <c r="D8" s="224">
        <v>35</v>
      </c>
      <c r="E8" s="225">
        <v>0.2</v>
      </c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</row>
    <row r="9" spans="1:21" x14ac:dyDescent="0.25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</row>
    <row r="10" spans="1:21" x14ac:dyDescent="0.25">
      <c r="A10" s="204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</row>
    <row r="11" spans="1:21" x14ac:dyDescent="0.25">
      <c r="A11" s="204"/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</row>
    <row r="12" spans="1:21" ht="15.75" x14ac:dyDescent="0.25">
      <c r="A12" s="204"/>
      <c r="B12" s="250" t="s">
        <v>117</v>
      </c>
      <c r="C12" s="250">
        <v>2024</v>
      </c>
      <c r="D12" s="250">
        <v>2030</v>
      </c>
      <c r="E12" s="250" t="s">
        <v>111</v>
      </c>
      <c r="F12" s="250">
        <v>2035</v>
      </c>
      <c r="G12" s="250" t="s">
        <v>111</v>
      </c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</row>
    <row r="13" spans="1:21" x14ac:dyDescent="0.25">
      <c r="A13" s="204"/>
      <c r="B13" s="224" t="s">
        <v>112</v>
      </c>
      <c r="C13" s="224">
        <v>96</v>
      </c>
      <c r="D13" s="224">
        <v>168</v>
      </c>
      <c r="E13" s="225">
        <v>0.1</v>
      </c>
      <c r="F13" s="224">
        <v>236</v>
      </c>
      <c r="G13" s="225">
        <v>0.08</v>
      </c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</row>
    <row r="14" spans="1:21" x14ac:dyDescent="0.25">
      <c r="A14" s="204"/>
      <c r="B14" s="224" t="s">
        <v>113</v>
      </c>
      <c r="C14" s="224">
        <v>40</v>
      </c>
      <c r="D14" s="224"/>
      <c r="E14" s="224"/>
      <c r="F14" s="224"/>
      <c r="G14" s="22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</row>
    <row r="15" spans="1:21" x14ac:dyDescent="0.25">
      <c r="A15" s="204"/>
      <c r="B15" s="224" t="s">
        <v>118</v>
      </c>
      <c r="C15" s="224">
        <v>20</v>
      </c>
      <c r="D15" s="224"/>
      <c r="E15" s="224"/>
      <c r="F15" s="224"/>
      <c r="G15" s="22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</row>
    <row r="16" spans="1:21" x14ac:dyDescent="0.25">
      <c r="A16" s="204"/>
      <c r="B16" s="224" t="s">
        <v>115</v>
      </c>
      <c r="C16" s="224">
        <v>40</v>
      </c>
      <c r="D16" s="224"/>
      <c r="E16" s="224"/>
      <c r="F16" s="224"/>
      <c r="G16" s="22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</row>
    <row r="17" spans="1:21" x14ac:dyDescent="0.25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</row>
    <row r="18" spans="1:21" x14ac:dyDescent="0.25">
      <c r="A18" s="204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</row>
    <row r="19" spans="1:21" ht="30" x14ac:dyDescent="0.25">
      <c r="A19" s="204"/>
      <c r="B19" s="250" t="s">
        <v>119</v>
      </c>
      <c r="C19" s="250">
        <v>2019</v>
      </c>
      <c r="D19" s="250">
        <v>2024</v>
      </c>
      <c r="E19" s="250">
        <v>2029</v>
      </c>
      <c r="F19" s="254" t="s">
        <v>120</v>
      </c>
      <c r="G19" s="254" t="s">
        <v>121</v>
      </c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</row>
    <row r="20" spans="1:21" x14ac:dyDescent="0.25">
      <c r="A20" s="204"/>
      <c r="B20" s="224" t="s">
        <v>122</v>
      </c>
      <c r="C20" s="224">
        <v>5.5</v>
      </c>
      <c r="D20" s="224">
        <v>10.3</v>
      </c>
      <c r="E20" s="252">
        <v>20.2</v>
      </c>
      <c r="F20" s="251">
        <f>(D20/C20)^(1/5)-1</f>
        <v>0.13369154326216526</v>
      </c>
      <c r="G20" s="253">
        <f>(E20/D20)^(1/5)-1</f>
        <v>0.14420233300560859</v>
      </c>
      <c r="H20" s="204"/>
      <c r="I20" s="204"/>
      <c r="J20" s="204"/>
      <c r="K20" s="204"/>
      <c r="L20" s="204"/>
      <c r="M20" s="256"/>
      <c r="N20" s="207"/>
      <c r="O20" s="207"/>
      <c r="P20" s="208"/>
      <c r="Q20" s="204"/>
      <c r="R20" s="204"/>
      <c r="S20" s="204"/>
      <c r="T20" s="204"/>
    </row>
    <row r="21" spans="1:21" x14ac:dyDescent="0.25">
      <c r="A21" s="204"/>
      <c r="B21" s="204"/>
      <c r="C21" s="204"/>
      <c r="D21" s="204"/>
      <c r="E21" s="204"/>
      <c r="F21" s="204"/>
      <c r="G21" s="204"/>
      <c r="L21" s="204"/>
      <c r="M21" s="209"/>
      <c r="N21" s="204"/>
      <c r="O21" s="204"/>
      <c r="P21" s="210"/>
      <c r="Q21" s="204"/>
      <c r="R21" s="204"/>
      <c r="S21" s="204"/>
      <c r="T21" s="204"/>
    </row>
    <row r="22" spans="1:21" x14ac:dyDescent="0.25">
      <c r="A22" s="204"/>
      <c r="B22" s="204"/>
      <c r="D22" s="205"/>
      <c r="E22" s="223"/>
      <c r="F22" s="204"/>
      <c r="G22" s="204"/>
      <c r="L22" s="204"/>
      <c r="M22" s="211"/>
      <c r="N22" s="212"/>
      <c r="O22" s="213"/>
      <c r="P22" s="214"/>
      <c r="Q22" s="204"/>
      <c r="R22" s="204"/>
      <c r="S22" s="204"/>
      <c r="T22" s="204"/>
    </row>
    <row r="23" spans="1:21" x14ac:dyDescent="0.25">
      <c r="A23" s="204"/>
      <c r="B23" s="204"/>
      <c r="D23" s="204"/>
      <c r="E23" s="206"/>
      <c r="F23" s="204"/>
      <c r="G23" s="204"/>
      <c r="L23" s="204"/>
      <c r="M23" s="204"/>
      <c r="N23" s="204"/>
      <c r="O23" s="204"/>
      <c r="P23" s="204"/>
      <c r="Q23" s="204"/>
      <c r="R23" s="204"/>
      <c r="S23" s="204"/>
      <c r="T23" s="204"/>
    </row>
    <row r="24" spans="1:21" x14ac:dyDescent="0.25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</row>
    <row r="25" spans="1:21" ht="15.75" x14ac:dyDescent="0.25">
      <c r="A25" s="204"/>
      <c r="B25" s="250" t="s">
        <v>123</v>
      </c>
      <c r="C25" s="250">
        <v>2016</v>
      </c>
      <c r="D25" s="250">
        <v>2019</v>
      </c>
      <c r="E25" s="250" t="s">
        <v>111</v>
      </c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</row>
    <row r="26" spans="1:21" x14ac:dyDescent="0.25">
      <c r="A26" s="204"/>
      <c r="B26" s="224" t="s">
        <v>124</v>
      </c>
      <c r="C26" s="224">
        <v>950</v>
      </c>
      <c r="D26" s="224">
        <v>1700</v>
      </c>
      <c r="E26" s="225">
        <v>0.2</v>
      </c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</row>
    <row r="27" spans="1:21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</row>
    <row r="28" spans="1:21" x14ac:dyDescent="0.25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</row>
    <row r="29" spans="1:21" x14ac:dyDescent="0.25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</row>
    <row r="30" spans="1:21" ht="15.75" x14ac:dyDescent="0.25">
      <c r="A30" s="273" t="s">
        <v>125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4"/>
    </row>
    <row r="31" spans="1:21" x14ac:dyDescent="0.25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</row>
    <row r="32" spans="1:21" ht="15.75" x14ac:dyDescent="0.25">
      <c r="A32" s="204"/>
      <c r="B32" s="250" t="s">
        <v>126</v>
      </c>
      <c r="C32" s="250">
        <v>2020</v>
      </c>
      <c r="D32" s="250">
        <v>2024</v>
      </c>
      <c r="E32" s="250">
        <v>2025</v>
      </c>
      <c r="F32" s="250">
        <v>2026</v>
      </c>
      <c r="G32" s="250">
        <v>2027</v>
      </c>
      <c r="H32" s="250">
        <v>2028</v>
      </c>
      <c r="I32" s="250">
        <v>2029</v>
      </c>
      <c r="J32" s="250">
        <v>2030</v>
      </c>
      <c r="K32" s="250">
        <v>2031</v>
      </c>
      <c r="L32" s="250">
        <v>2032</v>
      </c>
      <c r="M32" s="250">
        <v>2033</v>
      </c>
      <c r="N32" s="250">
        <v>2034</v>
      </c>
      <c r="O32" s="250">
        <v>2035</v>
      </c>
      <c r="P32" s="204"/>
      <c r="Q32" s="204"/>
      <c r="R32" s="204"/>
      <c r="S32" s="204"/>
      <c r="T32" s="204"/>
    </row>
    <row r="33" spans="1:21" x14ac:dyDescent="0.25">
      <c r="A33" s="204"/>
      <c r="B33" s="224" t="s">
        <v>127</v>
      </c>
      <c r="C33" s="224" t="s">
        <v>128</v>
      </c>
      <c r="D33" s="224" t="s">
        <v>128</v>
      </c>
      <c r="E33" s="224" t="s">
        <v>128</v>
      </c>
      <c r="F33" s="224" t="s">
        <v>128</v>
      </c>
      <c r="G33" s="224" t="s">
        <v>128</v>
      </c>
      <c r="H33" s="224">
        <v>0.42</v>
      </c>
      <c r="I33" s="224">
        <v>0.84</v>
      </c>
      <c r="J33" s="224">
        <v>1.26</v>
      </c>
      <c r="K33" s="224">
        <v>1.68</v>
      </c>
      <c r="L33" s="224">
        <v>2.1</v>
      </c>
      <c r="M33" s="224">
        <v>2.1</v>
      </c>
      <c r="N33" s="224">
        <v>2.1</v>
      </c>
      <c r="O33" s="224">
        <v>2.1</v>
      </c>
      <c r="P33" s="204"/>
      <c r="Q33" s="204"/>
      <c r="R33" s="204"/>
      <c r="S33" s="204"/>
      <c r="T33" s="204"/>
    </row>
    <row r="34" spans="1:21" x14ac:dyDescent="0.25">
      <c r="A34" s="204"/>
      <c r="B34" s="224" t="s">
        <v>129</v>
      </c>
      <c r="C34" s="224">
        <v>0.08</v>
      </c>
      <c r="D34" s="224">
        <v>0.24</v>
      </c>
      <c r="E34" s="224">
        <v>0.28000000000000003</v>
      </c>
      <c r="F34" s="224">
        <v>0.32</v>
      </c>
      <c r="G34" s="224">
        <v>0.36</v>
      </c>
      <c r="H34" s="224">
        <v>0.45</v>
      </c>
      <c r="I34" s="224">
        <v>0.62</v>
      </c>
      <c r="J34" s="224">
        <v>0.81</v>
      </c>
      <c r="K34" s="224">
        <v>1.02</v>
      </c>
      <c r="L34" s="224">
        <v>1.25</v>
      </c>
      <c r="M34" s="224">
        <v>1.5</v>
      </c>
      <c r="N34" s="224">
        <v>1.78</v>
      </c>
      <c r="O34" s="224">
        <v>2.06</v>
      </c>
      <c r="P34" s="204"/>
      <c r="Q34" s="204"/>
      <c r="R34" s="204"/>
      <c r="S34" s="204"/>
      <c r="T34" s="204"/>
    </row>
    <row r="35" spans="1:21" x14ac:dyDescent="0.25">
      <c r="A35" s="204"/>
      <c r="B35" s="224" t="s">
        <v>130</v>
      </c>
      <c r="C35" s="224">
        <v>1.29</v>
      </c>
      <c r="D35" s="224">
        <v>1.76</v>
      </c>
      <c r="E35" s="224">
        <v>1.76</v>
      </c>
      <c r="F35" s="224">
        <v>1.75</v>
      </c>
      <c r="G35" s="224">
        <v>1.75</v>
      </c>
      <c r="H35" s="224">
        <v>1.99</v>
      </c>
      <c r="I35" s="224">
        <v>2.46</v>
      </c>
      <c r="J35" s="224">
        <v>2.9</v>
      </c>
      <c r="K35" s="224">
        <v>3.33</v>
      </c>
      <c r="L35" s="224">
        <v>3.73</v>
      </c>
      <c r="M35" s="224">
        <v>4.12</v>
      </c>
      <c r="N35" s="224">
        <v>4.4800000000000004</v>
      </c>
      <c r="O35" s="224">
        <v>4.8</v>
      </c>
      <c r="P35" s="204"/>
      <c r="Q35" s="204"/>
      <c r="R35" s="204"/>
      <c r="S35" s="204"/>
      <c r="T35" s="204"/>
    </row>
    <row r="36" spans="1:21" x14ac:dyDescent="0.25">
      <c r="A36" s="204"/>
      <c r="B36" s="224" t="s">
        <v>131</v>
      </c>
      <c r="C36" s="224">
        <v>1.37</v>
      </c>
      <c r="D36" s="224">
        <v>2</v>
      </c>
      <c r="E36" s="224">
        <v>2.04</v>
      </c>
      <c r="F36" s="224">
        <v>2.0699999999999998</v>
      </c>
      <c r="G36" s="224">
        <v>2.11</v>
      </c>
      <c r="H36" s="224">
        <v>2.86</v>
      </c>
      <c r="I36" s="224">
        <v>3.92</v>
      </c>
      <c r="J36" s="224">
        <v>4.9800000000000004</v>
      </c>
      <c r="K36" s="224">
        <v>6.03</v>
      </c>
      <c r="L36" s="224">
        <v>7.09</v>
      </c>
      <c r="M36" s="224">
        <v>7.72</v>
      </c>
      <c r="N36" s="224">
        <v>8.36</v>
      </c>
      <c r="O36" s="224">
        <v>8.9600000000000009</v>
      </c>
      <c r="P36" s="204"/>
      <c r="Q36" s="204"/>
      <c r="R36" s="204"/>
      <c r="S36" s="204"/>
      <c r="T36" s="204"/>
    </row>
    <row r="37" spans="1:21" x14ac:dyDescent="0.25">
      <c r="A37" s="204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</row>
    <row r="38" spans="1:21" x14ac:dyDescent="0.25">
      <c r="A38" s="204"/>
      <c r="B38" s="224" t="s">
        <v>132</v>
      </c>
      <c r="C38" s="224">
        <v>0</v>
      </c>
      <c r="D38" s="224">
        <v>0</v>
      </c>
      <c r="E38" s="224">
        <v>0</v>
      </c>
      <c r="F38" s="224">
        <v>0</v>
      </c>
      <c r="G38" s="224">
        <v>0</v>
      </c>
      <c r="H38" s="224">
        <v>1.1000000000000001</v>
      </c>
      <c r="I38" s="224">
        <v>2.58</v>
      </c>
      <c r="J38" s="224">
        <v>4.42</v>
      </c>
      <c r="K38" s="224">
        <v>6.63</v>
      </c>
      <c r="L38" s="224">
        <v>9.1999999999999993</v>
      </c>
      <c r="M38" s="224">
        <v>10.68</v>
      </c>
      <c r="N38" s="224">
        <v>11.78</v>
      </c>
      <c r="O38" s="224">
        <v>12.52</v>
      </c>
      <c r="P38" s="204"/>
      <c r="Q38" s="204"/>
      <c r="R38" s="204"/>
      <c r="S38" s="204"/>
      <c r="T38" s="204"/>
    </row>
    <row r="39" spans="1:21" x14ac:dyDescent="0.25">
      <c r="A39" s="204"/>
      <c r="B39" s="224" t="s">
        <v>133</v>
      </c>
      <c r="C39" s="224">
        <v>0.37</v>
      </c>
      <c r="D39" s="224">
        <v>0.8</v>
      </c>
      <c r="E39" s="224">
        <v>0.94</v>
      </c>
      <c r="F39" s="224">
        <v>1.0900000000000001</v>
      </c>
      <c r="G39" s="224">
        <v>1.26</v>
      </c>
      <c r="H39" s="224">
        <v>1.58</v>
      </c>
      <c r="I39" s="224">
        <v>2.12</v>
      </c>
      <c r="J39" s="224">
        <v>2.75</v>
      </c>
      <c r="K39" s="224">
        <v>3.48</v>
      </c>
      <c r="L39" s="224">
        <v>4.3099999999999996</v>
      </c>
      <c r="M39" s="224">
        <v>5.26</v>
      </c>
      <c r="N39" s="224">
        <v>6.28</v>
      </c>
      <c r="O39" s="224">
        <v>7.39</v>
      </c>
      <c r="P39" s="204"/>
      <c r="Q39" s="204"/>
      <c r="R39" s="204"/>
      <c r="S39" s="204"/>
      <c r="T39" s="204"/>
    </row>
    <row r="40" spans="1:21" x14ac:dyDescent="0.25">
      <c r="A40" s="204"/>
      <c r="B40" s="224" t="s">
        <v>134</v>
      </c>
      <c r="C40" s="224">
        <v>4.45</v>
      </c>
      <c r="D40" s="224">
        <v>6.24</v>
      </c>
      <c r="E40" s="224">
        <v>6.57</v>
      </c>
      <c r="F40" s="224">
        <v>6.65</v>
      </c>
      <c r="G40" s="224">
        <v>6.73</v>
      </c>
      <c r="H40" s="224">
        <v>7.23</v>
      </c>
      <c r="I40" s="224">
        <v>8.18</v>
      </c>
      <c r="J40" s="224">
        <v>9.19</v>
      </c>
      <c r="K40" s="224">
        <v>10.23</v>
      </c>
      <c r="L40" s="224">
        <v>11.33</v>
      </c>
      <c r="M40" s="224">
        <v>12.46</v>
      </c>
      <c r="N40" s="224">
        <v>13.63</v>
      </c>
      <c r="O40" s="224">
        <v>14.79</v>
      </c>
      <c r="P40" s="204"/>
      <c r="Q40" s="204"/>
      <c r="R40" s="204"/>
      <c r="S40" s="204"/>
      <c r="T40" s="204"/>
    </row>
    <row r="41" spans="1:21" x14ac:dyDescent="0.25">
      <c r="A41" s="204"/>
      <c r="B41" s="224" t="s">
        <v>135</v>
      </c>
      <c r="C41" s="224">
        <v>4.82</v>
      </c>
      <c r="D41" s="224">
        <v>7.04</v>
      </c>
      <c r="E41" s="224">
        <v>7.51</v>
      </c>
      <c r="F41" s="224">
        <v>7.74</v>
      </c>
      <c r="G41" s="224">
        <v>7.99</v>
      </c>
      <c r="H41" s="224">
        <v>9.92</v>
      </c>
      <c r="I41" s="224">
        <v>12.88</v>
      </c>
      <c r="J41" s="224">
        <v>16.350000000000001</v>
      </c>
      <c r="K41" s="224">
        <v>20.34</v>
      </c>
      <c r="L41" s="224">
        <v>24.85</v>
      </c>
      <c r="M41" s="224">
        <v>28.4</v>
      </c>
      <c r="N41" s="224">
        <v>31.7</v>
      </c>
      <c r="O41" s="224">
        <v>34.700000000000003</v>
      </c>
      <c r="P41" s="204"/>
      <c r="Q41" s="204"/>
      <c r="R41" s="204"/>
      <c r="S41" s="204"/>
      <c r="T41" s="204"/>
    </row>
    <row r="42" spans="1:21" x14ac:dyDescent="0.25">
      <c r="A42" s="204"/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</row>
    <row r="43" spans="1:21" x14ac:dyDescent="0.25">
      <c r="A43" s="204"/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</row>
    <row r="44" spans="1:21" x14ac:dyDescent="0.25">
      <c r="A44" s="204"/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</row>
    <row r="45" spans="1:21" x14ac:dyDescent="0.25">
      <c r="A45" s="204"/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</row>
    <row r="46" spans="1:21" x14ac:dyDescent="0.25">
      <c r="A46" s="204"/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</row>
    <row r="47" spans="1:21" x14ac:dyDescent="0.25">
      <c r="A47" s="204"/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</row>
    <row r="48" spans="1:21" ht="15.75" x14ac:dyDescent="0.25">
      <c r="A48" s="275" t="s">
        <v>136</v>
      </c>
      <c r="B48" s="275"/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</row>
    <row r="49" spans="1:21" ht="18.75" customHeight="1" x14ac:dyDescent="0.25"/>
    <row r="50" spans="1:21" ht="15.75" x14ac:dyDescent="0.25">
      <c r="A50" s="268" t="s">
        <v>137</v>
      </c>
      <c r="B50" s="268"/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</row>
    <row r="51" spans="1:21" ht="302.10000000000002" customHeight="1" x14ac:dyDescent="0.25">
      <c r="A51" s="281" t="s">
        <v>138</v>
      </c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</row>
    <row r="52" spans="1:21" x14ac:dyDescent="0.25">
      <c r="A52" s="257"/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</row>
    <row r="53" spans="1:21" x14ac:dyDescent="0.25">
      <c r="A53" s="257"/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</row>
    <row r="54" spans="1:21" ht="15.75" x14ac:dyDescent="0.25">
      <c r="A54" s="268" t="s">
        <v>139</v>
      </c>
      <c r="B54" s="268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8"/>
      <c r="T54" s="268"/>
      <c r="U54" s="268"/>
    </row>
    <row r="55" spans="1:21" ht="15" customHeight="1" x14ac:dyDescent="0.25">
      <c r="A55" s="257"/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</row>
    <row r="56" spans="1:21" ht="20.100000000000001" customHeight="1" x14ac:dyDescent="0.25">
      <c r="A56" s="257"/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</row>
    <row r="57" spans="1:21" ht="33" customHeight="1" x14ac:dyDescent="0.25">
      <c r="A57" s="204"/>
      <c r="B57" s="255" t="s">
        <v>140</v>
      </c>
      <c r="C57" s="216">
        <v>2019</v>
      </c>
      <c r="D57" s="216">
        <v>2020</v>
      </c>
      <c r="E57" s="216">
        <v>2021</v>
      </c>
      <c r="F57" s="216">
        <v>2022</v>
      </c>
      <c r="G57" s="217">
        <v>2023</v>
      </c>
      <c r="H57" s="215">
        <v>2024</v>
      </c>
      <c r="I57" s="216">
        <v>2025</v>
      </c>
      <c r="J57" s="216">
        <v>2026</v>
      </c>
      <c r="K57" s="216">
        <v>2027</v>
      </c>
      <c r="L57" s="216">
        <v>2028</v>
      </c>
      <c r="M57" s="216">
        <v>2029</v>
      </c>
      <c r="N57" s="226"/>
      <c r="O57" s="226"/>
      <c r="P57" s="226"/>
      <c r="Q57" s="226"/>
      <c r="R57" s="226"/>
      <c r="S57" s="226"/>
      <c r="T57" s="226"/>
      <c r="U57" s="226"/>
    </row>
    <row r="58" spans="1:21" ht="15.75" customHeight="1" x14ac:dyDescent="0.25">
      <c r="A58" s="204"/>
      <c r="B58" s="249"/>
      <c r="C58" s="245">
        <f>C20</f>
        <v>5.5</v>
      </c>
      <c r="D58" s="245"/>
      <c r="E58" s="245"/>
      <c r="F58" s="245"/>
      <c r="G58" s="245"/>
      <c r="H58" s="245">
        <f>D20</f>
        <v>10.3</v>
      </c>
      <c r="I58" s="245"/>
      <c r="J58" s="245"/>
      <c r="K58" s="245"/>
      <c r="L58" s="245"/>
      <c r="M58" s="245">
        <f>E20</f>
        <v>20.2</v>
      </c>
      <c r="N58" s="226"/>
      <c r="O58" s="226"/>
      <c r="P58" s="226"/>
      <c r="Q58" s="226"/>
      <c r="R58" s="226"/>
      <c r="S58" s="226"/>
      <c r="T58" s="226"/>
      <c r="U58" s="226"/>
    </row>
    <row r="59" spans="1:21" x14ac:dyDescent="0.25">
      <c r="A59" s="204"/>
      <c r="N59" s="204"/>
      <c r="O59" s="204"/>
      <c r="P59" s="204"/>
      <c r="Q59" s="204"/>
      <c r="R59" s="204"/>
      <c r="S59" s="204"/>
      <c r="T59" s="204"/>
    </row>
    <row r="60" spans="1:21" ht="15.75" x14ac:dyDescent="0.25">
      <c r="A60" s="204"/>
      <c r="B60" s="215" t="s">
        <v>141</v>
      </c>
      <c r="C60" s="216">
        <v>2019</v>
      </c>
      <c r="D60" s="216">
        <v>2020</v>
      </c>
      <c r="E60" s="216">
        <v>2021</v>
      </c>
      <c r="F60" s="216">
        <v>2022</v>
      </c>
      <c r="G60" s="217">
        <v>2023</v>
      </c>
      <c r="H60" s="215">
        <v>2024</v>
      </c>
      <c r="I60" s="216">
        <v>2025</v>
      </c>
      <c r="J60" s="216">
        <v>2026</v>
      </c>
      <c r="K60" s="216">
        <v>2027</v>
      </c>
      <c r="L60" s="216">
        <v>2028</v>
      </c>
      <c r="M60" s="216">
        <v>2029</v>
      </c>
      <c r="N60" s="204"/>
      <c r="O60" s="204"/>
      <c r="P60" s="204"/>
      <c r="Q60" s="204"/>
      <c r="R60" s="204"/>
      <c r="S60" s="204"/>
      <c r="T60" s="204"/>
    </row>
    <row r="61" spans="1:21" ht="15.75" x14ac:dyDescent="0.25">
      <c r="A61" s="204"/>
      <c r="B61" s="204" t="s">
        <v>142</v>
      </c>
      <c r="C61" s="218">
        <f>C58</f>
        <v>5.5</v>
      </c>
      <c r="D61" s="219">
        <f>C61</f>
        <v>5.5</v>
      </c>
      <c r="E61" s="219">
        <f t="shared" ref="E61:M61" si="0">D61</f>
        <v>5.5</v>
      </c>
      <c r="F61" s="219">
        <f t="shared" si="0"/>
        <v>5.5</v>
      </c>
      <c r="G61" s="219">
        <f t="shared" si="0"/>
        <v>5.5</v>
      </c>
      <c r="H61" s="219">
        <f t="shared" si="0"/>
        <v>5.5</v>
      </c>
      <c r="I61" s="219">
        <f t="shared" si="0"/>
        <v>5.5</v>
      </c>
      <c r="J61" s="219">
        <f t="shared" si="0"/>
        <v>5.5</v>
      </c>
      <c r="K61" s="219">
        <f t="shared" si="0"/>
        <v>5.5</v>
      </c>
      <c r="L61" s="219">
        <f t="shared" si="0"/>
        <v>5.5</v>
      </c>
      <c r="M61" s="219">
        <f t="shared" si="0"/>
        <v>5.5</v>
      </c>
      <c r="N61" s="204"/>
      <c r="O61" s="204"/>
      <c r="P61" s="204"/>
      <c r="Q61" s="204"/>
      <c r="R61" s="204"/>
      <c r="S61" s="204"/>
      <c r="T61" s="204"/>
    </row>
    <row r="62" spans="1:21" x14ac:dyDescent="0.25">
      <c r="A62" s="204"/>
      <c r="B62" s="204"/>
      <c r="C62" s="204"/>
      <c r="D62" s="220">
        <f>(H58-C58)/5</f>
        <v>0.96000000000000019</v>
      </c>
      <c r="E62" s="214">
        <v>0.96</v>
      </c>
      <c r="F62" s="214">
        <v>0.96</v>
      </c>
      <c r="G62" s="214">
        <v>0.96</v>
      </c>
      <c r="H62" s="214">
        <v>0.96</v>
      </c>
      <c r="I62" s="214">
        <v>0.96</v>
      </c>
      <c r="J62" s="214">
        <v>0.96</v>
      </c>
      <c r="K62" s="214">
        <v>0.96</v>
      </c>
      <c r="L62" s="214">
        <v>0.96</v>
      </c>
      <c r="M62" s="214">
        <v>0.96</v>
      </c>
      <c r="N62" s="204"/>
      <c r="O62" s="204"/>
      <c r="P62" s="204"/>
      <c r="Q62" s="204"/>
      <c r="R62" s="204"/>
      <c r="S62" s="204"/>
      <c r="T62" s="204"/>
    </row>
    <row r="63" spans="1:21" x14ac:dyDescent="0.25">
      <c r="A63" s="204"/>
      <c r="B63" s="204"/>
      <c r="C63" s="204"/>
      <c r="D63" s="204"/>
      <c r="E63" s="220">
        <f>(H58-C58)/5</f>
        <v>0.96000000000000019</v>
      </c>
      <c r="F63" s="214">
        <v>0.96</v>
      </c>
      <c r="G63" s="214">
        <v>0.96</v>
      </c>
      <c r="H63" s="214">
        <v>0.96</v>
      </c>
      <c r="I63" s="214">
        <v>0.96</v>
      </c>
      <c r="J63" s="214">
        <v>0.96</v>
      </c>
      <c r="K63" s="214">
        <v>0.96</v>
      </c>
      <c r="L63" s="214">
        <v>0.96</v>
      </c>
      <c r="M63" s="214">
        <v>0.96</v>
      </c>
      <c r="N63" s="204"/>
      <c r="O63" s="204"/>
      <c r="P63" s="204"/>
      <c r="Q63" s="204"/>
      <c r="R63" s="204"/>
      <c r="S63" s="204"/>
      <c r="T63" s="204"/>
    </row>
    <row r="64" spans="1:21" x14ac:dyDescent="0.25">
      <c r="A64" s="204"/>
      <c r="B64" s="204"/>
      <c r="C64" s="204"/>
      <c r="D64" s="204"/>
      <c r="E64" s="204"/>
      <c r="F64" s="220">
        <f>(H58-C58)/5</f>
        <v>0.96000000000000019</v>
      </c>
      <c r="G64" s="214">
        <v>0.96</v>
      </c>
      <c r="H64" s="214">
        <v>0.96</v>
      </c>
      <c r="I64" s="214">
        <v>0.96</v>
      </c>
      <c r="J64" s="214">
        <v>0.96</v>
      </c>
      <c r="K64" s="214">
        <v>0.96</v>
      </c>
      <c r="L64" s="214">
        <v>0.96</v>
      </c>
      <c r="M64" s="214">
        <v>0.96</v>
      </c>
      <c r="N64" s="204"/>
      <c r="O64" s="204"/>
      <c r="P64" s="204"/>
      <c r="Q64" s="204"/>
      <c r="R64" s="204"/>
      <c r="S64" s="204"/>
      <c r="T64" s="204"/>
    </row>
    <row r="65" spans="1:20" x14ac:dyDescent="0.25">
      <c r="A65" s="204"/>
      <c r="B65" s="204"/>
      <c r="C65" s="204"/>
      <c r="D65" s="204"/>
      <c r="E65" s="204"/>
      <c r="F65" s="204"/>
      <c r="G65" s="221">
        <f>(H58-C58)/5</f>
        <v>0.96000000000000019</v>
      </c>
      <c r="H65" s="220">
        <v>0.96</v>
      </c>
      <c r="I65" s="214">
        <v>0.96</v>
      </c>
      <c r="J65" s="214">
        <v>0.96</v>
      </c>
      <c r="K65" s="214">
        <v>0.96</v>
      </c>
      <c r="L65" s="214">
        <v>0.96</v>
      </c>
      <c r="M65" s="214">
        <v>0.96</v>
      </c>
      <c r="N65" s="204"/>
      <c r="O65" s="204"/>
      <c r="P65" s="204"/>
      <c r="Q65" s="204"/>
      <c r="R65" s="204"/>
      <c r="S65" s="204"/>
      <c r="T65" s="204"/>
    </row>
    <row r="66" spans="1:20" x14ac:dyDescent="0.25">
      <c r="A66" s="204"/>
      <c r="B66" s="204"/>
      <c r="C66" s="204"/>
      <c r="D66" s="204"/>
      <c r="E66" s="204"/>
      <c r="F66" s="204"/>
      <c r="G66" s="204"/>
      <c r="H66" s="220">
        <f>(H58-C58)/5</f>
        <v>0.96000000000000019</v>
      </c>
      <c r="I66" s="214">
        <v>0.96</v>
      </c>
      <c r="J66" s="214">
        <v>0.96</v>
      </c>
      <c r="K66" s="214">
        <v>0.96</v>
      </c>
      <c r="L66" s="214">
        <v>0.96</v>
      </c>
      <c r="M66" s="214">
        <v>0.96</v>
      </c>
      <c r="N66" s="204"/>
      <c r="O66" s="204"/>
      <c r="P66" s="204"/>
      <c r="Q66" s="204"/>
      <c r="R66" s="204"/>
      <c r="S66" s="204"/>
      <c r="T66" s="204"/>
    </row>
    <row r="67" spans="1:20" x14ac:dyDescent="0.25">
      <c r="A67" s="204"/>
      <c r="B67" s="204"/>
      <c r="C67" s="204"/>
      <c r="D67" s="204"/>
      <c r="E67" s="204"/>
      <c r="F67" s="204"/>
      <c r="G67" s="204"/>
      <c r="H67" s="204"/>
      <c r="I67" s="220">
        <f>(M58-H58)/5</f>
        <v>1.9799999999999998</v>
      </c>
      <c r="J67" s="214">
        <v>1.98</v>
      </c>
      <c r="K67" s="214">
        <v>1.98</v>
      </c>
      <c r="L67" s="214">
        <v>1.98</v>
      </c>
      <c r="M67" s="214">
        <v>1.98</v>
      </c>
      <c r="N67" s="204"/>
      <c r="O67" s="204"/>
      <c r="P67" s="204"/>
      <c r="Q67" s="204"/>
      <c r="R67" s="204"/>
      <c r="S67" s="204"/>
      <c r="T67" s="204"/>
    </row>
    <row r="68" spans="1:20" x14ac:dyDescent="0.25">
      <c r="A68" s="204"/>
      <c r="B68" s="204"/>
      <c r="C68" s="204"/>
      <c r="D68" s="204"/>
      <c r="E68" s="204"/>
      <c r="F68" s="204"/>
      <c r="G68" s="204"/>
      <c r="H68" s="204"/>
      <c r="I68" s="204"/>
      <c r="J68" s="220">
        <f>(M58-H58)/5</f>
        <v>1.9799999999999998</v>
      </c>
      <c r="K68" s="214">
        <v>1.98</v>
      </c>
      <c r="L68" s="214">
        <v>1.98</v>
      </c>
      <c r="M68" s="214">
        <v>1.98</v>
      </c>
      <c r="N68" s="204"/>
      <c r="O68" s="204"/>
      <c r="P68" s="204"/>
      <c r="Q68" s="204"/>
      <c r="R68" s="204"/>
      <c r="S68" s="204"/>
      <c r="T68" s="204"/>
    </row>
    <row r="69" spans="1:20" x14ac:dyDescent="0.25">
      <c r="A69" s="204"/>
      <c r="B69" s="204"/>
      <c r="C69" s="204"/>
      <c r="D69" s="204"/>
      <c r="E69" s="204"/>
      <c r="F69" s="204"/>
      <c r="G69" s="204"/>
      <c r="H69" s="204"/>
      <c r="I69" s="204"/>
      <c r="J69" s="204"/>
      <c r="K69" s="220">
        <f>(M58-H58)/5</f>
        <v>1.9799999999999998</v>
      </c>
      <c r="L69" s="214">
        <v>1.98</v>
      </c>
      <c r="M69" s="214">
        <v>1.98</v>
      </c>
      <c r="N69" s="204"/>
      <c r="O69" s="204"/>
      <c r="P69" s="204"/>
      <c r="Q69" s="204"/>
      <c r="R69" s="204"/>
      <c r="S69" s="204"/>
      <c r="T69" s="204"/>
    </row>
    <row r="70" spans="1:20" x14ac:dyDescent="0.25">
      <c r="A70" s="204"/>
      <c r="B70" s="204"/>
      <c r="C70" s="204"/>
      <c r="D70" s="204"/>
      <c r="E70" s="204"/>
      <c r="F70" s="204"/>
      <c r="G70" s="204"/>
      <c r="H70" s="204"/>
      <c r="I70" s="204"/>
      <c r="J70" s="204"/>
      <c r="K70" s="204"/>
      <c r="L70" s="220">
        <f>(M58-H58)/5</f>
        <v>1.9799999999999998</v>
      </c>
      <c r="M70" s="214">
        <v>1.98</v>
      </c>
      <c r="N70" s="204"/>
      <c r="O70" s="204"/>
      <c r="P70" s="204"/>
      <c r="Q70" s="204"/>
      <c r="R70" s="204"/>
      <c r="S70" s="204"/>
      <c r="T70" s="204"/>
    </row>
    <row r="71" spans="1:20" x14ac:dyDescent="0.25">
      <c r="A71" s="204"/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20">
        <f>(M58-H58)/5</f>
        <v>1.9799999999999998</v>
      </c>
      <c r="N71" s="204"/>
      <c r="O71" s="204"/>
      <c r="P71" s="204"/>
      <c r="Q71" s="204"/>
      <c r="R71" s="204"/>
      <c r="S71" s="204"/>
      <c r="T71" s="204"/>
    </row>
    <row r="72" spans="1:20" x14ac:dyDescent="0.25">
      <c r="A72" s="204"/>
      <c r="B72" s="204"/>
      <c r="C72" s="204"/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</row>
    <row r="73" spans="1:20" x14ac:dyDescent="0.25">
      <c r="A73" s="205"/>
      <c r="B73" s="205"/>
      <c r="C73" s="205"/>
      <c r="D73" s="205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205"/>
    </row>
    <row r="74" spans="1:20" x14ac:dyDescent="0.25">
      <c r="A74" s="204"/>
      <c r="B74" s="204"/>
      <c r="C74" s="204"/>
      <c r="D74" s="204"/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204"/>
    </row>
    <row r="75" spans="1:20" ht="15.75" x14ac:dyDescent="0.25">
      <c r="A75" s="204"/>
      <c r="B75" s="228" t="s">
        <v>143</v>
      </c>
      <c r="C75" s="222">
        <v>1</v>
      </c>
      <c r="D75" s="222">
        <v>2</v>
      </c>
      <c r="E75" s="222">
        <v>3</v>
      </c>
      <c r="F75" s="222">
        <v>4</v>
      </c>
      <c r="G75" s="222">
        <v>5</v>
      </c>
      <c r="H75" s="222">
        <v>6</v>
      </c>
      <c r="I75" s="222">
        <v>7</v>
      </c>
      <c r="J75" s="222">
        <v>8</v>
      </c>
      <c r="K75" s="222">
        <v>9</v>
      </c>
      <c r="L75" s="222">
        <v>10</v>
      </c>
      <c r="M75" s="204"/>
      <c r="N75" s="204"/>
      <c r="O75" s="279" t="s">
        <v>144</v>
      </c>
      <c r="P75" s="279"/>
      <c r="Q75" s="204"/>
      <c r="R75" s="204"/>
      <c r="S75" s="204"/>
      <c r="T75" s="204"/>
    </row>
    <row r="76" spans="1:20" x14ac:dyDescent="0.25">
      <c r="A76" s="204"/>
      <c r="B76" s="224" t="s">
        <v>145</v>
      </c>
      <c r="C76" s="227">
        <v>0.27</v>
      </c>
      <c r="D76" s="238">
        <f>C76*(1+$O76)</f>
        <v>0.29505005985170324</v>
      </c>
      <c r="E76" s="238">
        <f t="shared" ref="E76:J76" si="1">D76*(1+$O76)</f>
        <v>0.32242421414256911</v>
      </c>
      <c r="F76" s="238">
        <f t="shared" si="1"/>
        <v>0.35233808770519776</v>
      </c>
      <c r="G76" s="238">
        <f t="shared" si="1"/>
        <v>0.38502731061278983</v>
      </c>
      <c r="H76" s="238">
        <f t="shared" si="1"/>
        <v>0.42074937422534803</v>
      </c>
      <c r="I76" s="238">
        <f t="shared" si="1"/>
        <v>0.45978565943613192</v>
      </c>
      <c r="J76" s="238">
        <f t="shared" si="1"/>
        <v>0.50244365309476136</v>
      </c>
      <c r="K76" s="238">
        <f>J76*(1+$O76)</f>
        <v>0.54905937006562133</v>
      </c>
      <c r="L76" s="238">
        <v>0.6</v>
      </c>
      <c r="M76" s="204"/>
      <c r="N76" s="204"/>
      <c r="O76" s="280">
        <f>(L76/C76)^(1/9)-1</f>
        <v>9.2777999450752713E-2</v>
      </c>
      <c r="P76" s="280"/>
      <c r="Q76" s="204"/>
      <c r="R76" s="204"/>
      <c r="S76" s="204"/>
      <c r="T76" s="204"/>
    </row>
    <row r="77" spans="1:20" x14ac:dyDescent="0.25">
      <c r="A77" s="204"/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</row>
    <row r="78" spans="1:20" x14ac:dyDescent="0.25">
      <c r="A78" s="204"/>
      <c r="B78" s="204"/>
      <c r="C78" s="204"/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</row>
    <row r="79" spans="1:20" x14ac:dyDescent="0.25">
      <c r="A79" s="204"/>
      <c r="B79" s="204"/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</row>
    <row r="80" spans="1:20" x14ac:dyDescent="0.25">
      <c r="A80" s="204"/>
      <c r="B80" s="204"/>
      <c r="C80" s="204"/>
      <c r="D80" s="204"/>
      <c r="E80" s="204"/>
      <c r="F80" s="204"/>
      <c r="G80" s="205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</row>
    <row r="81" spans="1:20" ht="15.75" x14ac:dyDescent="0.25">
      <c r="A81" s="204"/>
      <c r="B81" s="228" t="s">
        <v>146</v>
      </c>
      <c r="C81" s="239">
        <v>2019</v>
      </c>
      <c r="D81" s="239">
        <v>2020</v>
      </c>
      <c r="E81" s="239">
        <v>2021</v>
      </c>
      <c r="F81" s="239">
        <v>2022</v>
      </c>
      <c r="G81" s="240">
        <v>2023</v>
      </c>
      <c r="H81" s="241">
        <v>2024</v>
      </c>
      <c r="I81" s="239">
        <v>2025</v>
      </c>
      <c r="J81" s="239">
        <v>2026</v>
      </c>
      <c r="K81" s="239">
        <v>2027</v>
      </c>
      <c r="L81" s="239">
        <v>2028</v>
      </c>
      <c r="M81" s="239">
        <v>2029</v>
      </c>
      <c r="N81" s="229">
        <v>2030</v>
      </c>
      <c r="O81" s="229">
        <v>2031</v>
      </c>
      <c r="P81" s="229">
        <v>2032</v>
      </c>
      <c r="Q81" s="229">
        <v>2033</v>
      </c>
      <c r="R81" s="229">
        <v>2034</v>
      </c>
      <c r="S81" s="229">
        <v>2035</v>
      </c>
      <c r="T81" s="204"/>
    </row>
    <row r="82" spans="1:20" x14ac:dyDescent="0.25">
      <c r="A82" s="204"/>
      <c r="B82" s="224" t="s">
        <v>147</v>
      </c>
      <c r="C82" s="236">
        <f>C61*$L$76*365.25*24/1000</f>
        <v>28.927800000000001</v>
      </c>
      <c r="D82" s="236">
        <f>(D61*$L$76+D62*$C$76)*365.25*24/1000</f>
        <v>31.199947199999993</v>
      </c>
      <c r="E82" s="236">
        <f>(E61*$L$76+E62*D$76+E63*C$76)*365.25*24/1000</f>
        <v>33.682899671673631</v>
      </c>
      <c r="F82" s="236">
        <f>(F61*$L$76+F62*E$76+F63*D$76+F64*C76)*365.25*24/1000</f>
        <v>36.396215506400438</v>
      </c>
      <c r="G82" s="236">
        <f>(G61*$L$76+G62*F76+G63*E76+G64*D76+G65*C76)*365.25*24/1000</f>
        <v>39.361267356151259</v>
      </c>
      <c r="H82" s="236">
        <f>(H61*$L$76+H62*G76+H63*F76+H64*E76+H65*D76+C76*H66)*365.25*24/1000</f>
        <v>42.601410784789714</v>
      </c>
      <c r="I82" s="236">
        <f>(I61*$L$76+I62*H76+I63*G76+I64*F76+I65*E76+D76*I66+I67*C76)*365.25*24/1000</f>
        <v>48.556324638670731</v>
      </c>
      <c r="J82" s="236">
        <f>(J61*$L$76+J62*I76+J63*H76+J64*G76+J65*F76+E76*J66+J67*D76+J68*C76)*365.25*24/1000</f>
        <v>55.063723486816407</v>
      </c>
      <c r="K82" s="236">
        <f>(K61*$L$76+K62*J76+K63*I76+K64*H76+K65*G76+F76*K66+K67*E76+K68*D76+K69*C76)*365.25*24/1000</f>
        <v>62.174865781721167</v>
      </c>
      <c r="L82" s="236">
        <f>(L61*$L$76+L62*K76+L63*J76+L64*I76+L65*H76+G76*L66+L67*F76+L68*E76+L69*D76+L70*C76)*365.25*24/1000</f>
        <v>69.945765632556842</v>
      </c>
      <c r="M82" s="236">
        <f>(M61*$L$76+M62*L76+M63*K76+M64*J76+M65*I76+H76*M66+M67*G76+M68*F76+M69*E76+M70*D76+M71*C76)*365.25*24/1000</f>
        <v>78.437634025485181</v>
      </c>
      <c r="N82" s="224"/>
      <c r="O82" s="224"/>
      <c r="P82" s="224"/>
      <c r="Q82" s="224"/>
      <c r="R82" s="224"/>
      <c r="S82" s="224"/>
      <c r="T82" s="204"/>
    </row>
    <row r="83" spans="1:20" x14ac:dyDescent="0.25">
      <c r="A83" s="204"/>
      <c r="B83" s="204"/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4"/>
    </row>
    <row r="84" spans="1:20" ht="15.75" x14ac:dyDescent="0.25">
      <c r="A84" s="204"/>
      <c r="B84" s="244" t="s">
        <v>111</v>
      </c>
      <c r="C84" s="276">
        <f>(H82/C82)^(1/5)-1</f>
        <v>8.0492396428910595E-2</v>
      </c>
      <c r="D84" s="276"/>
      <c r="E84" s="276"/>
      <c r="F84" s="276"/>
      <c r="G84" s="276"/>
      <c r="H84" s="277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4"/>
    </row>
    <row r="85" spans="1:20" x14ac:dyDescent="0.25">
      <c r="A85" s="204"/>
      <c r="B85" s="205"/>
      <c r="C85" s="205"/>
      <c r="D85" s="205"/>
      <c r="E85" s="205"/>
      <c r="F85" s="205"/>
      <c r="G85" s="205"/>
      <c r="H85" s="278">
        <f>(M82/H82)^(1/5)-1</f>
        <v>0.12984820704790101</v>
      </c>
      <c r="I85" s="276"/>
      <c r="J85" s="276"/>
      <c r="K85" s="276"/>
      <c r="L85" s="276"/>
      <c r="M85" s="277"/>
      <c r="N85" s="205"/>
      <c r="O85" s="205"/>
      <c r="P85" s="205"/>
      <c r="Q85" s="205"/>
      <c r="R85" s="205"/>
      <c r="S85" s="205"/>
      <c r="T85" s="204"/>
    </row>
    <row r="86" spans="1:20" x14ac:dyDescent="0.25">
      <c r="A86" s="204"/>
      <c r="B86" s="205"/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67">
        <f>G20</f>
        <v>0.14420233300560859</v>
      </c>
      <c r="O86" s="267"/>
      <c r="P86" s="267"/>
      <c r="Q86" s="267"/>
      <c r="R86" s="267"/>
      <c r="S86" s="267"/>
      <c r="T86" s="204"/>
    </row>
    <row r="87" spans="1:20" x14ac:dyDescent="0.25">
      <c r="A87" s="204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4"/>
      <c r="Q87" s="204"/>
      <c r="R87" s="204"/>
      <c r="S87" s="204"/>
      <c r="T87" s="204"/>
    </row>
    <row r="88" spans="1:20" ht="15.75" x14ac:dyDescent="0.25">
      <c r="A88" s="204"/>
      <c r="B88" s="228" t="s">
        <v>148</v>
      </c>
      <c r="C88" s="240">
        <v>2023</v>
      </c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4"/>
      <c r="Q88" s="204"/>
      <c r="R88" s="204"/>
      <c r="S88" s="204"/>
      <c r="T88" s="204"/>
    </row>
    <row r="89" spans="1:20" x14ac:dyDescent="0.25">
      <c r="A89" s="204"/>
      <c r="B89" s="224" t="s">
        <v>147</v>
      </c>
      <c r="C89" s="237">
        <v>97</v>
      </c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4"/>
      <c r="Q89" s="204"/>
      <c r="R89" s="204"/>
      <c r="S89" s="204"/>
      <c r="T89" s="204"/>
    </row>
    <row r="90" spans="1:20" x14ac:dyDescent="0.25">
      <c r="A90" s="204"/>
      <c r="B90" s="242" t="s">
        <v>149</v>
      </c>
      <c r="C90" s="243">
        <v>7</v>
      </c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</row>
    <row r="91" spans="1:20" x14ac:dyDescent="0.25">
      <c r="A91" s="204"/>
      <c r="B91" s="204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</row>
    <row r="92" spans="1:20" ht="15.75" x14ac:dyDescent="0.25">
      <c r="A92" s="204"/>
      <c r="B92" s="228" t="s">
        <v>150</v>
      </c>
      <c r="C92" s="228">
        <v>2023</v>
      </c>
      <c r="D92" s="228">
        <v>2024</v>
      </c>
      <c r="E92" s="228">
        <v>2025</v>
      </c>
      <c r="F92" s="228">
        <v>2026</v>
      </c>
      <c r="G92" s="228">
        <v>2027</v>
      </c>
      <c r="H92" s="228">
        <v>2028</v>
      </c>
      <c r="I92" s="228">
        <v>2029</v>
      </c>
      <c r="J92" s="228">
        <v>2030</v>
      </c>
      <c r="K92" s="228">
        <v>2031</v>
      </c>
      <c r="L92" s="228">
        <v>2032</v>
      </c>
      <c r="M92" s="228">
        <v>2033</v>
      </c>
      <c r="N92" s="228">
        <v>2034</v>
      </c>
      <c r="O92" s="228">
        <v>2035</v>
      </c>
      <c r="P92" s="204"/>
      <c r="Q92" s="204"/>
      <c r="R92" s="204"/>
      <c r="S92" s="204"/>
      <c r="T92" s="204"/>
    </row>
    <row r="93" spans="1:20" x14ac:dyDescent="0.25">
      <c r="A93" s="204"/>
      <c r="B93" s="224" t="s">
        <v>145</v>
      </c>
      <c r="C93" s="237">
        <f>0.6*(C89-C90)</f>
        <v>54</v>
      </c>
      <c r="D93" s="237">
        <f>C93*(1+$C84)</f>
        <v>58.346589407161176</v>
      </c>
      <c r="E93" s="237">
        <f>D93*(1+$H85)</f>
        <v>65.922789429041103</v>
      </c>
      <c r="F93" s="237">
        <f>E93*(1+$H85)</f>
        <v>74.482745439998411</v>
      </c>
      <c r="G93" s="237">
        <f>F93*(1+$H85)</f>
        <v>84.15419639138743</v>
      </c>
      <c r="H93" s="237">
        <f>G93*(1+$H85)</f>
        <v>95.081467908366022</v>
      </c>
      <c r="I93" s="237">
        <f>H93*(1+$H85)</f>
        <v>107.4276260397499</v>
      </c>
      <c r="J93" s="237">
        <f t="shared" ref="J93:O93" si="2">I93*(1+$N86)</f>
        <v>122.9189403439359</v>
      </c>
      <c r="K93" s="237">
        <f t="shared" si="2"/>
        <v>140.64413831210868</v>
      </c>
      <c r="L93" s="237">
        <f t="shared" si="2"/>
        <v>160.92535118027826</v>
      </c>
      <c r="M93" s="237">
        <f t="shared" si="2"/>
        <v>184.13116226022126</v>
      </c>
      <c r="N93" s="237">
        <f t="shared" si="2"/>
        <v>210.68330543717943</v>
      </c>
      <c r="O93" s="237">
        <f t="shared" si="2"/>
        <v>241.06432960655391</v>
      </c>
      <c r="P93" s="204"/>
      <c r="Q93" s="204"/>
      <c r="R93" s="204"/>
      <c r="S93" s="204"/>
      <c r="T93" s="204"/>
    </row>
    <row r="94" spans="1:20" x14ac:dyDescent="0.25">
      <c r="A94" s="204"/>
      <c r="B94" s="224" t="s">
        <v>151</v>
      </c>
      <c r="C94" s="237">
        <f>0.4*(C89-C90)</f>
        <v>36</v>
      </c>
      <c r="D94" s="237">
        <f t="shared" ref="D94:O94" si="3">C94*(1+$C84)</f>
        <v>38.897726271440781</v>
      </c>
      <c r="E94" s="237">
        <f t="shared" si="3"/>
        <v>42.028697474664845</v>
      </c>
      <c r="F94" s="237">
        <f t="shared" si="3"/>
        <v>45.411688053186325</v>
      </c>
      <c r="G94" s="237">
        <f t="shared" si="3"/>
        <v>49.066983650469425</v>
      </c>
      <c r="H94" s="237">
        <f t="shared" si="3"/>
        <v>53.016502750033887</v>
      </c>
      <c r="I94" s="237">
        <f t="shared" si="3"/>
        <v>57.283928106664042</v>
      </c>
      <c r="J94" s="237">
        <f t="shared" si="3"/>
        <v>61.894848756830861</v>
      </c>
      <c r="K94" s="237">
        <f t="shared" si="3"/>
        <v>66.876913459873151</v>
      </c>
      <c r="L94" s="237">
        <f t="shared" si="3"/>
        <v>72.259996490027206</v>
      </c>
      <c r="M94" s="237">
        <f t="shared" si="3"/>
        <v>78.076376773454157</v>
      </c>
      <c r="N94" s="237">
        <f t="shared" si="3"/>
        <v>84.360931444436019</v>
      </c>
      <c r="O94" s="237">
        <f t="shared" si="3"/>
        <v>91.151344981373711</v>
      </c>
      <c r="P94" s="204"/>
      <c r="Q94" s="204"/>
      <c r="R94" s="204"/>
      <c r="S94" s="204"/>
      <c r="T94" s="204"/>
    </row>
    <row r="95" spans="1:20" x14ac:dyDescent="0.25">
      <c r="A95" s="204"/>
      <c r="B95" s="224" t="s">
        <v>152</v>
      </c>
      <c r="C95" s="237">
        <v>7</v>
      </c>
      <c r="D95" s="237">
        <f>1.15*C95</f>
        <v>8.0499999999999989</v>
      </c>
      <c r="E95" s="237">
        <f t="shared" ref="E95:O95" si="4">1.15*D95</f>
        <v>9.2574999999999985</v>
      </c>
      <c r="F95" s="237">
        <f t="shared" si="4"/>
        <v>10.646124999999998</v>
      </c>
      <c r="G95" s="237">
        <f t="shared" si="4"/>
        <v>12.243043749999996</v>
      </c>
      <c r="H95" s="237">
        <f t="shared" si="4"/>
        <v>14.079500312499995</v>
      </c>
      <c r="I95" s="237">
        <f t="shared" si="4"/>
        <v>16.191425359374993</v>
      </c>
      <c r="J95" s="237">
        <f t="shared" si="4"/>
        <v>18.620139163281241</v>
      </c>
      <c r="K95" s="237">
        <f t="shared" si="4"/>
        <v>21.413160037773427</v>
      </c>
      <c r="L95" s="237">
        <f t="shared" si="4"/>
        <v>24.625134043439438</v>
      </c>
      <c r="M95" s="237">
        <f t="shared" si="4"/>
        <v>28.318904149955351</v>
      </c>
      <c r="N95" s="237">
        <f t="shared" si="4"/>
        <v>32.566739772448649</v>
      </c>
      <c r="O95" s="237">
        <f t="shared" si="4"/>
        <v>37.451750738315944</v>
      </c>
      <c r="P95" s="204"/>
      <c r="Q95" s="204"/>
      <c r="R95" s="204"/>
      <c r="S95" s="204"/>
      <c r="T95" s="204"/>
    </row>
    <row r="96" spans="1:20" x14ac:dyDescent="0.25">
      <c r="A96" s="204"/>
      <c r="B96" s="224" t="s">
        <v>153</v>
      </c>
      <c r="C96" s="237">
        <f>SUM(C93:C95)</f>
        <v>97</v>
      </c>
      <c r="D96" s="237">
        <f t="shared" ref="D96:O96" si="5">SUM(D93:D95)</f>
        <v>105.29431567860196</v>
      </c>
      <c r="E96" s="237">
        <f t="shared" si="5"/>
        <v>117.20898690370595</v>
      </c>
      <c r="F96" s="237">
        <f t="shared" si="5"/>
        <v>130.54055849318473</v>
      </c>
      <c r="G96" s="237">
        <f t="shared" si="5"/>
        <v>145.46422379185685</v>
      </c>
      <c r="H96" s="237">
        <f t="shared" si="5"/>
        <v>162.17747097089989</v>
      </c>
      <c r="I96" s="237">
        <f t="shared" si="5"/>
        <v>180.90297950578892</v>
      </c>
      <c r="J96" s="237">
        <f t="shared" si="5"/>
        <v>203.43392826404801</v>
      </c>
      <c r="K96" s="237">
        <f t="shared" si="5"/>
        <v>228.93421180975525</v>
      </c>
      <c r="L96" s="237">
        <f t="shared" si="5"/>
        <v>257.81048171374493</v>
      </c>
      <c r="M96" s="237">
        <f t="shared" si="5"/>
        <v>290.52644318363076</v>
      </c>
      <c r="N96" s="237">
        <f t="shared" si="5"/>
        <v>327.61097665406413</v>
      </c>
      <c r="O96" s="237">
        <f t="shared" si="5"/>
        <v>369.66742532624357</v>
      </c>
      <c r="P96" s="204"/>
      <c r="Q96" s="204"/>
      <c r="R96" s="204"/>
      <c r="S96" s="204"/>
      <c r="T96" s="204"/>
    </row>
    <row r="97" spans="1:20" x14ac:dyDescent="0.25">
      <c r="A97" s="204"/>
      <c r="P97" s="204"/>
      <c r="Q97" s="204"/>
      <c r="R97" s="204"/>
      <c r="S97" s="204"/>
      <c r="T97" s="204"/>
    </row>
    <row r="98" spans="1:20" x14ac:dyDescent="0.25">
      <c r="A98" s="204"/>
      <c r="B98" s="204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4"/>
      <c r="Q98" s="204"/>
      <c r="R98" s="204"/>
      <c r="S98" s="204"/>
      <c r="T98" s="204"/>
    </row>
    <row r="99" spans="1:20" x14ac:dyDescent="0.25">
      <c r="A99" s="204"/>
      <c r="B99" s="204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4"/>
      <c r="Q99" s="204"/>
      <c r="R99" s="204"/>
      <c r="S99" s="204"/>
      <c r="T99" s="204"/>
    </row>
    <row r="100" spans="1:20" ht="15.75" x14ac:dyDescent="0.25">
      <c r="A100" s="204"/>
      <c r="B100" s="228" t="s">
        <v>154</v>
      </c>
      <c r="C100" s="228">
        <v>2023</v>
      </c>
      <c r="D100" s="228">
        <v>2024</v>
      </c>
      <c r="E100" s="228">
        <v>2025</v>
      </c>
      <c r="F100" s="228">
        <v>2026</v>
      </c>
      <c r="G100" s="228">
        <v>2027</v>
      </c>
      <c r="H100" s="228">
        <v>2028</v>
      </c>
      <c r="I100" s="228">
        <v>2029</v>
      </c>
      <c r="J100" s="228">
        <v>2030</v>
      </c>
      <c r="K100" s="228">
        <v>2031</v>
      </c>
      <c r="L100" s="228">
        <v>2032</v>
      </c>
      <c r="M100" s="228">
        <v>2033</v>
      </c>
      <c r="N100" s="228">
        <v>2034</v>
      </c>
      <c r="O100" s="228">
        <v>2035</v>
      </c>
      <c r="P100" s="204"/>
      <c r="Q100" s="204"/>
      <c r="R100" s="204"/>
      <c r="S100" s="204"/>
      <c r="T100" s="204"/>
    </row>
    <row r="101" spans="1:20" x14ac:dyDescent="0.25">
      <c r="A101" s="204"/>
      <c r="B101" s="224" t="s">
        <v>145</v>
      </c>
      <c r="C101" s="237">
        <v>54</v>
      </c>
      <c r="D101" s="237">
        <f>C101*(1+$C84)</f>
        <v>58.346589407161176</v>
      </c>
      <c r="E101" s="237">
        <f>D101*(1+$H85-0.01)</f>
        <v>65.339323534969495</v>
      </c>
      <c r="F101" s="237">
        <f t="shared" ref="F101:I101" si="6">E101*(1+$H85-0.01)</f>
        <v>73.170124310358304</v>
      </c>
      <c r="G101" s="237">
        <f t="shared" si="6"/>
        <v>81.939432518426784</v>
      </c>
      <c r="H101" s="237">
        <f t="shared" si="6"/>
        <v>91.759726592282703</v>
      </c>
      <c r="I101" s="237">
        <f t="shared" si="6"/>
        <v>102.75696530357339</v>
      </c>
      <c r="J101" s="237">
        <f>I101*(1+$N86-0.01-0.016)</f>
        <v>114.90307833503215</v>
      </c>
      <c r="K101" s="237">
        <f t="shared" ref="K101:O101" si="7">J101*(1+$N86-0.01-0.016)</f>
        <v>128.48489026375916</v>
      </c>
      <c r="L101" s="237">
        <f t="shared" si="7"/>
        <v>143.67210404890508</v>
      </c>
      <c r="M101" s="237">
        <f t="shared" si="7"/>
        <v>160.6544819353102</v>
      </c>
      <c r="N101" s="237">
        <f t="shared" si="7"/>
        <v>179.64421650787125</v>
      </c>
      <c r="O101" s="237">
        <f t="shared" si="7"/>
        <v>200.87858201006628</v>
      </c>
      <c r="P101" s="204"/>
      <c r="Q101" s="204"/>
      <c r="R101" s="204"/>
      <c r="S101" s="204"/>
      <c r="T101" s="204"/>
    </row>
    <row r="102" spans="1:20" x14ac:dyDescent="0.25">
      <c r="A102" s="204"/>
      <c r="B102" s="224" t="s">
        <v>151</v>
      </c>
      <c r="C102" s="237">
        <v>36</v>
      </c>
      <c r="D102" s="237">
        <f>C102*1.03</f>
        <v>37.08</v>
      </c>
      <c r="E102" s="237">
        <f t="shared" ref="E102:O102" si="8">D102*1.03</f>
        <v>38.192399999999999</v>
      </c>
      <c r="F102" s="237">
        <f t="shared" si="8"/>
        <v>39.338172</v>
      </c>
      <c r="G102" s="237">
        <f t="shared" si="8"/>
        <v>40.518317160000002</v>
      </c>
      <c r="H102" s="237">
        <f t="shared" si="8"/>
        <v>41.733866674800005</v>
      </c>
      <c r="I102" s="237">
        <f t="shared" si="8"/>
        <v>42.985882675044003</v>
      </c>
      <c r="J102" s="237">
        <f t="shared" si="8"/>
        <v>44.275459155295323</v>
      </c>
      <c r="K102" s="237">
        <f t="shared" si="8"/>
        <v>45.603722929954181</v>
      </c>
      <c r="L102" s="237">
        <f t="shared" si="8"/>
        <v>46.971834617852807</v>
      </c>
      <c r="M102" s="237">
        <f t="shared" si="8"/>
        <v>48.380989656388394</v>
      </c>
      <c r="N102" s="237">
        <f t="shared" si="8"/>
        <v>49.832419346080044</v>
      </c>
      <c r="O102" s="237">
        <f t="shared" si="8"/>
        <v>51.327391926462447</v>
      </c>
      <c r="P102" s="204"/>
      <c r="Q102" s="204"/>
      <c r="R102" s="204"/>
      <c r="S102" s="204"/>
      <c r="T102" s="204"/>
    </row>
    <row r="103" spans="1:20" x14ac:dyDescent="0.25">
      <c r="A103" s="204"/>
      <c r="B103" s="224" t="s">
        <v>152</v>
      </c>
      <c r="C103" s="237">
        <v>7</v>
      </c>
      <c r="D103" s="237">
        <f>1.1*C103</f>
        <v>7.7000000000000011</v>
      </c>
      <c r="E103" s="237">
        <f t="shared" ref="E103:O103" si="9">1.1*D103</f>
        <v>8.4700000000000024</v>
      </c>
      <c r="F103" s="237">
        <f t="shared" si="9"/>
        <v>9.3170000000000037</v>
      </c>
      <c r="G103" s="237">
        <f t="shared" si="9"/>
        <v>10.248700000000005</v>
      </c>
      <c r="H103" s="237">
        <f t="shared" si="9"/>
        <v>11.273570000000007</v>
      </c>
      <c r="I103" s="237">
        <f t="shared" si="9"/>
        <v>12.400927000000008</v>
      </c>
      <c r="J103" s="237">
        <f t="shared" si="9"/>
        <v>13.64101970000001</v>
      </c>
      <c r="K103" s="237">
        <f t="shared" si="9"/>
        <v>15.005121670000012</v>
      </c>
      <c r="L103" s="237">
        <f t="shared" si="9"/>
        <v>16.505633837000016</v>
      </c>
      <c r="M103" s="237">
        <f t="shared" si="9"/>
        <v>18.156197220700019</v>
      </c>
      <c r="N103" s="237">
        <f t="shared" si="9"/>
        <v>19.971816942770023</v>
      </c>
      <c r="O103" s="237">
        <f t="shared" si="9"/>
        <v>21.968998637047026</v>
      </c>
      <c r="P103" s="204"/>
      <c r="Q103" s="204"/>
      <c r="R103" s="204"/>
      <c r="S103" s="204"/>
      <c r="T103" s="204"/>
    </row>
    <row r="104" spans="1:20" x14ac:dyDescent="0.25">
      <c r="A104" s="204"/>
      <c r="B104" s="224" t="s">
        <v>153</v>
      </c>
      <c r="C104" s="237">
        <f>SUM(C101:C103)</f>
        <v>97</v>
      </c>
      <c r="D104" s="237">
        <f t="shared" ref="D104" si="10">SUM(D101:D103)</f>
        <v>103.12658940716118</v>
      </c>
      <c r="E104" s="237">
        <f t="shared" ref="E104" si="11">SUM(E101:E103)</f>
        <v>112.0017235349695</v>
      </c>
      <c r="F104" s="237">
        <f t="shared" ref="F104" si="12">SUM(F101:F103)</f>
        <v>121.82529631035831</v>
      </c>
      <c r="G104" s="237">
        <f t="shared" ref="G104" si="13">SUM(G101:G103)</f>
        <v>132.70644967842679</v>
      </c>
      <c r="H104" s="237">
        <f t="shared" ref="H104" si="14">SUM(H101:H103)</f>
        <v>144.76716326708271</v>
      </c>
      <c r="I104" s="237">
        <f t="shared" ref="I104" si="15">SUM(I101:I103)</f>
        <v>158.14377497861739</v>
      </c>
      <c r="J104" s="237">
        <f t="shared" ref="J104" si="16">SUM(J101:J103)</f>
        <v>172.81955719032749</v>
      </c>
      <c r="K104" s="237">
        <f t="shared" ref="K104" si="17">SUM(K101:K103)</f>
        <v>189.09373486371337</v>
      </c>
      <c r="L104" s="237">
        <f t="shared" ref="L104" si="18">SUM(L101:L103)</f>
        <v>207.14957250375789</v>
      </c>
      <c r="M104" s="237">
        <f t="shared" ref="M104" si="19">SUM(M101:M103)</f>
        <v>227.1916688123986</v>
      </c>
      <c r="N104" s="237">
        <f t="shared" ref="N104" si="20">SUM(N101:N103)</f>
        <v>249.44845279672131</v>
      </c>
      <c r="O104" s="237">
        <f t="shared" ref="O104" si="21">SUM(O101:O103)</f>
        <v>274.17497257357576</v>
      </c>
      <c r="P104" s="204"/>
      <c r="Q104" s="204"/>
      <c r="R104" s="204"/>
      <c r="S104" s="204"/>
      <c r="T104" s="204"/>
    </row>
    <row r="105" spans="1:20" x14ac:dyDescent="0.25">
      <c r="A105" s="204"/>
      <c r="P105" s="204"/>
      <c r="Q105" s="204"/>
      <c r="R105" s="204"/>
      <c r="S105" s="204"/>
      <c r="T105" s="204"/>
    </row>
    <row r="106" spans="1:20" x14ac:dyDescent="0.25">
      <c r="A106" s="204"/>
      <c r="B106" s="204"/>
      <c r="C106" s="204"/>
      <c r="D106" s="204"/>
      <c r="E106" s="204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</row>
    <row r="107" spans="1:20" x14ac:dyDescent="0.25">
      <c r="A107" s="204"/>
      <c r="B107" s="204"/>
      <c r="C107" s="204"/>
      <c r="D107" s="204"/>
      <c r="E107" s="204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</row>
    <row r="108" spans="1:20" ht="15.75" x14ac:dyDescent="0.25">
      <c r="A108" s="204"/>
      <c r="B108" s="228" t="s">
        <v>155</v>
      </c>
      <c r="C108" s="228" t="s">
        <v>156</v>
      </c>
      <c r="D108" s="269" t="s">
        <v>157</v>
      </c>
      <c r="E108" s="270"/>
      <c r="F108" s="271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4"/>
    </row>
    <row r="109" spans="1:20" ht="15" customHeight="1" x14ac:dyDescent="0.25">
      <c r="A109" s="204"/>
      <c r="B109" s="245" t="s">
        <v>158</v>
      </c>
      <c r="C109" s="246">
        <f>C93/G82</f>
        <v>1.3719070453548554</v>
      </c>
      <c r="D109" s="272" t="s">
        <v>159</v>
      </c>
      <c r="E109" s="272"/>
      <c r="F109" s="272"/>
      <c r="G109" s="204"/>
      <c r="H109" s="204"/>
      <c r="I109" s="204"/>
      <c r="J109" s="204"/>
      <c r="K109" s="204"/>
      <c r="L109" s="204"/>
      <c r="M109" s="204"/>
      <c r="N109" s="204"/>
      <c r="O109" s="204"/>
      <c r="P109" s="204"/>
      <c r="Q109" s="204"/>
      <c r="R109" s="204"/>
      <c r="S109" s="204"/>
      <c r="T109" s="204"/>
    </row>
    <row r="110" spans="1:20" x14ac:dyDescent="0.25">
      <c r="A110" s="204"/>
      <c r="B110" s="245" t="s">
        <v>160</v>
      </c>
      <c r="C110" s="248">
        <f>I93/M82</f>
        <v>1.3695928921676241</v>
      </c>
      <c r="D110" s="272"/>
      <c r="E110" s="272"/>
      <c r="F110" s="272"/>
      <c r="G110" s="204"/>
      <c r="H110" s="204"/>
      <c r="I110" s="204"/>
      <c r="J110" s="204"/>
      <c r="K110" s="204"/>
      <c r="L110" s="204"/>
      <c r="M110" s="204"/>
      <c r="N110" s="204"/>
      <c r="O110" s="204"/>
      <c r="P110" s="204"/>
      <c r="Q110" s="204"/>
      <c r="R110" s="204"/>
      <c r="S110" s="204"/>
      <c r="T110" s="204"/>
    </row>
    <row r="111" spans="1:20" x14ac:dyDescent="0.25">
      <c r="A111" s="204"/>
      <c r="B111" s="245" t="s">
        <v>161</v>
      </c>
      <c r="C111" s="248">
        <f>C110*(1+C112)^5</f>
        <v>1.2634759674253768</v>
      </c>
      <c r="D111" s="272"/>
      <c r="E111" s="272"/>
      <c r="F111" s="272"/>
      <c r="G111" s="205"/>
      <c r="H111" s="205"/>
      <c r="I111" s="205"/>
      <c r="J111" s="204"/>
      <c r="K111" s="205"/>
      <c r="L111" s="205"/>
      <c r="M111" s="205"/>
      <c r="N111" s="205"/>
      <c r="O111" s="205"/>
      <c r="P111" s="205"/>
      <c r="Q111" s="205"/>
      <c r="R111" s="205"/>
      <c r="S111" s="205"/>
      <c r="T111" s="204"/>
    </row>
    <row r="112" spans="1:20" x14ac:dyDescent="0.25">
      <c r="A112" s="204"/>
      <c r="B112" s="245" t="s">
        <v>162</v>
      </c>
      <c r="C112" s="247">
        <v>-1.6E-2</v>
      </c>
      <c r="D112" s="272"/>
      <c r="E112" s="272"/>
      <c r="F112" s="272"/>
      <c r="G112" s="204"/>
      <c r="H112" s="204"/>
      <c r="I112" s="204"/>
      <c r="J112" s="204"/>
      <c r="K112" s="204"/>
      <c r="L112" s="204"/>
      <c r="M112" s="204"/>
      <c r="N112" s="204"/>
      <c r="O112" s="204"/>
      <c r="P112" s="204"/>
      <c r="Q112" s="204"/>
      <c r="R112" s="204"/>
      <c r="S112" s="204"/>
      <c r="T112" s="204"/>
    </row>
    <row r="113" spans="1:21" x14ac:dyDescent="0.25">
      <c r="A113" s="204"/>
      <c r="B113" s="204"/>
      <c r="C113" s="204"/>
      <c r="D113" s="204"/>
      <c r="E113" s="204"/>
      <c r="F113" s="204"/>
      <c r="G113" s="204"/>
      <c r="H113" s="204"/>
      <c r="I113" s="204"/>
      <c r="J113" s="204"/>
      <c r="K113" s="204"/>
      <c r="L113" s="204"/>
      <c r="M113" s="204"/>
      <c r="N113" s="204"/>
      <c r="O113" s="204"/>
      <c r="P113" s="204"/>
      <c r="Q113" s="204"/>
      <c r="R113" s="204"/>
      <c r="S113" s="204"/>
      <c r="T113" s="204"/>
    </row>
    <row r="114" spans="1:21" x14ac:dyDescent="0.25">
      <c r="A114" s="204"/>
      <c r="B114" s="204"/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4"/>
      <c r="S114" s="204"/>
      <c r="T114" s="204"/>
    </row>
    <row r="115" spans="1:21" x14ac:dyDescent="0.25">
      <c r="A115" s="204"/>
      <c r="B115" s="204"/>
      <c r="C115" s="204"/>
      <c r="D115" s="204"/>
      <c r="E115" s="204"/>
      <c r="F115" s="204"/>
      <c r="G115" s="204"/>
      <c r="H115" s="204"/>
      <c r="I115" s="204"/>
      <c r="J115" s="204"/>
      <c r="K115" s="204"/>
      <c r="L115" s="204"/>
      <c r="M115" s="204"/>
      <c r="N115" s="204"/>
      <c r="O115" s="204"/>
      <c r="P115" s="204"/>
      <c r="Q115" s="204"/>
      <c r="R115" s="204"/>
      <c r="S115" s="204"/>
      <c r="T115" s="204"/>
    </row>
    <row r="116" spans="1:21" x14ac:dyDescent="0.25">
      <c r="A116" s="204"/>
      <c r="B116" s="204"/>
      <c r="C116" s="204"/>
      <c r="D116" s="204"/>
      <c r="E116" s="204"/>
      <c r="F116" s="204"/>
      <c r="G116" s="204"/>
      <c r="H116" s="204"/>
      <c r="I116" s="204"/>
      <c r="J116" s="204"/>
      <c r="K116" s="204"/>
      <c r="L116" s="204"/>
      <c r="M116" s="204"/>
      <c r="N116" s="204"/>
      <c r="O116" s="204"/>
      <c r="P116" s="204"/>
      <c r="Q116" s="204"/>
      <c r="R116" s="204"/>
      <c r="S116" s="204"/>
      <c r="T116" s="204"/>
    </row>
    <row r="117" spans="1:21" x14ac:dyDescent="0.25">
      <c r="A117" s="204"/>
      <c r="B117" s="204"/>
      <c r="C117" s="204"/>
      <c r="D117" s="204"/>
      <c r="E117" s="204"/>
      <c r="F117" s="204"/>
      <c r="G117" s="204"/>
      <c r="H117" s="204"/>
      <c r="I117" s="204"/>
      <c r="J117" s="204"/>
      <c r="K117" s="204"/>
      <c r="L117" s="204"/>
      <c r="M117" s="204"/>
      <c r="N117" s="204"/>
      <c r="O117" s="204"/>
      <c r="P117" s="204"/>
      <c r="Q117" s="204"/>
      <c r="R117" s="204"/>
      <c r="S117" s="204"/>
      <c r="T117" s="204"/>
    </row>
    <row r="118" spans="1:21" ht="15.75" x14ac:dyDescent="0.25">
      <c r="A118" s="204"/>
      <c r="B118" s="228"/>
      <c r="C118" s="228">
        <v>2023</v>
      </c>
      <c r="D118" s="228">
        <v>2024</v>
      </c>
      <c r="E118" s="228">
        <v>2025</v>
      </c>
      <c r="F118" s="228">
        <v>2026</v>
      </c>
      <c r="G118" s="228">
        <v>2027</v>
      </c>
      <c r="H118" s="228">
        <v>2028</v>
      </c>
      <c r="I118" s="228">
        <v>2029</v>
      </c>
      <c r="J118" s="228">
        <v>2030</v>
      </c>
      <c r="K118" s="228">
        <v>2031</v>
      </c>
      <c r="L118" s="228">
        <v>2032</v>
      </c>
      <c r="M118" s="228">
        <v>2033</v>
      </c>
      <c r="N118" s="228">
        <v>2034</v>
      </c>
      <c r="O118" s="228">
        <v>2035</v>
      </c>
      <c r="P118" s="204"/>
      <c r="Q118" s="204"/>
      <c r="R118" s="204"/>
      <c r="S118" s="204"/>
      <c r="T118" s="204"/>
    </row>
    <row r="119" spans="1:21" x14ac:dyDescent="0.25">
      <c r="A119" s="204"/>
      <c r="B119" s="224" t="s">
        <v>163</v>
      </c>
      <c r="C119" s="237">
        <f>C96</f>
        <v>97</v>
      </c>
      <c r="D119" s="237">
        <f t="shared" ref="D119:O119" si="22">D96</f>
        <v>105.29431567860196</v>
      </c>
      <c r="E119" s="237">
        <f t="shared" si="22"/>
        <v>117.20898690370595</v>
      </c>
      <c r="F119" s="237">
        <f t="shared" si="22"/>
        <v>130.54055849318473</v>
      </c>
      <c r="G119" s="237">
        <f t="shared" si="22"/>
        <v>145.46422379185685</v>
      </c>
      <c r="H119" s="237">
        <f t="shared" si="22"/>
        <v>162.17747097089989</v>
      </c>
      <c r="I119" s="237">
        <f t="shared" si="22"/>
        <v>180.90297950578892</v>
      </c>
      <c r="J119" s="237">
        <f t="shared" si="22"/>
        <v>203.43392826404801</v>
      </c>
      <c r="K119" s="237">
        <f t="shared" si="22"/>
        <v>228.93421180975525</v>
      </c>
      <c r="L119" s="237">
        <f t="shared" si="22"/>
        <v>257.81048171374493</v>
      </c>
      <c r="M119" s="237">
        <f t="shared" si="22"/>
        <v>290.52644318363076</v>
      </c>
      <c r="N119" s="237">
        <f t="shared" si="22"/>
        <v>327.61097665406413</v>
      </c>
      <c r="O119" s="237">
        <f t="shared" si="22"/>
        <v>369.66742532624357</v>
      </c>
      <c r="P119" s="204"/>
      <c r="Q119" s="204"/>
      <c r="R119" s="204"/>
      <c r="S119" s="204"/>
      <c r="T119" s="204"/>
    </row>
    <row r="120" spans="1:21" x14ac:dyDescent="0.25">
      <c r="A120" s="204"/>
      <c r="B120" s="224" t="s">
        <v>164</v>
      </c>
      <c r="C120" s="237">
        <f>C104</f>
        <v>97</v>
      </c>
      <c r="D120" s="237">
        <f t="shared" ref="D120:O120" si="23">D104</f>
        <v>103.12658940716118</v>
      </c>
      <c r="E120" s="237">
        <f t="shared" si="23"/>
        <v>112.0017235349695</v>
      </c>
      <c r="F120" s="237">
        <f t="shared" si="23"/>
        <v>121.82529631035831</v>
      </c>
      <c r="G120" s="237">
        <f t="shared" si="23"/>
        <v>132.70644967842679</v>
      </c>
      <c r="H120" s="237">
        <f t="shared" si="23"/>
        <v>144.76716326708271</v>
      </c>
      <c r="I120" s="237">
        <f t="shared" si="23"/>
        <v>158.14377497861739</v>
      </c>
      <c r="J120" s="237">
        <f t="shared" si="23"/>
        <v>172.81955719032749</v>
      </c>
      <c r="K120" s="237">
        <f t="shared" si="23"/>
        <v>189.09373486371337</v>
      </c>
      <c r="L120" s="237">
        <f t="shared" si="23"/>
        <v>207.14957250375789</v>
      </c>
      <c r="M120" s="237">
        <f t="shared" si="23"/>
        <v>227.1916688123986</v>
      </c>
      <c r="N120" s="237">
        <f t="shared" si="23"/>
        <v>249.44845279672131</v>
      </c>
      <c r="O120" s="237">
        <f t="shared" si="23"/>
        <v>274.17497257357576</v>
      </c>
      <c r="P120" s="204"/>
      <c r="Q120" s="204"/>
      <c r="R120" s="204"/>
      <c r="S120" s="204"/>
      <c r="T120" s="204"/>
    </row>
    <row r="121" spans="1:21" x14ac:dyDescent="0.25">
      <c r="A121" s="204"/>
      <c r="B121" s="204"/>
      <c r="C121" s="204"/>
      <c r="D121" s="204"/>
      <c r="E121" s="204"/>
      <c r="F121" s="204"/>
      <c r="G121" s="204"/>
      <c r="H121" s="204"/>
      <c r="I121" s="204"/>
      <c r="J121" s="204"/>
      <c r="K121" s="204"/>
      <c r="L121" s="204"/>
      <c r="M121" s="204"/>
      <c r="N121" s="204"/>
      <c r="O121" s="204"/>
      <c r="P121" s="204"/>
      <c r="Q121" s="204"/>
      <c r="R121" s="204"/>
      <c r="S121" s="204"/>
      <c r="T121" s="204"/>
    </row>
    <row r="122" spans="1:21" x14ac:dyDescent="0.25">
      <c r="A122" s="204"/>
      <c r="B122" s="204"/>
      <c r="C122" s="204"/>
      <c r="D122" s="204"/>
      <c r="E122" s="204"/>
      <c r="F122" s="204"/>
      <c r="G122" s="204"/>
      <c r="H122" s="204"/>
      <c r="I122" s="204"/>
      <c r="J122" s="204"/>
      <c r="K122" s="204"/>
      <c r="L122" s="204"/>
      <c r="M122" s="204"/>
      <c r="N122" s="204"/>
      <c r="O122" s="204"/>
      <c r="P122" s="204"/>
      <c r="Q122" s="204"/>
      <c r="R122" s="204"/>
      <c r="S122" s="204"/>
      <c r="T122" s="204"/>
    </row>
    <row r="123" spans="1:21" ht="15.75" x14ac:dyDescent="0.25">
      <c r="A123" s="268" t="s">
        <v>165</v>
      </c>
      <c r="B123" s="268"/>
      <c r="C123" s="268"/>
      <c r="D123" s="268"/>
      <c r="E123" s="268"/>
      <c r="F123" s="268"/>
      <c r="G123" s="268"/>
      <c r="H123" s="268"/>
      <c r="I123" s="268"/>
      <c r="J123" s="268"/>
      <c r="K123" s="268"/>
      <c r="L123" s="268"/>
      <c r="M123" s="268"/>
      <c r="N123" s="268"/>
      <c r="O123" s="268"/>
      <c r="P123" s="268"/>
      <c r="Q123" s="268"/>
      <c r="R123" s="268"/>
      <c r="S123" s="268"/>
      <c r="T123" s="268"/>
      <c r="U123" s="268"/>
    </row>
    <row r="124" spans="1:21" x14ac:dyDescent="0.25">
      <c r="A124" s="204"/>
      <c r="B124" s="204"/>
      <c r="C124" s="204"/>
      <c r="D124" s="204"/>
      <c r="E124" s="204"/>
      <c r="F124" s="204"/>
      <c r="G124" s="204"/>
      <c r="H124" s="204"/>
      <c r="I124" s="204"/>
      <c r="J124" s="204"/>
      <c r="K124" s="204"/>
      <c r="L124" s="204"/>
      <c r="M124" s="204"/>
      <c r="N124" s="204"/>
      <c r="O124" s="204"/>
      <c r="P124" s="204"/>
      <c r="Q124" s="204"/>
      <c r="R124" s="204"/>
      <c r="S124" s="204"/>
      <c r="T124" s="204"/>
    </row>
    <row r="125" spans="1:21" x14ac:dyDescent="0.25">
      <c r="A125" s="204"/>
      <c r="B125" s="204"/>
      <c r="C125" s="204"/>
      <c r="D125" s="204"/>
      <c r="E125" s="204"/>
      <c r="F125" s="204"/>
      <c r="G125" s="204"/>
      <c r="H125" s="204"/>
      <c r="I125" s="204"/>
      <c r="J125" s="204"/>
      <c r="K125" s="204"/>
      <c r="L125" s="204"/>
      <c r="M125" s="204"/>
      <c r="N125" s="204"/>
      <c r="O125" s="204"/>
      <c r="P125" s="204"/>
      <c r="Q125" s="204"/>
      <c r="R125" s="204"/>
      <c r="S125" s="204"/>
      <c r="T125" s="204"/>
    </row>
    <row r="126" spans="1:21" x14ac:dyDescent="0.25">
      <c r="A126" s="204"/>
      <c r="B126" s="204"/>
      <c r="C126" s="204"/>
      <c r="D126" s="204"/>
      <c r="E126" s="204"/>
      <c r="F126" s="204"/>
      <c r="G126" s="204"/>
      <c r="H126" s="204"/>
      <c r="I126" s="204"/>
      <c r="J126" s="204"/>
      <c r="K126" s="204"/>
      <c r="L126" s="204"/>
      <c r="M126" s="204"/>
      <c r="N126" s="204"/>
      <c r="O126" s="204"/>
      <c r="P126" s="204"/>
      <c r="Q126" s="204"/>
      <c r="R126" s="204"/>
      <c r="S126" s="204"/>
      <c r="T126" s="204"/>
    </row>
    <row r="127" spans="1:21" x14ac:dyDescent="0.25">
      <c r="A127" s="204"/>
      <c r="B127" s="204"/>
      <c r="C127" s="204"/>
      <c r="D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4"/>
      <c r="P127" s="204"/>
      <c r="Q127" s="204"/>
      <c r="R127" s="204"/>
      <c r="S127" s="204"/>
      <c r="T127" s="204"/>
    </row>
    <row r="128" spans="1:21" x14ac:dyDescent="0.25">
      <c r="A128" s="204"/>
      <c r="B128" s="204"/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  <c r="P128" s="204"/>
      <c r="Q128" s="204"/>
      <c r="R128" s="204"/>
      <c r="S128" s="204"/>
      <c r="T128" s="204"/>
    </row>
    <row r="129" spans="1:20" x14ac:dyDescent="0.25">
      <c r="A129" s="204"/>
      <c r="B129" s="204"/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  <c r="P129" s="204"/>
      <c r="Q129" s="204"/>
      <c r="R129" s="204"/>
      <c r="S129" s="204"/>
      <c r="T129" s="204"/>
    </row>
    <row r="130" spans="1:20" x14ac:dyDescent="0.25">
      <c r="A130" s="204"/>
      <c r="B130" s="204"/>
      <c r="C130" s="204"/>
      <c r="D130" s="204"/>
      <c r="E130" s="204"/>
      <c r="F130" s="204"/>
      <c r="G130" s="204"/>
      <c r="H130" s="204"/>
      <c r="I130" s="204"/>
      <c r="J130" s="204"/>
      <c r="K130" s="204"/>
      <c r="L130" s="204"/>
      <c r="M130" s="204"/>
      <c r="N130" s="204"/>
      <c r="O130" s="204"/>
      <c r="P130" s="204"/>
      <c r="Q130" s="204"/>
      <c r="R130" s="204"/>
      <c r="S130" s="204"/>
      <c r="T130" s="204"/>
    </row>
    <row r="131" spans="1:20" x14ac:dyDescent="0.25">
      <c r="A131" s="204"/>
      <c r="B131" s="204"/>
      <c r="C131" s="204"/>
      <c r="D131" s="204"/>
      <c r="E131" s="204"/>
      <c r="F131" s="204"/>
      <c r="G131" s="204"/>
      <c r="H131" s="204"/>
      <c r="I131" s="204"/>
      <c r="J131" s="204"/>
      <c r="K131" s="204"/>
      <c r="L131" s="204"/>
      <c r="M131" s="204"/>
      <c r="N131" s="204"/>
      <c r="O131" s="204"/>
      <c r="P131" s="204"/>
      <c r="Q131" s="204"/>
      <c r="R131" s="204"/>
      <c r="S131" s="204"/>
      <c r="T131" s="204"/>
    </row>
    <row r="132" spans="1:20" x14ac:dyDescent="0.25">
      <c r="A132" s="204"/>
      <c r="B132" s="204"/>
      <c r="C132" s="204"/>
      <c r="D132" s="204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</row>
    <row r="133" spans="1:20" x14ac:dyDescent="0.25">
      <c r="A133" s="204"/>
      <c r="B133" s="204"/>
      <c r="C133" s="204"/>
      <c r="D133" s="204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</row>
    <row r="134" spans="1:20" x14ac:dyDescent="0.25">
      <c r="A134" s="204"/>
      <c r="B134" s="204"/>
      <c r="C134" s="204"/>
      <c r="D134" s="204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</row>
    <row r="135" spans="1:20" x14ac:dyDescent="0.25">
      <c r="A135" s="204"/>
      <c r="B135" s="204"/>
      <c r="C135" s="204"/>
      <c r="D135" s="204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</row>
    <row r="136" spans="1:20" x14ac:dyDescent="0.25">
      <c r="A136" s="204"/>
      <c r="B136" s="204"/>
      <c r="C136" s="204"/>
      <c r="D136" s="204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</row>
    <row r="137" spans="1:20" x14ac:dyDescent="0.25">
      <c r="A137" s="204"/>
      <c r="B137" s="204"/>
      <c r="C137" s="204"/>
      <c r="D137" s="204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</row>
    <row r="138" spans="1:20" x14ac:dyDescent="0.25">
      <c r="A138" s="204"/>
      <c r="B138" s="204"/>
      <c r="C138" s="204"/>
      <c r="D138" s="204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</row>
    <row r="139" spans="1:20" x14ac:dyDescent="0.25">
      <c r="A139" s="204"/>
      <c r="B139" s="204"/>
      <c r="C139" s="204"/>
      <c r="D139" s="204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</row>
    <row r="140" spans="1:20" x14ac:dyDescent="0.25">
      <c r="A140" s="204"/>
      <c r="B140" s="204"/>
      <c r="C140" s="204"/>
      <c r="D140" s="204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</row>
    <row r="141" spans="1:20" x14ac:dyDescent="0.25">
      <c r="A141" s="204"/>
      <c r="B141" s="204"/>
      <c r="C141" s="204"/>
      <c r="D141" s="204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</row>
    <row r="142" spans="1:20" x14ac:dyDescent="0.25">
      <c r="A142" s="204"/>
      <c r="B142" s="204"/>
      <c r="C142" s="204"/>
      <c r="D142" s="204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</row>
    <row r="143" spans="1:20" x14ac:dyDescent="0.25">
      <c r="A143" s="204"/>
      <c r="B143" s="204"/>
      <c r="C143" s="204"/>
      <c r="D143" s="204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</row>
    <row r="144" spans="1:20" x14ac:dyDescent="0.25">
      <c r="A144" s="204"/>
      <c r="B144" s="204"/>
      <c r="C144" s="204"/>
      <c r="D144" s="204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</row>
    <row r="145" spans="1:20" x14ac:dyDescent="0.25">
      <c r="A145" s="204"/>
      <c r="B145" s="204"/>
      <c r="C145" s="204"/>
      <c r="D145" s="204"/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</row>
    <row r="146" spans="1:20" x14ac:dyDescent="0.25">
      <c r="A146" s="204"/>
      <c r="B146" s="204"/>
      <c r="C146" s="204"/>
      <c r="D146" s="204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</row>
    <row r="147" spans="1:20" x14ac:dyDescent="0.25">
      <c r="A147" s="204"/>
      <c r="B147" s="204"/>
      <c r="C147" s="204"/>
      <c r="D147" s="204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</row>
    <row r="148" spans="1:20" x14ac:dyDescent="0.25">
      <c r="A148" s="204"/>
      <c r="B148" s="204"/>
      <c r="C148" s="204"/>
      <c r="D148" s="204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</row>
    <row r="149" spans="1:20" x14ac:dyDescent="0.25">
      <c r="A149" s="204"/>
      <c r="B149" s="204"/>
      <c r="C149" s="204"/>
      <c r="D149" s="204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</row>
    <row r="150" spans="1:20" x14ac:dyDescent="0.25">
      <c r="A150" s="204"/>
      <c r="B150" s="204"/>
      <c r="C150" s="204"/>
      <c r="D150" s="204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</row>
    <row r="151" spans="1:20" x14ac:dyDescent="0.25">
      <c r="A151" s="204"/>
      <c r="B151" s="204"/>
      <c r="C151" s="204"/>
      <c r="D151" s="204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</row>
    <row r="152" spans="1:20" x14ac:dyDescent="0.25">
      <c r="A152" s="204"/>
      <c r="B152" s="204"/>
      <c r="C152" s="204"/>
      <c r="D152" s="204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</row>
    <row r="153" spans="1:20" x14ac:dyDescent="0.25">
      <c r="A153" s="204"/>
      <c r="B153" s="204"/>
      <c r="C153" s="204"/>
      <c r="D153" s="204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</row>
    <row r="154" spans="1:20" x14ac:dyDescent="0.25">
      <c r="A154" s="204"/>
      <c r="B154" s="204"/>
      <c r="C154" s="204"/>
      <c r="D154" s="204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</row>
    <row r="155" spans="1:20" x14ac:dyDescent="0.25">
      <c r="A155" s="204"/>
      <c r="B155" s="204"/>
      <c r="C155" s="204"/>
      <c r="D155" s="204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</row>
  </sheetData>
  <mergeCells count="14">
    <mergeCell ref="N86:S86"/>
    <mergeCell ref="A123:U123"/>
    <mergeCell ref="D108:F108"/>
    <mergeCell ref="D109:F112"/>
    <mergeCell ref="A1:U1"/>
    <mergeCell ref="A30:U30"/>
    <mergeCell ref="A48:U48"/>
    <mergeCell ref="C84:H84"/>
    <mergeCell ref="H85:M85"/>
    <mergeCell ref="O75:P75"/>
    <mergeCell ref="O76:P76"/>
    <mergeCell ref="A51:U51"/>
    <mergeCell ref="A50:U50"/>
    <mergeCell ref="A54:U5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2F68-F286-4956-9F2E-C241DBC473CA}">
  <dimension ref="B2:C19"/>
  <sheetViews>
    <sheetView zoomScale="60" zoomScaleNormal="60" workbookViewId="0">
      <selection activeCell="B18" sqref="B18"/>
    </sheetView>
  </sheetViews>
  <sheetFormatPr baseColWidth="10" defaultColWidth="11.42578125" defaultRowHeight="15" x14ac:dyDescent="0.25"/>
  <cols>
    <col min="2" max="2" width="23.7109375" style="19" customWidth="1"/>
    <col min="3" max="3" width="102.140625" style="112" customWidth="1"/>
  </cols>
  <sheetData>
    <row r="2" spans="2:3" x14ac:dyDescent="0.25">
      <c r="B2" s="282" t="s">
        <v>239</v>
      </c>
      <c r="C2" s="282"/>
    </row>
    <row r="3" spans="2:3" ht="45" x14ac:dyDescent="0.25">
      <c r="B3" s="115" t="s">
        <v>240</v>
      </c>
      <c r="C3" s="117" t="s">
        <v>241</v>
      </c>
    </row>
    <row r="4" spans="2:3" ht="45" x14ac:dyDescent="0.25">
      <c r="B4" s="115" t="s">
        <v>242</v>
      </c>
      <c r="C4" s="117" t="s">
        <v>243</v>
      </c>
    </row>
    <row r="5" spans="2:3" ht="18" x14ac:dyDescent="0.25">
      <c r="B5" s="115" t="s">
        <v>244</v>
      </c>
      <c r="C5" s="117" t="s">
        <v>245</v>
      </c>
    </row>
    <row r="6" spans="2:3" ht="28.5" x14ac:dyDescent="0.25">
      <c r="B6" s="115" t="s">
        <v>25</v>
      </c>
      <c r="C6" s="116" t="s">
        <v>246</v>
      </c>
    </row>
    <row r="7" spans="2:3" x14ac:dyDescent="0.25">
      <c r="B7" s="115" t="s">
        <v>32</v>
      </c>
      <c r="C7" s="117" t="s">
        <v>247</v>
      </c>
    </row>
    <row r="8" spans="2:3" ht="28.5" x14ac:dyDescent="0.25">
      <c r="B8" s="115" t="s">
        <v>22</v>
      </c>
      <c r="C8" s="116" t="s">
        <v>248</v>
      </c>
    </row>
    <row r="9" spans="2:3" ht="30" x14ac:dyDescent="0.25">
      <c r="B9" s="115" t="s">
        <v>44</v>
      </c>
      <c r="C9" s="117" t="s">
        <v>249</v>
      </c>
    </row>
    <row r="10" spans="2:3" ht="30" x14ac:dyDescent="0.25">
      <c r="B10" s="115" t="s">
        <v>108</v>
      </c>
      <c r="C10" s="117" t="s">
        <v>250</v>
      </c>
    </row>
    <row r="11" spans="2:3" x14ac:dyDescent="0.25">
      <c r="B11" s="115" t="s">
        <v>37</v>
      </c>
      <c r="C11" s="117" t="s">
        <v>251</v>
      </c>
    </row>
    <row r="12" spans="2:3" ht="18" x14ac:dyDescent="0.25">
      <c r="B12" s="115" t="s">
        <v>4</v>
      </c>
      <c r="C12" s="111" t="s">
        <v>252</v>
      </c>
    </row>
    <row r="13" spans="2:3" ht="90" x14ac:dyDescent="0.25">
      <c r="B13" s="115" t="s">
        <v>0</v>
      </c>
      <c r="C13" s="111" t="s">
        <v>253</v>
      </c>
    </row>
    <row r="14" spans="2:3" ht="30" x14ac:dyDescent="0.25">
      <c r="B14" s="115" t="s">
        <v>91</v>
      </c>
      <c r="C14" s="117" t="s">
        <v>254</v>
      </c>
    </row>
    <row r="15" spans="2:3" ht="45" x14ac:dyDescent="0.25">
      <c r="B15" s="115" t="s">
        <v>93</v>
      </c>
      <c r="C15" s="117" t="s">
        <v>255</v>
      </c>
    </row>
    <row r="16" spans="2:3" ht="36" x14ac:dyDescent="0.25">
      <c r="B16" s="115" t="s">
        <v>256</v>
      </c>
      <c r="C16" s="111" t="s">
        <v>257</v>
      </c>
    </row>
    <row r="17" spans="2:3" ht="45" x14ac:dyDescent="0.25">
      <c r="B17" s="115" t="s">
        <v>85</v>
      </c>
      <c r="C17" s="117" t="s">
        <v>258</v>
      </c>
    </row>
    <row r="18" spans="2:3" ht="30" x14ac:dyDescent="0.25">
      <c r="B18" s="115" t="s">
        <v>74</v>
      </c>
      <c r="C18" s="117" t="s">
        <v>259</v>
      </c>
    </row>
    <row r="19" spans="2:3" ht="30" x14ac:dyDescent="0.25">
      <c r="B19" s="115" t="s">
        <v>68</v>
      </c>
      <c r="C19" s="117" t="s">
        <v>260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5984-E3D8-40B3-BE82-2C8EEC2A1F32}">
  <sheetPr>
    <tabColor rgb="FFC0C0C0"/>
  </sheetPr>
  <dimension ref="A1:Q39"/>
  <sheetViews>
    <sheetView topLeftCell="A14" zoomScale="50" zoomScaleNormal="50" workbookViewId="0">
      <selection activeCell="M30" sqref="M30"/>
    </sheetView>
  </sheetViews>
  <sheetFormatPr baseColWidth="10" defaultColWidth="11.42578125" defaultRowHeight="15" x14ac:dyDescent="0.25"/>
  <cols>
    <col min="1" max="1" width="4.28515625" customWidth="1"/>
    <col min="2" max="2" width="28.28515625" customWidth="1"/>
    <col min="5" max="5" width="12" bestFit="1" customWidth="1"/>
    <col min="7" max="7" width="14.7109375" customWidth="1"/>
    <col min="8" max="8" width="11.42578125" customWidth="1"/>
    <col min="9" max="9" width="12" bestFit="1" customWidth="1"/>
    <col min="11" max="11" width="17.42578125" customWidth="1"/>
    <col min="12" max="12" width="12" bestFit="1" customWidth="1"/>
  </cols>
  <sheetData>
    <row r="1" spans="1:13" x14ac:dyDescent="0.25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x14ac:dyDescent="0.25">
      <c r="A2" s="58"/>
      <c r="B2" s="59" t="s">
        <v>261</v>
      </c>
      <c r="C2" s="60" t="s">
        <v>262</v>
      </c>
      <c r="D2" s="60" t="s">
        <v>263</v>
      </c>
      <c r="E2" s="61"/>
      <c r="F2" s="231" t="s">
        <v>264</v>
      </c>
      <c r="G2" s="61"/>
      <c r="H2" s="61"/>
      <c r="I2" s="61"/>
      <c r="J2" s="231" t="s">
        <v>265</v>
      </c>
      <c r="K2" s="231" t="s">
        <v>266</v>
      </c>
      <c r="L2" s="231" t="s">
        <v>80</v>
      </c>
      <c r="M2" s="232" t="s">
        <v>267</v>
      </c>
    </row>
    <row r="3" spans="1:13" x14ac:dyDescent="0.25">
      <c r="A3" s="58"/>
      <c r="B3" s="62" t="s">
        <v>268</v>
      </c>
      <c r="C3" s="63">
        <v>1.4864864864864866</v>
      </c>
      <c r="D3" s="64">
        <v>0.47297297297297303</v>
      </c>
      <c r="E3" s="61"/>
      <c r="F3" s="65">
        <f>(C3+D3)*365*24/1000</f>
        <v>17.164864864864867</v>
      </c>
      <c r="G3" s="61">
        <v>0.95</v>
      </c>
      <c r="H3" s="65">
        <f>F3*G3</f>
        <v>16.306621621621623</v>
      </c>
      <c r="I3" s="65"/>
      <c r="J3" s="65">
        <f>C3*6+D3*4</f>
        <v>10.810810810810811</v>
      </c>
      <c r="K3" s="65">
        <f>J3*0.7</f>
        <v>7.5675675675675667</v>
      </c>
      <c r="L3" s="65">
        <f>K3*24*365/1000</f>
        <v>66.291891891891893</v>
      </c>
      <c r="M3" s="66">
        <f>L3*G3</f>
        <v>62.977297297297298</v>
      </c>
    </row>
    <row r="4" spans="1:13" x14ac:dyDescent="0.25">
      <c r="A4" s="58"/>
      <c r="B4" s="67" t="s">
        <v>269</v>
      </c>
      <c r="C4" s="68">
        <v>3.310810810810811</v>
      </c>
      <c r="D4" s="69">
        <v>2.7027027027027026</v>
      </c>
      <c r="E4" s="61"/>
      <c r="F4" s="65">
        <f t="shared" ref="F4:F7" si="0">(C4+D4)*365*24/1000</f>
        <v>52.678378378378383</v>
      </c>
      <c r="G4" s="61">
        <v>0.45</v>
      </c>
      <c r="H4" s="65">
        <f>F4*G4</f>
        <v>23.705270270270272</v>
      </c>
      <c r="I4" s="65"/>
      <c r="J4" s="65">
        <f t="shared" ref="J4:J7" si="1">C4*6+D4*4</f>
        <v>30.675675675675677</v>
      </c>
      <c r="K4" s="65">
        <f t="shared" ref="K4:K6" si="2">J4*0.7</f>
        <v>21.472972972972972</v>
      </c>
      <c r="L4" s="65">
        <f t="shared" ref="L4:L7" si="3">K4*24*365/1000</f>
        <v>188.10324324324324</v>
      </c>
      <c r="M4" s="66">
        <f>L4*G4</f>
        <v>84.646459459459464</v>
      </c>
    </row>
    <row r="5" spans="1:13" x14ac:dyDescent="0.25">
      <c r="A5" s="58"/>
      <c r="B5" s="70" t="s">
        <v>270</v>
      </c>
      <c r="C5" s="68">
        <v>0.33783783783783783</v>
      </c>
      <c r="D5" s="69">
        <v>3.3783783783783781</v>
      </c>
      <c r="E5" s="61"/>
      <c r="F5" s="65">
        <f t="shared" si="0"/>
        <v>32.554054054054049</v>
      </c>
      <c r="G5" s="61">
        <v>0.05</v>
      </c>
      <c r="H5" s="65">
        <f t="shared" ref="H5:H12" si="4">F5*G5</f>
        <v>1.6277027027027025</v>
      </c>
      <c r="I5" s="65"/>
      <c r="J5" s="65">
        <f t="shared" si="1"/>
        <v>15.54054054054054</v>
      </c>
      <c r="K5" s="65">
        <f t="shared" si="2"/>
        <v>10.878378378378377</v>
      </c>
      <c r="L5" s="65">
        <f t="shared" si="3"/>
        <v>95.294594594594585</v>
      </c>
      <c r="M5" s="66">
        <f t="shared" ref="M5:M7" si="5">L5*G5</f>
        <v>4.7647297297297291</v>
      </c>
    </row>
    <row r="6" spans="1:13" x14ac:dyDescent="0.25">
      <c r="A6" s="58"/>
      <c r="B6" s="71" t="s">
        <v>271</v>
      </c>
      <c r="C6" s="68">
        <v>2.7027027027027026</v>
      </c>
      <c r="D6" s="69">
        <v>5.4054054054054053</v>
      </c>
      <c r="E6" s="61"/>
      <c r="F6" s="65">
        <f t="shared" si="0"/>
        <v>71.027027027027032</v>
      </c>
      <c r="G6" s="61"/>
      <c r="H6" s="65">
        <f t="shared" si="4"/>
        <v>0</v>
      </c>
      <c r="I6" s="65"/>
      <c r="J6" s="65">
        <f t="shared" si="1"/>
        <v>37.837837837837839</v>
      </c>
      <c r="K6" s="65">
        <f t="shared" si="2"/>
        <v>26.486486486486484</v>
      </c>
      <c r="L6" s="65">
        <f t="shared" si="3"/>
        <v>232.02162162162159</v>
      </c>
      <c r="M6" s="66">
        <f t="shared" si="5"/>
        <v>0</v>
      </c>
    </row>
    <row r="7" spans="1:13" x14ac:dyDescent="0.25">
      <c r="A7" s="58"/>
      <c r="B7" s="72" t="s">
        <v>272</v>
      </c>
      <c r="C7" s="73">
        <v>14.391891891891891</v>
      </c>
      <c r="D7" s="74">
        <v>21.756756756756758</v>
      </c>
      <c r="E7" s="61"/>
      <c r="F7" s="65">
        <f t="shared" si="0"/>
        <v>316.66216216216213</v>
      </c>
      <c r="G7" s="61">
        <f>(0.053+0.011)/2</f>
        <v>3.2000000000000001E-2</v>
      </c>
      <c r="H7" s="65">
        <f t="shared" si="4"/>
        <v>10.133189189189189</v>
      </c>
      <c r="I7" s="65"/>
      <c r="J7" s="65">
        <f t="shared" si="1"/>
        <v>173.37837837837839</v>
      </c>
      <c r="K7" s="65">
        <f>J7*0.35</f>
        <v>60.682432432432428</v>
      </c>
      <c r="L7" s="65">
        <f t="shared" si="3"/>
        <v>531.57810810810804</v>
      </c>
      <c r="M7" s="66">
        <f t="shared" si="5"/>
        <v>17.010499459459457</v>
      </c>
    </row>
    <row r="8" spans="1:13" x14ac:dyDescent="0.25">
      <c r="A8" s="58"/>
      <c r="B8" s="61"/>
      <c r="C8" s="61"/>
      <c r="D8" s="61"/>
      <c r="E8" s="61"/>
      <c r="F8" s="231" t="s">
        <v>80</v>
      </c>
      <c r="G8" s="231" t="s">
        <v>273</v>
      </c>
      <c r="H8" s="65"/>
      <c r="I8" s="65"/>
      <c r="J8" s="61"/>
      <c r="K8" s="61"/>
      <c r="L8" s="61"/>
      <c r="M8" s="75"/>
    </row>
    <row r="9" spans="1:13" x14ac:dyDescent="0.25">
      <c r="A9" s="58"/>
      <c r="B9" s="59" t="s">
        <v>274</v>
      </c>
      <c r="C9" s="60" t="s">
        <v>275</v>
      </c>
      <c r="D9" s="60" t="s">
        <v>276</v>
      </c>
      <c r="E9" s="61"/>
      <c r="F9" s="61"/>
      <c r="G9" s="61"/>
      <c r="H9" s="65"/>
      <c r="I9" s="61"/>
      <c r="J9" s="61"/>
      <c r="K9" s="61"/>
      <c r="L9" s="61"/>
      <c r="M9" s="75"/>
    </row>
    <row r="10" spans="1:13" x14ac:dyDescent="0.25">
      <c r="A10" s="58"/>
      <c r="B10" s="62" t="s">
        <v>268</v>
      </c>
      <c r="C10" s="76">
        <v>200</v>
      </c>
      <c r="D10" s="77">
        <v>325</v>
      </c>
      <c r="E10" s="61"/>
      <c r="F10" s="78">
        <f>C10</f>
        <v>200</v>
      </c>
      <c r="G10" s="61">
        <v>0.95</v>
      </c>
      <c r="H10" s="65">
        <f t="shared" si="4"/>
        <v>190</v>
      </c>
      <c r="I10" s="61"/>
      <c r="J10" s="61"/>
      <c r="K10" s="61"/>
      <c r="L10" s="61"/>
      <c r="M10" s="75"/>
    </row>
    <row r="11" spans="1:13" x14ac:dyDescent="0.25">
      <c r="A11" s="58"/>
      <c r="B11" s="67" t="s">
        <v>269</v>
      </c>
      <c r="C11" s="79">
        <v>275</v>
      </c>
      <c r="D11" s="80">
        <v>400</v>
      </c>
      <c r="E11" s="61"/>
      <c r="F11" s="78">
        <f t="shared" ref="F11:F14" si="6">C11</f>
        <v>275</v>
      </c>
      <c r="G11" s="231">
        <v>0.45</v>
      </c>
      <c r="H11" s="65">
        <f t="shared" si="4"/>
        <v>123.75</v>
      </c>
      <c r="I11" s="61"/>
      <c r="J11" s="61"/>
      <c r="K11" s="61"/>
      <c r="L11" s="61"/>
      <c r="M11" s="75"/>
    </row>
    <row r="12" spans="1:13" x14ac:dyDescent="0.25">
      <c r="A12" s="58"/>
      <c r="B12" s="71" t="s">
        <v>270</v>
      </c>
      <c r="C12" s="79">
        <v>225</v>
      </c>
      <c r="D12" s="80">
        <v>300</v>
      </c>
      <c r="E12" s="61"/>
      <c r="F12" s="78">
        <f t="shared" si="6"/>
        <v>225</v>
      </c>
      <c r="G12" s="231">
        <v>6.0000000000000001E-3</v>
      </c>
      <c r="H12" s="65">
        <f t="shared" si="4"/>
        <v>1.35</v>
      </c>
      <c r="I12" s="61"/>
      <c r="J12" s="61"/>
      <c r="K12" s="61"/>
      <c r="L12" s="61"/>
      <c r="M12" s="75"/>
    </row>
    <row r="13" spans="1:13" x14ac:dyDescent="0.25">
      <c r="A13" s="58"/>
      <c r="B13" s="72" t="s">
        <v>277</v>
      </c>
      <c r="C13" s="81">
        <v>575</v>
      </c>
      <c r="D13" s="82">
        <v>800</v>
      </c>
      <c r="E13" s="61"/>
      <c r="F13" s="78">
        <f t="shared" si="6"/>
        <v>575</v>
      </c>
      <c r="G13" s="231">
        <f>(0.053+0.011)/2</f>
        <v>3.2000000000000001E-2</v>
      </c>
      <c r="H13" s="65">
        <f>F13*G13</f>
        <v>18.400000000000002</v>
      </c>
      <c r="I13" s="61"/>
      <c r="J13" s="61"/>
      <c r="K13" s="61"/>
      <c r="L13" s="61"/>
      <c r="M13" s="75"/>
    </row>
    <row r="14" spans="1:13" x14ac:dyDescent="0.25">
      <c r="A14" s="58"/>
      <c r="B14" s="61"/>
      <c r="C14" s="83">
        <v>1193</v>
      </c>
      <c r="D14" s="84">
        <v>1719</v>
      </c>
      <c r="E14" s="61"/>
      <c r="F14" s="78">
        <f t="shared" si="6"/>
        <v>1193</v>
      </c>
      <c r="G14" s="61"/>
      <c r="H14" s="65"/>
      <c r="I14" s="61"/>
      <c r="J14" s="61"/>
      <c r="K14" s="61"/>
      <c r="L14" s="61"/>
      <c r="M14" s="75"/>
    </row>
    <row r="15" spans="1:13" x14ac:dyDescent="0.25">
      <c r="A15" s="58"/>
      <c r="B15" s="61"/>
      <c r="C15" s="78">
        <f>SUM(C10:C13)</f>
        <v>1275</v>
      </c>
      <c r="D15" s="78">
        <f>SUM(D10:D13)</f>
        <v>1825</v>
      </c>
      <c r="E15" s="61">
        <v>10</v>
      </c>
      <c r="F15" s="78">
        <f>E15*365*24/1000</f>
        <v>87.6</v>
      </c>
      <c r="G15" s="61">
        <v>0.45</v>
      </c>
      <c r="H15" s="78">
        <f>F15*G15</f>
        <v>39.42</v>
      </c>
      <c r="I15" s="61"/>
      <c r="J15" s="61"/>
      <c r="K15" s="61"/>
      <c r="L15" s="61"/>
      <c r="M15" s="75"/>
    </row>
    <row r="16" spans="1:13" x14ac:dyDescent="0.25">
      <c r="A16" s="58"/>
      <c r="B16" s="231" t="s">
        <v>278</v>
      </c>
      <c r="C16" s="61"/>
      <c r="D16" s="61"/>
      <c r="E16" s="61">
        <v>15</v>
      </c>
      <c r="F16" s="78">
        <f t="shared" ref="F16:F17" si="7">E16*365*24/1000</f>
        <v>131.4</v>
      </c>
      <c r="G16" s="61">
        <v>0.45</v>
      </c>
      <c r="H16" s="78">
        <f t="shared" ref="H16:H17" si="8">F16*G16</f>
        <v>59.13</v>
      </c>
      <c r="I16" s="61"/>
      <c r="J16" s="61"/>
      <c r="K16" s="61"/>
      <c r="L16" s="61"/>
      <c r="M16" s="75"/>
    </row>
    <row r="17" spans="1:17" x14ac:dyDescent="0.25">
      <c r="A17" s="58"/>
      <c r="B17" s="61"/>
      <c r="C17" s="61"/>
      <c r="D17" s="61"/>
      <c r="E17" s="61">
        <v>19</v>
      </c>
      <c r="F17" s="78">
        <f t="shared" si="7"/>
        <v>166.44</v>
      </c>
      <c r="G17" s="61">
        <v>0.45</v>
      </c>
      <c r="H17" s="78">
        <f t="shared" si="8"/>
        <v>74.897999999999996</v>
      </c>
      <c r="I17" s="61"/>
      <c r="J17" s="61"/>
      <c r="K17" s="61"/>
      <c r="L17" s="61"/>
      <c r="M17" s="75"/>
    </row>
    <row r="18" spans="1:17" ht="15.75" thickBot="1" x14ac:dyDescent="0.3">
      <c r="A18" s="85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7"/>
    </row>
    <row r="19" spans="1:17" x14ac:dyDescent="0.25">
      <c r="A19" s="233" t="s">
        <v>279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7"/>
    </row>
    <row r="20" spans="1:17" x14ac:dyDescent="0.25">
      <c r="A20" s="28"/>
      <c r="H20" s="283" t="s">
        <v>280</v>
      </c>
      <c r="I20" s="284"/>
      <c r="J20" s="283" t="s">
        <v>281</v>
      </c>
      <c r="K20" s="284"/>
      <c r="M20" s="29"/>
    </row>
    <row r="21" spans="1:17" ht="34.35" customHeight="1" x14ac:dyDescent="0.25">
      <c r="A21" s="28"/>
      <c r="B21" s="17" t="s">
        <v>274</v>
      </c>
      <c r="C21" s="5" t="s">
        <v>275</v>
      </c>
      <c r="D21" s="5" t="s">
        <v>276</v>
      </c>
      <c r="E21" s="5" t="s">
        <v>282</v>
      </c>
      <c r="F21" s="5" t="s">
        <v>283</v>
      </c>
      <c r="G21" s="5" t="s">
        <v>284</v>
      </c>
      <c r="H21" s="5" t="s">
        <v>285</v>
      </c>
      <c r="I21" s="5" t="s">
        <v>286</v>
      </c>
      <c r="J21" s="5" t="s">
        <v>285</v>
      </c>
      <c r="K21" s="5" t="s">
        <v>286</v>
      </c>
      <c r="M21" s="29"/>
    </row>
    <row r="22" spans="1:17" x14ac:dyDescent="0.25">
      <c r="A22" s="28"/>
      <c r="B22" s="13" t="s">
        <v>268</v>
      </c>
      <c r="C22" s="6">
        <v>200</v>
      </c>
      <c r="D22" s="7">
        <v>325</v>
      </c>
      <c r="E22" s="20">
        <f>C22/$C$26</f>
        <v>0.15686274509803921</v>
      </c>
      <c r="F22" s="21">
        <f>D22/$D$26</f>
        <v>0.17808219178082191</v>
      </c>
      <c r="G22" s="21">
        <v>0.82</v>
      </c>
      <c r="H22" s="6">
        <f>C22*G22</f>
        <v>164</v>
      </c>
      <c r="I22" s="7">
        <f>E22*$C$27*G22</f>
        <v>153.45254901960783</v>
      </c>
      <c r="J22" s="6">
        <f>D22*G22</f>
        <v>266.5</v>
      </c>
      <c r="K22" s="7">
        <f>F22*$D$27*G22</f>
        <v>251.02109589041092</v>
      </c>
      <c r="M22" s="29"/>
    </row>
    <row r="23" spans="1:17" x14ac:dyDescent="0.25">
      <c r="A23" s="28"/>
      <c r="B23" s="14" t="s">
        <v>269</v>
      </c>
      <c r="C23" s="9">
        <v>275</v>
      </c>
      <c r="D23" s="1">
        <v>400</v>
      </c>
      <c r="E23" s="22">
        <f>C23/$C$26</f>
        <v>0.21568627450980393</v>
      </c>
      <c r="F23" s="23">
        <f>D23/$D$26</f>
        <v>0.21917808219178081</v>
      </c>
      <c r="G23" s="23">
        <v>0.48</v>
      </c>
      <c r="H23" s="9">
        <f>C23*G23</f>
        <v>132</v>
      </c>
      <c r="I23" s="1">
        <f t="shared" ref="I23:I25" si="9">E23*$C$27*G23</f>
        <v>123.51058823529411</v>
      </c>
      <c r="J23" s="9">
        <f t="shared" ref="J23:J25" si="10">D23*G23</f>
        <v>192</v>
      </c>
      <c r="K23" s="1">
        <f t="shared" ref="K23:K25" si="11">F23*$D$27*G23</f>
        <v>180.84821917808216</v>
      </c>
      <c r="M23" s="29"/>
    </row>
    <row r="24" spans="1:17" x14ac:dyDescent="0.25">
      <c r="A24" s="28"/>
      <c r="B24" s="15" t="s">
        <v>270</v>
      </c>
      <c r="C24" s="9">
        <v>225</v>
      </c>
      <c r="D24" s="1">
        <v>300</v>
      </c>
      <c r="E24" s="22">
        <f>C24/$C$26</f>
        <v>0.17647058823529413</v>
      </c>
      <c r="F24" s="23">
        <f>D24/$D$26</f>
        <v>0.16438356164383561</v>
      </c>
      <c r="G24" s="23">
        <v>1.2E-2</v>
      </c>
      <c r="H24" s="9">
        <f>C24*G24</f>
        <v>2.7</v>
      </c>
      <c r="I24" s="1">
        <f t="shared" si="9"/>
        <v>2.5263529411764707</v>
      </c>
      <c r="J24" s="9">
        <f t="shared" si="10"/>
        <v>3.6</v>
      </c>
      <c r="K24" s="1">
        <f t="shared" si="11"/>
        <v>3.3909041095890409</v>
      </c>
      <c r="M24" s="29"/>
    </row>
    <row r="25" spans="1:17" x14ac:dyDescent="0.25">
      <c r="A25" s="28"/>
      <c r="B25" s="16" t="s">
        <v>277</v>
      </c>
      <c r="C25" s="4">
        <v>575</v>
      </c>
      <c r="D25" s="2">
        <v>800</v>
      </c>
      <c r="E25" s="24">
        <f>C25/$C$26</f>
        <v>0.45098039215686275</v>
      </c>
      <c r="F25" s="25">
        <f>D25/$D$26</f>
        <v>0.43835616438356162</v>
      </c>
      <c r="G25" s="25">
        <v>2.5000000000000001E-2</v>
      </c>
      <c r="H25" s="4">
        <f>C25*G25</f>
        <v>14.375</v>
      </c>
      <c r="I25" s="2">
        <f t="shared" si="9"/>
        <v>13.450490196078432</v>
      </c>
      <c r="J25" s="4">
        <f t="shared" si="10"/>
        <v>20</v>
      </c>
      <c r="K25" s="2">
        <f t="shared" si="11"/>
        <v>18.838356164383562</v>
      </c>
      <c r="M25" s="29"/>
    </row>
    <row r="26" spans="1:17" x14ac:dyDescent="0.25">
      <c r="A26" s="28"/>
      <c r="B26" s="113" t="s">
        <v>287</v>
      </c>
      <c r="C26" s="8">
        <f>SUM(C22:C25)</f>
        <v>1275</v>
      </c>
      <c r="D26" s="8">
        <f>SUM(D22:D25)</f>
        <v>1825</v>
      </c>
      <c r="G26" s="234" t="s">
        <v>288</v>
      </c>
      <c r="H26" s="44">
        <f>SUM(H22:H25)</f>
        <v>313.07499999999999</v>
      </c>
      <c r="I26" s="44">
        <f>SUM(I22:I25)</f>
        <v>292.93998039215683</v>
      </c>
      <c r="J26" s="44">
        <f>SUM(J22:J25)</f>
        <v>482.1</v>
      </c>
      <c r="K26" s="45">
        <f>SUM(K22:K25)</f>
        <v>454.09857534246567</v>
      </c>
      <c r="M26" s="29"/>
    </row>
    <row r="27" spans="1:17" x14ac:dyDescent="0.25">
      <c r="A27" s="28"/>
      <c r="B27" s="113" t="s">
        <v>289</v>
      </c>
      <c r="C27" s="18">
        <v>1193</v>
      </c>
      <c r="D27" s="18">
        <v>1719</v>
      </c>
      <c r="G27" s="234" t="s">
        <v>290</v>
      </c>
      <c r="H27" s="46">
        <f>H26/C26</f>
        <v>0.24554901960784312</v>
      </c>
      <c r="I27" s="234" t="s">
        <v>290</v>
      </c>
      <c r="J27" s="46">
        <f>J26/D26</f>
        <v>0.26416438356164385</v>
      </c>
      <c r="M27" s="29"/>
    </row>
    <row r="28" spans="1:17" ht="15.75" thickBot="1" x14ac:dyDescent="0.3">
      <c r="A28" s="28"/>
      <c r="M28" s="29"/>
    </row>
    <row r="29" spans="1:17" x14ac:dyDescent="0.25">
      <c r="A29" s="233" t="s">
        <v>291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7"/>
    </row>
    <row r="30" spans="1:17" x14ac:dyDescent="0.25">
      <c r="A30" s="28"/>
      <c r="K30" s="285"/>
      <c r="L30" s="285"/>
      <c r="M30" s="40"/>
      <c r="Q30" s="29"/>
    </row>
    <row r="31" spans="1:17" ht="22.5" x14ac:dyDescent="0.25">
      <c r="A31" s="28"/>
      <c r="B31" s="17"/>
      <c r="C31" s="5">
        <v>2020</v>
      </c>
      <c r="D31" s="5">
        <v>2025</v>
      </c>
      <c r="E31" s="5">
        <v>2030</v>
      </c>
      <c r="F31" s="5">
        <v>2035</v>
      </c>
      <c r="G31" s="5">
        <v>2024</v>
      </c>
      <c r="H31" s="5" t="s">
        <v>292</v>
      </c>
      <c r="I31" s="5" t="s">
        <v>293</v>
      </c>
      <c r="J31" s="41" t="s">
        <v>294</v>
      </c>
      <c r="K31" s="5" t="s">
        <v>284</v>
      </c>
      <c r="L31" s="5" t="s">
        <v>295</v>
      </c>
      <c r="M31" s="42" t="s">
        <v>296</v>
      </c>
      <c r="N31" s="5" t="s">
        <v>297</v>
      </c>
      <c r="O31" s="5" t="s">
        <v>298</v>
      </c>
      <c r="P31" s="5" t="s">
        <v>299</v>
      </c>
      <c r="Q31" s="29"/>
    </row>
    <row r="32" spans="1:17" x14ac:dyDescent="0.25">
      <c r="A32" s="28"/>
      <c r="B32" s="13" t="s">
        <v>268</v>
      </c>
      <c r="C32" s="36">
        <v>90</v>
      </c>
      <c r="D32" s="7">
        <v>140</v>
      </c>
      <c r="E32" s="7">
        <v>225</v>
      </c>
      <c r="F32" s="7">
        <v>200</v>
      </c>
      <c r="G32" s="7">
        <f t="shared" ref="G32:G37" si="12">(D32-C32)/(D31-C31)*(G31-C31)+(C32)</f>
        <v>130</v>
      </c>
      <c r="H32" s="21">
        <f>G32/G$38</f>
        <v>0.27196652719665271</v>
      </c>
      <c r="I32" s="21">
        <f>E32/E$38</f>
        <v>0.21428571428571427</v>
      </c>
      <c r="J32" s="21">
        <f>F32/F$38</f>
        <v>0.15037593984962405</v>
      </c>
      <c r="K32" s="202">
        <f>G22</f>
        <v>0.82</v>
      </c>
      <c r="L32" s="49">
        <f>C32*$K32</f>
        <v>73.8</v>
      </c>
      <c r="M32" s="50">
        <f t="shared" ref="M32:P37" si="13">D32*$K32</f>
        <v>114.8</v>
      </c>
      <c r="N32" s="50">
        <f t="shared" si="13"/>
        <v>184.5</v>
      </c>
      <c r="O32" s="50">
        <f t="shared" si="13"/>
        <v>164</v>
      </c>
      <c r="P32" s="50">
        <f t="shared" si="13"/>
        <v>106.6</v>
      </c>
      <c r="Q32" s="29"/>
    </row>
    <row r="33" spans="1:17" x14ac:dyDescent="0.25">
      <c r="A33" s="28"/>
      <c r="B33" s="14" t="s">
        <v>269</v>
      </c>
      <c r="C33" s="37">
        <f>150-C32</f>
        <v>60</v>
      </c>
      <c r="D33" s="1">
        <f>285-D32</f>
        <v>145</v>
      </c>
      <c r="E33" s="1">
        <f>500-E32</f>
        <v>275</v>
      </c>
      <c r="F33" s="1">
        <f>490-F32</f>
        <v>290</v>
      </c>
      <c r="G33" s="1">
        <f t="shared" si="12"/>
        <v>128</v>
      </c>
      <c r="H33" s="23">
        <f t="shared" ref="H33:H37" si="14">G33/G$38</f>
        <v>0.26778242677824265</v>
      </c>
      <c r="I33" s="23">
        <f t="shared" ref="I33:I37" si="15">E33/E$38</f>
        <v>0.26190476190476192</v>
      </c>
      <c r="J33" s="23">
        <f t="shared" ref="J33:J37" si="16">F33/F$38</f>
        <v>0.21804511278195488</v>
      </c>
      <c r="K33" s="202">
        <f>G23</f>
        <v>0.48</v>
      </c>
      <c r="L33" s="51">
        <f t="shared" ref="L33:L37" si="17">C33*$K33</f>
        <v>28.799999999999997</v>
      </c>
      <c r="M33" s="43">
        <f t="shared" si="13"/>
        <v>69.599999999999994</v>
      </c>
      <c r="N33" s="43">
        <f t="shared" si="13"/>
        <v>132</v>
      </c>
      <c r="O33" s="43">
        <f t="shared" si="13"/>
        <v>139.19999999999999</v>
      </c>
      <c r="P33" s="43">
        <f t="shared" si="13"/>
        <v>61.44</v>
      </c>
      <c r="Q33" s="29"/>
    </row>
    <row r="34" spans="1:17" x14ac:dyDescent="0.25">
      <c r="A34" s="28"/>
      <c r="B34" s="33" t="s">
        <v>270</v>
      </c>
      <c r="C34" s="37">
        <f>210-C33-C32</f>
        <v>60</v>
      </c>
      <c r="D34" s="1">
        <f>375-D33-D32</f>
        <v>90</v>
      </c>
      <c r="E34" s="1">
        <f>625-E33-E32</f>
        <v>125</v>
      </c>
      <c r="F34" s="1">
        <f>750-F33-F32</f>
        <v>260</v>
      </c>
      <c r="G34" s="1">
        <f t="shared" si="12"/>
        <v>84</v>
      </c>
      <c r="H34" s="23">
        <f t="shared" si="14"/>
        <v>0.17573221757322174</v>
      </c>
      <c r="I34" s="23">
        <f t="shared" si="15"/>
        <v>0.11904761904761904</v>
      </c>
      <c r="J34" s="23">
        <f t="shared" si="16"/>
        <v>0.19548872180451127</v>
      </c>
      <c r="K34" s="202">
        <f>G24</f>
        <v>1.2E-2</v>
      </c>
      <c r="L34" s="51">
        <f t="shared" si="17"/>
        <v>0.72</v>
      </c>
      <c r="M34" s="43">
        <f t="shared" si="13"/>
        <v>1.08</v>
      </c>
      <c r="N34" s="43">
        <f t="shared" si="13"/>
        <v>1.5</v>
      </c>
      <c r="O34" s="43">
        <f t="shared" si="13"/>
        <v>3.12</v>
      </c>
      <c r="P34" s="43">
        <f t="shared" si="13"/>
        <v>1.008</v>
      </c>
      <c r="Q34" s="29"/>
    </row>
    <row r="35" spans="1:17" x14ac:dyDescent="0.25">
      <c r="A35" s="28"/>
      <c r="B35" s="34" t="s">
        <v>300</v>
      </c>
      <c r="C35" s="37">
        <f>215-C34-C33-C32</f>
        <v>5</v>
      </c>
      <c r="D35" s="1">
        <f>410-D34-D33-D32</f>
        <v>35</v>
      </c>
      <c r="E35" s="1">
        <f>790-E34-E33-E32</f>
        <v>165</v>
      </c>
      <c r="F35" s="1">
        <f>1000-F34-F33-F32</f>
        <v>250</v>
      </c>
      <c r="G35" s="1">
        <f t="shared" si="12"/>
        <v>29</v>
      </c>
      <c r="H35" s="23">
        <f t="shared" si="14"/>
        <v>6.0669456066945605E-2</v>
      </c>
      <c r="I35" s="23">
        <f t="shared" si="15"/>
        <v>0.15714285714285714</v>
      </c>
      <c r="J35" s="23">
        <f t="shared" si="16"/>
        <v>0.18796992481203006</v>
      </c>
      <c r="K35" s="202">
        <f>0.05</f>
        <v>0.05</v>
      </c>
      <c r="L35" s="51">
        <f t="shared" si="17"/>
        <v>0.25</v>
      </c>
      <c r="M35" s="43">
        <f t="shared" si="13"/>
        <v>1.75</v>
      </c>
      <c r="N35" s="43">
        <f t="shared" si="13"/>
        <v>8.25</v>
      </c>
      <c r="O35" s="43">
        <f t="shared" si="13"/>
        <v>12.5</v>
      </c>
      <c r="P35" s="43">
        <f t="shared" si="13"/>
        <v>1.4500000000000002</v>
      </c>
      <c r="Q35" s="29"/>
    </row>
    <row r="36" spans="1:17" x14ac:dyDescent="0.25">
      <c r="A36" s="28"/>
      <c r="B36" s="35" t="s">
        <v>301</v>
      </c>
      <c r="C36" s="37">
        <f>250-C35-C34-C33-C32</f>
        <v>35</v>
      </c>
      <c r="D36" s="1">
        <f>460-D35-D34-D33-D32</f>
        <v>50</v>
      </c>
      <c r="E36" s="1">
        <f>940-E35-E34-E33-E32</f>
        <v>150</v>
      </c>
      <c r="F36" s="1">
        <f>1200-F35-F34-F33-F32</f>
        <v>200</v>
      </c>
      <c r="G36" s="1">
        <f t="shared" si="12"/>
        <v>47</v>
      </c>
      <c r="H36" s="23">
        <f t="shared" si="14"/>
        <v>9.832635983263599E-2</v>
      </c>
      <c r="I36" s="23">
        <f t="shared" si="15"/>
        <v>0.14285714285714285</v>
      </c>
      <c r="J36" s="23">
        <f t="shared" si="16"/>
        <v>0.15037593984962405</v>
      </c>
      <c r="K36" s="202">
        <f>0.02</f>
        <v>0.02</v>
      </c>
      <c r="L36" s="51">
        <f t="shared" si="17"/>
        <v>0.70000000000000007</v>
      </c>
      <c r="M36" s="43">
        <f t="shared" si="13"/>
        <v>1</v>
      </c>
      <c r="N36" s="43">
        <f t="shared" si="13"/>
        <v>3</v>
      </c>
      <c r="O36" s="43">
        <f t="shared" si="13"/>
        <v>4</v>
      </c>
      <c r="P36" s="43">
        <f t="shared" si="13"/>
        <v>0.94000000000000006</v>
      </c>
      <c r="Q36" s="29"/>
    </row>
    <row r="37" spans="1:17" x14ac:dyDescent="0.25">
      <c r="A37" s="28"/>
      <c r="B37" s="16" t="s">
        <v>302</v>
      </c>
      <c r="C37" s="38">
        <f>290-C36-C35-C34-C33-C32</f>
        <v>40</v>
      </c>
      <c r="D37" s="2">
        <f>525-D36-D35-D34-D33-D32</f>
        <v>65</v>
      </c>
      <c r="E37" s="2">
        <f>1050-E36-E35-E34-E33-E32</f>
        <v>110</v>
      </c>
      <c r="F37" s="2">
        <f>1330-F36-F35-F34-F33-F32</f>
        <v>130</v>
      </c>
      <c r="G37" s="2">
        <f t="shared" si="12"/>
        <v>60</v>
      </c>
      <c r="H37" s="25">
        <f t="shared" si="14"/>
        <v>0.12552301255230125</v>
      </c>
      <c r="I37" s="25">
        <f t="shared" si="15"/>
        <v>0.10476190476190476</v>
      </c>
      <c r="J37" s="25">
        <f t="shared" si="16"/>
        <v>9.7744360902255634E-2</v>
      </c>
      <c r="K37" s="203">
        <f>G25</f>
        <v>2.5000000000000001E-2</v>
      </c>
      <c r="L37" s="52">
        <f t="shared" si="17"/>
        <v>1</v>
      </c>
      <c r="M37" s="53">
        <f t="shared" si="13"/>
        <v>1.625</v>
      </c>
      <c r="N37" s="53">
        <f t="shared" si="13"/>
        <v>2.75</v>
      </c>
      <c r="O37" s="53">
        <f t="shared" si="13"/>
        <v>3.25</v>
      </c>
      <c r="P37" s="53">
        <f t="shared" si="13"/>
        <v>1.5</v>
      </c>
      <c r="Q37" s="29"/>
    </row>
    <row r="38" spans="1:17" x14ac:dyDescent="0.25">
      <c r="A38" s="28"/>
      <c r="B38" s="234" t="s">
        <v>288</v>
      </c>
      <c r="C38" s="47">
        <f t="shared" ref="C38" si="18">SUM(C32:C37)</f>
        <v>290</v>
      </c>
      <c r="D38" s="47">
        <f t="shared" ref="D38" si="19">SUM(D32:D37)</f>
        <v>525</v>
      </c>
      <c r="E38" s="47">
        <f t="shared" ref="E38:F38" si="20">SUM(E32:E37)</f>
        <v>1050</v>
      </c>
      <c r="F38" s="47">
        <f t="shared" si="20"/>
        <v>1330</v>
      </c>
      <c r="G38" s="48">
        <f>SUM(G32:G37)</f>
        <v>478</v>
      </c>
      <c r="K38" s="234" t="s">
        <v>288</v>
      </c>
      <c r="L38" s="47">
        <f>SUM(L32:L37)</f>
        <v>105.27</v>
      </c>
      <c r="M38" s="47">
        <f t="shared" ref="M38:P38" si="21">SUM(M32:M37)</f>
        <v>189.85499999999999</v>
      </c>
      <c r="N38" s="47">
        <f t="shared" si="21"/>
        <v>332</v>
      </c>
      <c r="O38" s="47">
        <f t="shared" si="21"/>
        <v>326.07</v>
      </c>
      <c r="P38" s="48">
        <f t="shared" si="21"/>
        <v>172.93799999999999</v>
      </c>
      <c r="Q38" s="29"/>
    </row>
    <row r="39" spans="1:17" ht="15.75" thickBot="1" x14ac:dyDescent="0.3">
      <c r="A39" s="30"/>
      <c r="B39" s="31"/>
      <c r="C39" s="31"/>
      <c r="D39" s="31"/>
      <c r="E39" s="31"/>
      <c r="F39" s="31"/>
      <c r="G39" s="31"/>
      <c r="H39" s="31"/>
      <c r="I39" s="31"/>
      <c r="J39" s="31"/>
      <c r="K39" s="235" t="s">
        <v>290</v>
      </c>
      <c r="L39" s="39">
        <f>L38/C38</f>
        <v>0.36299999999999999</v>
      </c>
      <c r="M39" s="39">
        <f t="shared" ref="M39:O39" si="22">M38/D38</f>
        <v>0.36162857142857141</v>
      </c>
      <c r="N39" s="39">
        <f t="shared" si="22"/>
        <v>0.31619047619047619</v>
      </c>
      <c r="O39" s="39">
        <f t="shared" si="22"/>
        <v>0.24516541353383459</v>
      </c>
      <c r="P39" s="54">
        <f>P38/G38</f>
        <v>0.36179497907949787</v>
      </c>
      <c r="Q39" s="32"/>
    </row>
  </sheetData>
  <mergeCells count="3">
    <mergeCell ref="H20:I20"/>
    <mergeCell ref="J20:K20"/>
    <mergeCell ref="K30:L3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49ac2a-b211-4fea-a23e-058f661af758">
      <Terms xmlns="http://schemas.microsoft.com/office/infopath/2007/PartnerControls"/>
    </lcf76f155ced4ddcb4097134ff3c332f>
    <TaxCatchAll xmlns="8f1b8a44-2e81-425d-8025-2e5e0436f2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F8D0E12706CA4F88F078CAAF1F0285" ma:contentTypeVersion="13" ma:contentTypeDescription="Crée un document." ma:contentTypeScope="" ma:versionID="65e44b94b80c847526fb1aad9e5e7274">
  <xsd:schema xmlns:xsd="http://www.w3.org/2001/XMLSchema" xmlns:xs="http://www.w3.org/2001/XMLSchema" xmlns:p="http://schemas.microsoft.com/office/2006/metadata/properties" xmlns:ns2="e249ac2a-b211-4fea-a23e-058f661af758" xmlns:ns3="8f1b8a44-2e81-425d-8025-2e5e0436f25e" targetNamespace="http://schemas.microsoft.com/office/2006/metadata/properties" ma:root="true" ma:fieldsID="55ef6f2f567e5000964d2f8daa3d1dd4" ns2:_="" ns3:_="">
    <xsd:import namespace="e249ac2a-b211-4fea-a23e-058f661af758"/>
    <xsd:import namespace="8f1b8a44-2e81-425d-8025-2e5e0436f2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9ac2a-b211-4fea-a23e-058f661af7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c47289d-44d4-4518-8531-d864f6d3e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b8a44-2e81-425d-8025-2e5e0436f2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8f2c3c-97c3-401f-9e00-dc202c827de0}" ma:internalName="TaxCatchAll" ma:showField="CatchAllData" ma:web="8f1b8a44-2e81-425d-8025-2e5e0436f2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C76E17-8D15-4F18-AF51-C8899A043974}">
  <ds:schemaRefs>
    <ds:schemaRef ds:uri="http://schemas.microsoft.com/office/2006/metadata/properties"/>
    <ds:schemaRef ds:uri="http://schemas.microsoft.com/office/infopath/2007/PartnerControls"/>
    <ds:schemaRef ds:uri="e249ac2a-b211-4fea-a23e-058f661af758"/>
    <ds:schemaRef ds:uri="8f1b8a44-2e81-425d-8025-2e5e0436f25e"/>
  </ds:schemaRefs>
</ds:datastoreItem>
</file>

<file path=customXml/itemProps2.xml><?xml version="1.0" encoding="utf-8"?>
<ds:datastoreItem xmlns:ds="http://schemas.openxmlformats.org/officeDocument/2006/customXml" ds:itemID="{922F7EB1-9906-43B9-8068-77FA6AC9A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49ac2a-b211-4fea-a23e-058f661af758"/>
    <ds:schemaRef ds:uri="8f1b8a44-2e81-425d-8025-2e5e0436f2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DF73EA-3FB4-4A65-949A-847ECA407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0 - Refs hors TSP</vt:lpstr>
      <vt:lpstr>1 - Taux de croissance hist</vt:lpstr>
      <vt:lpstr>2 - Conso élec état des lieux</vt:lpstr>
      <vt:lpstr>3 - Conso élec TWh monde</vt:lpstr>
      <vt:lpstr>4 - Emissions GES scénarios</vt:lpstr>
      <vt:lpstr>5 - Declinaison d'obj GES à TWh</vt:lpstr>
      <vt:lpstr>6 - Conso élec TWh Europe</vt:lpstr>
      <vt:lpstr>Références</vt:lpstr>
      <vt:lpstr>Analyse FE et GES IEA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TSP</dc:creator>
  <cp:keywords/>
  <dc:description/>
  <cp:lastModifiedBy>Marlène de Bank</cp:lastModifiedBy>
  <cp:revision>2</cp:revision>
  <dcterms:created xsi:type="dcterms:W3CDTF">2021-12-10T09:09:31Z</dcterms:created>
  <dcterms:modified xsi:type="dcterms:W3CDTF">2025-09-29T09:05:23Z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0x01010059F8D0E12706CA4F88F078CAAF1F0285</vt:lpwstr>
  </property>
  <property fmtid="{D5CDD505-2E9C-101B-9397-08002B2CF9AE}" pid="3" name="MediaServiceImageTags">
    <vt:lpwstr/>
  </property>
</Properties>
</file>