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13_ncr:1_{EE69D81F-B6DA-49BF-A08B-9A2DD707946E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Video Categories" sheetId="20" r:id="rId1"/>
    <sheet name="Adult websites" sheetId="8" r:id="rId2"/>
    <sheet name="VoD websites" sheetId="15" r:id="rId3"/>
    <sheet name="Tube websites" sheetId="18" r:id="rId4"/>
    <sheet name="CO2" sheetId="21" r:id="rId5"/>
    <sheet name="Sources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1" l="1"/>
  <c r="G6" i="21"/>
  <c r="G118" i="8" l="1"/>
  <c r="D112" i="8"/>
  <c r="H118" i="8"/>
  <c r="E118" i="8"/>
  <c r="C118" i="8"/>
  <c r="H112" i="8"/>
  <c r="F112" i="8"/>
  <c r="E112" i="8"/>
  <c r="C112" i="8"/>
  <c r="E94" i="8"/>
  <c r="E106" i="8"/>
  <c r="H106" i="8"/>
  <c r="H82" i="8"/>
  <c r="H94" i="8"/>
  <c r="D100" i="8"/>
  <c r="H100" i="8"/>
  <c r="F18" i="18"/>
  <c r="H88" i="8"/>
  <c r="G112" i="8" l="1"/>
  <c r="I112" i="8" s="1"/>
  <c r="I77" i="8" s="1"/>
  <c r="F9" i="21"/>
  <c r="E9" i="21"/>
  <c r="E18" i="18" l="1"/>
  <c r="E22" i="15"/>
  <c r="E88" i="8" l="1"/>
  <c r="E82" i="8"/>
  <c r="F17" i="21"/>
  <c r="E17" i="21"/>
  <c r="F11" i="21"/>
  <c r="F18" i="21" s="1"/>
  <c r="E11" i="21"/>
  <c r="E18" i="21" s="1"/>
  <c r="F6" i="21" l="1"/>
  <c r="H22" i="15"/>
  <c r="E6" i="21" s="1"/>
  <c r="D14" i="20"/>
  <c r="C7" i="21" l="1"/>
  <c r="G22" i="15"/>
  <c r="H18" i="18"/>
  <c r="F22" i="15" l="1"/>
  <c r="E7" i="21" s="1"/>
  <c r="E10" i="18" l="1"/>
  <c r="E6" i="18"/>
  <c r="E11" i="18"/>
  <c r="E9" i="18"/>
  <c r="E8" i="18"/>
  <c r="E7" i="18"/>
  <c r="D11" i="18"/>
  <c r="D10" i="18"/>
  <c r="D9" i="18"/>
  <c r="D8" i="18"/>
  <c r="D7" i="18"/>
  <c r="D6" i="18" l="1"/>
  <c r="C18" i="18" l="1"/>
  <c r="D15" i="15"/>
  <c r="D14" i="15"/>
  <c r="D13" i="15"/>
  <c r="D12" i="15"/>
  <c r="D11" i="15"/>
  <c r="D10" i="15"/>
  <c r="D9" i="15"/>
  <c r="D8" i="15"/>
  <c r="D7" i="15"/>
  <c r="D6" i="15"/>
  <c r="E14" i="15"/>
  <c r="E11" i="15"/>
  <c r="E13" i="15"/>
  <c r="E10" i="15"/>
  <c r="E9" i="15"/>
  <c r="E12" i="15"/>
  <c r="E15" i="15"/>
  <c r="E7" i="15"/>
  <c r="E8" i="15"/>
  <c r="E6" i="15"/>
  <c r="C22" i="15" l="1"/>
  <c r="D22" i="15" s="1"/>
  <c r="C64" i="8" l="1"/>
  <c r="E64" i="8" s="1"/>
  <c r="F100" i="8" s="1"/>
  <c r="E100" i="8" s="1"/>
  <c r="E11" i="8"/>
  <c r="D12" i="8" l="1"/>
  <c r="D11" i="8"/>
  <c r="D10" i="8"/>
  <c r="E12" i="8"/>
  <c r="E10" i="8"/>
  <c r="E9" i="8" l="1"/>
  <c r="E8" i="8"/>
  <c r="E7" i="8"/>
  <c r="E6" i="8"/>
  <c r="D9" i="8"/>
  <c r="D8" i="8"/>
  <c r="D7" i="8"/>
  <c r="D6" i="8"/>
  <c r="D82" i="8" l="1"/>
  <c r="D94" i="8" s="1"/>
  <c r="F94" i="8" s="1"/>
  <c r="D106" i="8"/>
  <c r="F106" i="8" s="1"/>
  <c r="C82" i="8"/>
  <c r="C106" i="8"/>
  <c r="C94" i="8"/>
  <c r="C100" i="8"/>
  <c r="G100" i="8" s="1"/>
  <c r="I100" i="8" s="1"/>
  <c r="D77" i="8" s="1"/>
  <c r="C88" i="8"/>
  <c r="F82" i="8" l="1"/>
  <c r="G106" i="8"/>
  <c r="I106" i="8" s="1"/>
  <c r="H77" i="8" s="1"/>
  <c r="G94" i="8"/>
  <c r="I94" i="8" s="1"/>
  <c r="F77" i="8" s="1"/>
  <c r="G82" i="8"/>
  <c r="I82" i="8" s="1"/>
  <c r="G18" i="18"/>
  <c r="E8" i="21"/>
  <c r="G7" i="21" l="1"/>
  <c r="G8" i="21" s="1"/>
  <c r="E77" i="8"/>
  <c r="F7" i="21"/>
  <c r="F8" i="21" s="1"/>
  <c r="D18" i="18"/>
  <c r="D88" i="8" s="1"/>
  <c r="C6" i="21" l="1"/>
  <c r="C8" i="21"/>
  <c r="F88" i="8"/>
  <c r="G88" i="8" s="1"/>
  <c r="I88" i="8" s="1"/>
  <c r="G77" i="8" s="1"/>
  <c r="J77" i="8"/>
  <c r="D118" i="8"/>
  <c r="F118" i="8"/>
  <c r="G11" i="21"/>
  <c r="G18" i="21" s="1"/>
  <c r="C18" i="21" s="1"/>
  <c r="C11" i="21"/>
  <c r="C17" i="21"/>
  <c r="C9" i="21"/>
  <c r="G1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Updated : conversion corrected (from bps to B/s)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calculation linked to the correction of the mean bitrate</t>
        </r>
      </text>
    </comment>
    <comment ref="C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output of the 1byte model, with updated inputs</t>
        </r>
      </text>
    </comment>
    <comment ref="C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calcultations linked to the updated output of 1byte model</t>
        </r>
      </text>
    </comment>
    <comment ref="C1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final figures with the corrected "mean bitrate"</t>
        </r>
      </text>
    </comment>
    <comment ref="C1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Update : for all the categories, final figures with the corrected "mean bitrate"</t>
        </r>
      </text>
    </comment>
  </commentList>
</comments>
</file>

<file path=xl/sharedStrings.xml><?xml version="1.0" encoding="utf-8"?>
<sst xmlns="http://schemas.openxmlformats.org/spreadsheetml/2006/main" count="617" uniqueCount="299">
  <si>
    <t>/</t>
  </si>
  <si>
    <t>Website</t>
  </si>
  <si>
    <t>Analytics tool : SimilarWeb</t>
  </si>
  <si>
    <t>World Rank</t>
  </si>
  <si>
    <t>Comments</t>
  </si>
  <si>
    <t>6-months average (07/2018 - 12/2018)</t>
  </si>
  <si>
    <t>Pages per visit
(in pages)</t>
  </si>
  <si>
    <t>Xvideos</t>
  </si>
  <si>
    <t>Pornhub</t>
  </si>
  <si>
    <t>XNXX</t>
  </si>
  <si>
    <t>xHamster</t>
  </si>
  <si>
    <t>Month</t>
  </si>
  <si>
    <t>08/2018</t>
  </si>
  <si>
    <t>09/2018</t>
  </si>
  <si>
    <t>10/2018</t>
  </si>
  <si>
    <t>11/2018</t>
  </si>
  <si>
    <t>12/2018</t>
  </si>
  <si>
    <t>07/2018</t>
  </si>
  <si>
    <t>Analytics tool : SimilarWeb (raw data : visits, in billions of visits)</t>
  </si>
  <si>
    <t>https://www.similarweb.com/website/pornhub.com (visited on 09/01/2019)</t>
  </si>
  <si>
    <t>https://www.similarweb.com/website/xvideos.com#overview (visited on 09/01/2019)</t>
  </si>
  <si>
    <t>https://www.similarweb.com/website/xnxx.com#overview (visited on 09/01/2019)</t>
  </si>
  <si>
    <t>https://www.similarweb.com/website/xhamster.com#overview (visited on 09/01/2019)</t>
  </si>
  <si>
    <t>https://www.similarweb.com/website/youtube.com#overview (visited on 09/01/2019)</t>
  </si>
  <si>
    <t>Adult websites among the 100 most visited websites in the world. Ranking : 12/2018.</t>
  </si>
  <si>
    <t>Chaturbate</t>
  </si>
  <si>
    <t>Youporn</t>
  </si>
  <si>
    <t>Redtube</t>
  </si>
  <si>
    <t>50 most visited adult websites in the world. Ranking : 12/2018.</t>
  </si>
  <si>
    <t>spankbang.com</t>
  </si>
  <si>
    <t>atianqi.com</t>
  </si>
  <si>
    <t>e-hentai.org</t>
  </si>
  <si>
    <t>xnxx.tv</t>
  </si>
  <si>
    <t>xhamsterlive.com</t>
  </si>
  <si>
    <t>pornpics.com</t>
  </si>
  <si>
    <t>beeg.com</t>
  </si>
  <si>
    <t>porn.com</t>
  </si>
  <si>
    <t>porn300.com</t>
  </si>
  <si>
    <t>youporn.sexy</t>
  </si>
  <si>
    <t>eroterest.net</t>
  </si>
  <si>
    <t>tube8.com</t>
  </si>
  <si>
    <t>xvideos2.com</t>
  </si>
  <si>
    <t>imagefap.com</t>
  </si>
  <si>
    <t>serviporno.com</t>
  </si>
  <si>
    <t>hitomi.la</t>
  </si>
  <si>
    <t>movie.eroterest.net</t>
  </si>
  <si>
    <t>bongacams.com</t>
  </si>
  <si>
    <t>avgle.com</t>
  </si>
  <si>
    <t>thumbzilla.com</t>
  </si>
  <si>
    <t>gotporn.com</t>
  </si>
  <si>
    <t>txxx.com</t>
  </si>
  <si>
    <t>yespornplease.com</t>
  </si>
  <si>
    <t>pornhubpremium.com</t>
  </si>
  <si>
    <t>adultfrienfinder.com</t>
  </si>
  <si>
    <t>cityheaven.net</t>
  </si>
  <si>
    <t>vporn.com</t>
  </si>
  <si>
    <t>tnaflix.com</t>
  </si>
  <si>
    <t>brazzersnetwork.com</t>
  </si>
  <si>
    <t>pornhdvideos.net</t>
  </si>
  <si>
    <t>ixxx.com</t>
  </si>
  <si>
    <t>pornhd.com</t>
  </si>
  <si>
    <t>xtube.com</t>
  </si>
  <si>
    <t>eporner.com</t>
  </si>
  <si>
    <t>V</t>
  </si>
  <si>
    <t>X</t>
  </si>
  <si>
    <t>Video streaming website ?</t>
  </si>
  <si>
    <t>Other types of websites : images, dating, live etc.</t>
  </si>
  <si>
    <t>dmm.co.jp</t>
  </si>
  <si>
    <t>nhentai.net</t>
  </si>
  <si>
    <t>livejasmin.com</t>
  </si>
  <si>
    <t>youjizz.com</t>
  </si>
  <si>
    <t>myfreecams.com</t>
  </si>
  <si>
    <t>rule34.XXX</t>
  </si>
  <si>
    <t>nutaku</t>
  </si>
  <si>
    <t>Calculations</t>
  </si>
  <si>
    <t>pornhub.com</t>
  </si>
  <si>
    <t>xvideos.com</t>
  </si>
  <si>
    <t>xnxx.com</t>
  </si>
  <si>
    <t>xhamster.com</t>
  </si>
  <si>
    <t>chaturbate.com</t>
  </si>
  <si>
    <t>redtube.com</t>
  </si>
  <si>
    <t>youporn.com</t>
  </si>
  <si>
    <t>Calculations : pornhub.com statistics</t>
  </si>
  <si>
    <t>Source</t>
  </si>
  <si>
    <t>Total monthly visits 
(in visits)</t>
  </si>
  <si>
    <t>Total yearly visits 
(in visits)</t>
  </si>
  <si>
    <t>Total for 2018</t>
  </si>
  <si>
    <t>Visits for 1 month : 12/2018</t>
  </si>
  <si>
    <t>Data transferred
(in bytes)</t>
  </si>
  <si>
    <t>Data transferred by visit
(in B/visit)</t>
  </si>
  <si>
    <t>Total visits for 2018 ; consistent with SimilarWeb results</t>
  </si>
  <si>
    <t>Average data traffic for 1 visit</t>
  </si>
  <si>
    <t>https://www.similarweb.com/website/chaturbate.com#overview (visited on 09/01/2019)</t>
  </si>
  <si>
    <t>https://www.similarweb.com/website/redtube.com#overview (visited on 09/01/2019)</t>
  </si>
  <si>
    <t>https://www.similarweb.com/website/youporn.com#overview (visited on 09/01/2019)</t>
  </si>
  <si>
    <t>Share of adult websites in internet video traffic
(in %)</t>
  </si>
  <si>
    <t>Monthly average for 2018</t>
  </si>
  <si>
    <t>Total monthly data traffic [adult videos]
(in B)</t>
  </si>
  <si>
    <t>Monthly total for 2018</t>
  </si>
  <si>
    <t>Total monthly 
data traffic 
[all internet videos]
(in B)</t>
  </si>
  <si>
    <t>https://www.similarweb.com/top-websites/category/adult</t>
  </si>
  <si>
    <t>netflix.com</t>
  </si>
  <si>
    <t>Source (direct link)</t>
  </si>
  <si>
    <t>primevideo.com</t>
  </si>
  <si>
    <t>hulu.com</t>
  </si>
  <si>
    <t>tv.youtube.com</t>
  </si>
  <si>
    <t>showtime.com</t>
  </si>
  <si>
    <t>sling.com</t>
  </si>
  <si>
    <t>acorn.tv</t>
  </si>
  <si>
    <t>fubo.tv</t>
  </si>
  <si>
    <t>sonycrackle.com</t>
  </si>
  <si>
    <t>ocs.fr</t>
  </si>
  <si>
    <t>Analytics tool : SimilarWeb (raw data : visits, in millions of visits)</t>
  </si>
  <si>
    <t>https://www.similarweb.com/website/netflix.com#overview (visited on 14/01/2019)</t>
  </si>
  <si>
    <t>https://www.similarweb.com/website/primevideo.com (visited on 14/01/2019)</t>
  </si>
  <si>
    <t>https://www.similarweb.com/website/hulu.com#overview (visited on 14/01/2019)</t>
  </si>
  <si>
    <t>https://www.similarweb.com/website/tv.youtube.com#overview (visited on 14/01/2019)</t>
  </si>
  <si>
    <t>https://www.similarweb.com/website/showtime.com#overview (visited on 14/01/2019)</t>
  </si>
  <si>
    <t>https://www.similarweb.com/website/sling.com#overview (visited on 14/01/2019)</t>
  </si>
  <si>
    <t>https://www.similarweb.com/website/fubo.tv#overview (visited on 14/01/2019)</t>
  </si>
  <si>
    <t>https://www.similarweb.com/website/acorn.tv#overview (visited on 14/01/2019)</t>
  </si>
  <si>
    <t>https://www.similarweb.com/website/sonycrackle.com#overview (visited on 14/01/2019)</t>
  </si>
  <si>
    <t>https://www.similarweb.com/website/ocs.fr#overview (visited on 14/01/2019)</t>
  </si>
  <si>
    <t>Ranking : 12/2018.</t>
  </si>
  <si>
    <t>Calculations : total yearly traffic for long-form video websites</t>
  </si>
  <si>
    <t>Order of magnitude</t>
  </si>
  <si>
    <t>Average visit duration
(in seconds/visit)</t>
  </si>
  <si>
    <t>Share of VoD websites in internet video traffic
(in %)</t>
  </si>
  <si>
    <t>youtube.com</t>
  </si>
  <si>
    <t>dailymotion.com</t>
  </si>
  <si>
    <t>rutube.ru</t>
  </si>
  <si>
    <t>vimeo.com</t>
  </si>
  <si>
    <t>nicovideo.jp</t>
  </si>
  <si>
    <t>youku.com</t>
  </si>
  <si>
    <t>6-months average (07/2018 - 12/2018).
Youtube ~ 95% of tube websites traffic.</t>
  </si>
  <si>
    <t>9.15</t>
  </si>
  <si>
    <t>3.04</t>
  </si>
  <si>
    <t>6.79</t>
  </si>
  <si>
    <t>3.42</t>
  </si>
  <si>
    <t>3.7</t>
  </si>
  <si>
    <t>2.86</t>
  </si>
  <si>
    <t>Share for 2018 global traffic, from SimilarWeb data</t>
  </si>
  <si>
    <t>https://www.similarweb.com/website/dailymotion.com#overview (visited on 18/01/2019)</t>
  </si>
  <si>
    <t>https://www.similarweb.com/website/nicovideo.jp#overview (visited on 18/01/2019)</t>
  </si>
  <si>
    <t>https://www.similarweb.com/website/youku.com#overview (visited on 18/01/2019)</t>
  </si>
  <si>
    <t>https://www.similarweb.com/website/vimeo.com#overview (visited on 18/01/2019)</t>
  </si>
  <si>
    <t>https://www.similarweb.com/website/rutube.ru#overview (visited on 18/01/2019)</t>
  </si>
  <si>
    <t>Sources</t>
  </si>
  <si>
    <t>Link, Bibliography reference</t>
  </si>
  <si>
    <t>Reference</t>
  </si>
  <si>
    <t>Adult Websites</t>
  </si>
  <si>
    <t>Tube Websites</t>
  </si>
  <si>
    <t>VoD Websites</t>
  </si>
  <si>
    <t>[1]</t>
  </si>
  <si>
    <t>[2]</t>
  </si>
  <si>
    <t>Cisco VNI (2018)</t>
  </si>
  <si>
    <r>
      <rPr>
        <sz val="11"/>
        <color theme="1"/>
        <rFont val="Calibri"/>
        <family val="2"/>
      </rPr>
      <t>Cisco (2018).</t>
    </r>
    <r>
      <rPr>
        <i/>
        <sz val="11"/>
        <color theme="1"/>
        <rFont val="Calibri"/>
        <family val="2"/>
      </rPr>
      <t xml:space="preserve"> Cisco Visual Networking Index: Forecast and Trends, 2017–2022</t>
    </r>
    <r>
      <rPr>
        <sz val="11"/>
        <color theme="1"/>
        <rFont val="Calibri"/>
        <family val="2"/>
      </rPr>
      <t xml:space="preserve">. Updated Nov. 2018. Doc. ID : 1543280537836565. </t>
    </r>
  </si>
  <si>
    <t>[3]</t>
  </si>
  <si>
    <r>
      <t xml:space="preserve">Pornhub Insights (2018). </t>
    </r>
    <r>
      <rPr>
        <i/>
        <sz val="11"/>
        <color theme="1"/>
        <rFont val="Calibri"/>
        <family val="2"/>
      </rPr>
      <t>2018, Year in Review. Infography</t>
    </r>
    <r>
      <rPr>
        <sz val="11"/>
        <color theme="1"/>
        <rFont val="Calibri"/>
        <family val="2"/>
      </rPr>
      <t xml:space="preserve">. </t>
    </r>
    <r>
      <rPr>
        <i/>
        <sz val="11"/>
        <color theme="1"/>
        <rFont val="Calibri"/>
        <family val="2"/>
      </rPr>
      <t>https://www.pornhub.com/insights/2018-year-in-review</t>
    </r>
    <r>
      <rPr>
        <sz val="11"/>
        <color theme="1"/>
        <rFont val="Calibri"/>
        <family val="2"/>
      </rPr>
      <t>.</t>
    </r>
  </si>
  <si>
    <t>Pornhub Insights (2018)</t>
  </si>
  <si>
    <t>[1] Cisco VNI (2018)</t>
  </si>
  <si>
    <t>[3] Pornhub Insights (2018)</t>
  </si>
  <si>
    <t>Direct link : https://www.cisco.com/c/en/us/solutions/collateral/service-provider/visual-networking-index-vni/white-paper-c11-741490.html#_Toc529314186</t>
  </si>
  <si>
    <t>Direct link : https://www.cisco.com/c/en/us/solutions/collateral/service-provider/visual-networking-index-vni/white-paper-c11-741490.html#_Toc529314173</t>
  </si>
  <si>
    <t>Cisco VNI (2018) - 1</t>
  </si>
  <si>
    <t>Cisco VNI (2018) - 2</t>
  </si>
  <si>
    <r>
      <rPr>
        <sz val="11"/>
        <color theme="1"/>
        <rFont val="Calibri"/>
        <family val="2"/>
      </rPr>
      <t xml:space="preserve">Aaron, A., Li, Z., Manohara, M., De Cock, J., Ronca, D. (2015). </t>
    </r>
    <r>
      <rPr>
        <i/>
        <sz val="11"/>
        <color theme="1"/>
        <rFont val="Calibri"/>
        <family val="2"/>
      </rPr>
      <t xml:space="preserve">Per-Title Encode Optimization. </t>
    </r>
    <r>
      <rPr>
        <sz val="11"/>
        <color theme="1"/>
        <rFont val="Calibri"/>
        <family val="2"/>
      </rPr>
      <t>Netflix Technology Blog. Dec. 14, 2015.</t>
    </r>
    <r>
      <rPr>
        <i/>
        <sz val="11"/>
        <color theme="1"/>
        <rFont val="Calibri"/>
        <family val="2"/>
      </rPr>
      <t xml:space="preserve"> https://medium.com/netflix-techblog/per-title-encode-optimization-7e99442b62a2</t>
    </r>
  </si>
  <si>
    <t>[4]</t>
  </si>
  <si>
    <t>Netflix Blog (2015)</t>
  </si>
  <si>
    <t>Sandvine Blog (2018)</t>
  </si>
  <si>
    <t>Sandvine Report (2018)</t>
  </si>
  <si>
    <t>[5]</t>
  </si>
  <si>
    <t>[6]</t>
  </si>
  <si>
    <t>[7]</t>
  </si>
  <si>
    <r>
      <rPr>
        <sz val="11"/>
        <color theme="1"/>
        <rFont val="Calibri"/>
        <family val="2"/>
      </rPr>
      <t xml:space="preserve">Cullen, C. (2018). </t>
    </r>
    <r>
      <rPr>
        <i/>
        <sz val="11"/>
        <color theme="1"/>
        <rFont val="Calibri"/>
        <family val="2"/>
      </rPr>
      <t xml:space="preserve">Global Internet Phenomena Report: Netflix is approximately 15 per cent of worldwide downstream traffic. </t>
    </r>
    <r>
      <rPr>
        <sz val="11"/>
        <color theme="1"/>
        <rFont val="Calibri"/>
        <family val="2"/>
      </rPr>
      <t xml:space="preserve">Sept. 28 2018. </t>
    </r>
    <r>
      <rPr>
        <i/>
        <sz val="11"/>
        <color theme="1"/>
        <rFont val="Calibri"/>
        <family val="2"/>
      </rPr>
      <t>https://www.sandvine.com/blog/global-internet-phenomena-report-netflix-is-15-of-worldwide-downstream-traffic</t>
    </r>
  </si>
  <si>
    <t>[2] Sandvine Report (2018)</t>
  </si>
  <si>
    <t>Share for 2018 global traffic (for main VoD providers : Netflix, Amazon Prime and Hulu).</t>
  </si>
  <si>
    <t>Average visit duration
(in h/visit)</t>
  </si>
  <si>
    <t>Definitions and hypothesis : Video Categories</t>
  </si>
  <si>
    <t>Video Category</t>
  </si>
  <si>
    <t>VoD</t>
  </si>
  <si>
    <t>Definition</t>
  </si>
  <si>
    <t>Examples</t>
  </si>
  <si>
    <t>Long-form videos</t>
  </si>
  <si>
    <t>Short-form videos</t>
  </si>
  <si>
    <t>Adult videos</t>
  </si>
  <si>
    <t>Tube videos</t>
  </si>
  <si>
    <t>Category from [1] Cisco VNI (2018)</t>
  </si>
  <si>
    <t>Videos with pornographic content</t>
  </si>
  <si>
    <t>Videos from "tube"-type websites, with no pornographic content</t>
  </si>
  <si>
    <t>Contains long-form and short-form videos</t>
  </si>
  <si>
    <t>Contains long-form videos</t>
  </si>
  <si>
    <t>Videos with professionnally produced contents, from VoD  services providers</t>
  </si>
  <si>
    <t>Netflix, Amazon Prime</t>
  </si>
  <si>
    <t>Videos from adult websites</t>
  </si>
  <si>
    <t>YouTube, Daily Motion</t>
  </si>
  <si>
    <t>YouTube short videos, TikTok videos</t>
  </si>
  <si>
    <t>Movies, series</t>
  </si>
  <si>
    <r>
      <t>Sandvine (2018).</t>
    </r>
    <r>
      <rPr>
        <i/>
        <sz val="11"/>
        <color theme="1"/>
        <rFont val="Calibri"/>
        <family val="2"/>
      </rPr>
      <t xml:space="preserve"> The Global Internet Phenomena Report</t>
    </r>
    <r>
      <rPr>
        <sz val="11"/>
        <color theme="1"/>
        <rFont val="Calibri"/>
        <family val="2"/>
      </rPr>
      <t xml:space="preserve">. October 2018. </t>
    </r>
    <r>
      <rPr>
        <i/>
        <sz val="11"/>
        <color theme="1"/>
        <rFont val="Calibri"/>
        <family val="2"/>
      </rPr>
      <t>https://www.sandvine.com/hubfs/downloads/phenomena/2018-phenomena-report.pdf.</t>
    </r>
  </si>
  <si>
    <t>GHG emissions</t>
  </si>
  <si>
    <t>Share of Internet Video Traffic</t>
  </si>
  <si>
    <t>World Internet 
Video Traffic</t>
  </si>
  <si>
    <t>Total monthly 
data traffic
(in B)</t>
  </si>
  <si>
    <t>Contains the category "YouTube" from [2] Sandvine Report : SimilarWeb data indicates YouTube represents ~ 95% of tube websites traffic.</t>
  </si>
  <si>
    <t>Total internet video traffic.</t>
  </si>
  <si>
    <t>Contains the following categories from [2] Sandvine Report : "Netflix", "Amazon Prime", "Openload", "Hulu".</t>
  </si>
  <si>
    <t>From SimilarWeb data ; contained in the following categories from [2] Sandvine Report : "HTTP Media Stream", "Raw MPEG-TS"</t>
  </si>
  <si>
    <t>[8]</t>
  </si>
  <si>
    <t>SimilarWeb data</t>
  </si>
  <si>
    <t>[2] Sandvine Report ; [8] SimilarWeb data</t>
  </si>
  <si>
    <t>Total monthly watched video time
(in min)</t>
  </si>
  <si>
    <t>World Internet Video Traffic</t>
  </si>
  <si>
    <t>Yearly Electricity consumption and GHG</t>
  </si>
  <si>
    <t>Calulations</t>
  </si>
  <si>
    <r>
      <t>Carbon intensity factor
(in 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e/kWh)</t>
    </r>
  </si>
  <si>
    <t>[9]</t>
  </si>
  <si>
    <t>https://www.similarweb.com/</t>
  </si>
  <si>
    <t>[9] REN ; average value for World electricity mix</t>
  </si>
  <si>
    <t>Calculated with the [10] 1byte model</t>
  </si>
  <si>
    <t>[10]</t>
  </si>
  <si>
    <t>[8] SimilarWeb data</t>
  </si>
  <si>
    <t>[1] Cisco VNI (2018) ; [2] Sandvine Report (2018) ; 
[8] SimilarWeb data</t>
  </si>
  <si>
    <t>[11]</t>
  </si>
  <si>
    <r>
      <t xml:space="preserve">Google Help Center (2019). </t>
    </r>
    <r>
      <rPr>
        <i/>
        <sz val="11"/>
        <color theme="1"/>
        <rFont val="Calibri"/>
        <family val="2"/>
      </rPr>
      <t>Recommended upload encoding settings</t>
    </r>
    <r>
      <rPr>
        <sz val="11"/>
        <color theme="1"/>
        <rFont val="Calibri"/>
        <family val="2"/>
      </rPr>
      <t xml:space="preserve">. YouTube Help. </t>
    </r>
    <r>
      <rPr>
        <i/>
        <sz val="11"/>
        <color theme="1"/>
        <rFont val="Calibri"/>
        <family val="2"/>
      </rPr>
      <t>https://support.google.com/youtube/answer/1722171?hl=en. Consulted: 13 May 2019.</t>
    </r>
  </si>
  <si>
    <t>Share for 2018 global traffic (for YouTube).</t>
  </si>
  <si>
    <t>Average visit duration
(in minutes/visit)</t>
  </si>
  <si>
    <t>Average for 2018.
Consistent.</t>
  </si>
  <si>
    <t>[12]</t>
  </si>
  <si>
    <t>REN (2018)</t>
  </si>
  <si>
    <t>1byte Model (2018)</t>
  </si>
  <si>
    <t>YouTube Support (2018)</t>
  </si>
  <si>
    <t>Netflix Website (2018)</t>
  </si>
  <si>
    <t>https://www.netflix.com/</t>
  </si>
  <si>
    <t>[4][5][6][7][11][12]</t>
  </si>
  <si>
    <t>Calculations.
Hypothesis : average bitrate is 3 Mbps.</t>
  </si>
  <si>
    <t>Total monthly data traffic [VoD videos]
(in B)</t>
  </si>
  <si>
    <t>Total monthly data traffic [Tube videos]
(in B)</t>
  </si>
  <si>
    <t>Global data : all internet videos</t>
  </si>
  <si>
    <t>Monthly average, for the year 2018</t>
  </si>
  <si>
    <t>Total monthly IP Traffic
(in B)</t>
  </si>
  <si>
    <t>Total monthly 
electricity consumption
(in Wh)</t>
  </si>
  <si>
    <t>Share of internet video
(in %)</t>
  </si>
  <si>
    <t>For internet video only (not included : Managed IP video)</t>
  </si>
  <si>
    <t>Calculation</t>
  </si>
  <si>
    <t>Internet Video Traffic by use and associated GHG</t>
  </si>
  <si>
    <r>
      <rPr>
        <sz val="11"/>
        <color theme="1"/>
        <rFont val="Calibri"/>
        <family val="2"/>
      </rPr>
      <t xml:space="preserve">The Shift Project (2018). </t>
    </r>
    <r>
      <rPr>
        <i/>
        <sz val="11"/>
        <color theme="1"/>
        <rFont val="Calibri"/>
        <family val="2"/>
      </rPr>
      <t xml:space="preserve">[Lean ICT Materials] REN. </t>
    </r>
    <r>
      <rPr>
        <sz val="11"/>
        <color theme="1"/>
        <rFont val="Calibri"/>
        <family val="2"/>
      </rPr>
      <t>"Lean ICT" working group. https://theshiftproject.org/lean-ict-materials/?preview=true</t>
    </r>
  </si>
  <si>
    <r>
      <rPr>
        <sz val="11"/>
        <color theme="1"/>
        <rFont val="Calibri"/>
        <family val="2"/>
      </rPr>
      <t>The Shift Project (2019).</t>
    </r>
    <r>
      <rPr>
        <i/>
        <sz val="11"/>
        <color theme="1"/>
        <rFont val="Calibri"/>
        <family val="2"/>
      </rPr>
      <t xml:space="preserve"> [Video+ Materials] 1byte Model applied to video traffic.</t>
    </r>
    <r>
      <rPr>
        <sz val="11"/>
        <color theme="1"/>
        <rFont val="Calibri"/>
        <family val="2"/>
      </rPr>
      <t xml:space="preserve"> Running of the "1byte" model from "Lean ICT" working group. link</t>
    </r>
  </si>
  <si>
    <t>Total yearly 
electricity consumption
(in TWh)</t>
  </si>
  <si>
    <r>
      <t>Total monthly GHG emissions
(in kgCO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</si>
  <si>
    <r>
      <t>Total yearly GHG emissions
(in MtCO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</si>
  <si>
    <t>Mean bitrate
(B/s)</t>
  </si>
  <si>
    <t>Calculations| result not implied for the final figures</t>
  </si>
  <si>
    <t>Calculations : total yearly traffic for adult video websites - With sensitivity analysis</t>
  </si>
  <si>
    <r>
      <t xml:space="preserve">Bitrate </t>
    </r>
    <r>
      <rPr>
        <sz val="11"/>
        <color theme="1"/>
        <rFont val="Calibri"/>
        <family val="2"/>
        <scheme val="minor"/>
      </rPr>
      <t>(in B/s)</t>
    </r>
  </si>
  <si>
    <r>
      <t xml:space="preserve">Average visit duration
</t>
    </r>
    <r>
      <rPr>
        <sz val="11"/>
        <color theme="1"/>
        <rFont val="Calibri"/>
        <family val="2"/>
        <scheme val="minor"/>
      </rPr>
      <t>(in s/visit)</t>
    </r>
  </si>
  <si>
    <t>Variables &amp; values</t>
  </si>
  <si>
    <t>Same as the mean value for "Tube websites"</t>
  </si>
  <si>
    <t>SimilarWeb value 
for "Adult websites"</t>
  </si>
  <si>
    <t>Same as the mean value 
for "Tube websites"</t>
  </si>
  <si>
    <t>Directly integrated in the mean value of "Data transferred by visit" (in B/visit) calculated from global data from Pornhub</t>
  </si>
  <si>
    <t>Average for best ranked Adult websites</t>
  </si>
  <si>
    <t>Average visit duration
(in s/visit)</t>
  </si>
  <si>
    <t>Calculated from global values from Pornhub</t>
  </si>
  <si>
    <t>Mean value for 2018</t>
  </si>
  <si>
    <t>Same as mean value for "Tube websites", corrected with the difference factor between Sandvine and SimilarWeb data.</t>
  </si>
  <si>
    <t>"Tube websites" value, corrected with difference factor</t>
  </si>
  <si>
    <t>Value for higher definition for "Adult" than "Tubes"</t>
  </si>
  <si>
    <t>[13]</t>
  </si>
  <si>
    <t>YouTube Support (2023)</t>
  </si>
  <si>
    <r>
      <t xml:space="preserve">Google Help Center (2023). </t>
    </r>
    <r>
      <rPr>
        <i/>
        <sz val="11"/>
        <color theme="1"/>
        <rFont val="Calibri"/>
        <family val="2"/>
      </rPr>
      <t>Choose live encoder settings, bitrates, and resolutions</t>
    </r>
    <r>
      <rPr>
        <sz val="11"/>
        <color theme="1"/>
        <rFont val="Calibri"/>
        <family val="2"/>
      </rPr>
      <t xml:space="preserve">. YouTube Help. </t>
    </r>
    <r>
      <rPr>
        <i/>
        <sz val="11"/>
        <color theme="1"/>
        <rFont val="Calibri"/>
        <family val="2"/>
      </rPr>
      <t>https://support.google.com/youtube/answer/2853702. Consulted: 13 June 2023.</t>
    </r>
  </si>
  <si>
    <t>Calculations| not implied for the final figures</t>
  </si>
  <si>
    <t>Mean value obtained with global Pornhub values</t>
  </si>
  <si>
    <t>Highest value instead of lowest value for 1080p</t>
  </si>
  <si>
    <t>Corresponding value</t>
  </si>
  <si>
    <t>Sensitivity overview for "Share of adult websites in internet video traffic (in %)"</t>
  </si>
  <si>
    <t>Case study 1</t>
  </si>
  <si>
    <t>Case study 2</t>
  </si>
  <si>
    <t>Case study 3</t>
  </si>
  <si>
    <t>Case study 4</t>
  </si>
  <si>
    <t>Case study 5</t>
  </si>
  <si>
    <t>Case study 1 : "Adult" and "Tube" videos are globally watched with the same quality</t>
  </si>
  <si>
    <t>Case study 2 : a visit on an "Adult" and "Tube" websites represents the same type of data transfer</t>
  </si>
  <si>
    <t>Case study 3 : "Adult" and "Tube" videos are globally watched with the same quality (visit duration corrected)</t>
  </si>
  <si>
    <t>Case study 4 : a visit on an "Adult" websites is represented by mean values calculated from global data from Pornhub</t>
  </si>
  <si>
    <t>Case study 5 : "Adult" videos are globally watched mainly in HD quality</t>
  </si>
  <si>
    <t>Selected lower bound : average visit duration and bitrate seem consistent.</t>
  </si>
  <si>
    <t>Selected higher bound : consistent with the Case study 5 and the hypothesis a "Tube" and "Adult" visit represent same profile of data transfer.</t>
  </si>
  <si>
    <t>Absolute lower bound,  avreage bitrate seems underestimated, compared to "Tubes" (~ 40 % lower)</t>
  </si>
  <si>
    <t>Case study 6 : "Adult" videos are globally watched mainly in HD quality (visit duration corrected)</t>
  </si>
  <si>
    <t>Case study 6</t>
  </si>
  <si>
    <t>Selected higher bound : consistent with Case study 2 and with the highest bitrate hypothesis.</t>
  </si>
  <si>
    <t>Case study 7</t>
  </si>
  <si>
    <t>Value corresponding to previous evaluation of 27 % share for Adult videos in traffic.</t>
  </si>
  <si>
    <t>Case study representing the average visit duration consistent with the old estimation of Adult videos video traffic share (27 %) : 24 min. Calculations being made with the highest bitrate hypothesis, this confirm the overevaluation, but not so far to the absolute higher bound of the updated calculations.</t>
  </si>
  <si>
    <t>Absolute higher bound : evaluation with highest bitrate hypothesis and corrected visit duration</t>
  </si>
  <si>
    <t>Case study 7 : Representing the previous "Adult videos" trafic share (27 %), in order to evaluate the corresonpding average visit duration</t>
  </si>
  <si>
    <t>Contains "Adult videos" and the other types of uses : uses not specified in [2] Sandvine Report, social networks (including the Sandvine categories "Twitch", "Facebook Video") and the Sandvine category "Sky Go".</t>
  </si>
  <si>
    <t>4 to 12 %</t>
  </si>
  <si>
    <t>Others
(including Adult and Social 
Networks Videos)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</si>
</sst>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 tint="0.79998168889431442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5" tint="-0.499984740745262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5" tint="-0.499984740745262"/>
      <name val="Calibri"/>
      <family val="2"/>
    </font>
    <font>
      <i/>
      <sz val="9"/>
      <color theme="5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7D878C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 diagonalUp="1">
      <left/>
      <right/>
      <top/>
      <bottom/>
      <diagonal style="dotted">
        <color auto="1"/>
      </diagonal>
    </border>
    <border diagonalUp="1">
      <left/>
      <right/>
      <top/>
      <bottom style="double">
        <color auto="1"/>
      </bottom>
      <diagonal style="dotted">
        <color auto="1"/>
      </diagonal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1" fontId="1" fillId="2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11" fontId="1" fillId="5" borderId="0" xfId="0" applyNumberFormat="1" applyFont="1" applyFill="1" applyBorder="1" applyAlignment="1">
      <alignment horizontal="center" vertical="center" wrapText="1"/>
    </xf>
    <xf numFmtId="11" fontId="3" fillId="2" borderId="0" xfId="0" applyNumberFormat="1" applyFont="1" applyFill="1" applyBorder="1" applyAlignment="1">
      <alignment horizontal="left" vertical="center" wrapText="1"/>
    </xf>
    <xf numFmtId="0" fontId="1" fillId="5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 wrapText="1"/>
    </xf>
    <xf numFmtId="9" fontId="0" fillId="0" borderId="0" xfId="1" applyFont="1"/>
    <xf numFmtId="0" fontId="3" fillId="2" borderId="0" xfId="0" applyFont="1" applyFill="1" applyBorder="1" applyAlignment="1">
      <alignment horizontal="left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1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right"/>
    </xf>
    <xf numFmtId="9" fontId="1" fillId="2" borderId="1" xfId="1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9" fontId="1" fillId="2" borderId="0" xfId="1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9" fontId="1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11" fontId="0" fillId="0" borderId="0" xfId="1" applyNumberFormat="1" applyFont="1"/>
    <xf numFmtId="0" fontId="3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6" borderId="0" xfId="0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2" fillId="8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9" fontId="16" fillId="7" borderId="0" xfId="1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 wrapText="1"/>
    </xf>
    <xf numFmtId="1" fontId="14" fillId="4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9" fontId="15" fillId="8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/>
    </xf>
    <xf numFmtId="9" fontId="16" fillId="10" borderId="0" xfId="1" applyFont="1" applyFill="1" applyBorder="1" applyAlignment="1">
      <alignment horizontal="center" vertical="center" wrapText="1"/>
    </xf>
    <xf numFmtId="9" fontId="15" fillId="11" borderId="0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9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FF"/>
      <color rgb="FF7D878C"/>
      <color rgb="FF3D5C1E"/>
      <color rgb="FF83A0FD"/>
      <color rgb="FFF3FAFF"/>
      <color rgb="FFE5F4FF"/>
      <color rgb="FF71C2FF"/>
      <color rgb="FFF1F2F3"/>
      <color rgb="FFDCDFE0"/>
      <color rgb="FFCD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Distribution of online video Traffic </a:t>
            </a:r>
          </a:p>
          <a:p>
            <a:pPr>
              <a:defRPr/>
            </a:pPr>
            <a:r>
              <a:rPr lang="fr-FR" baseline="0"/>
              <a:t>per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14-4D75-A60F-AD71A1F11C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14-4D75-A60F-AD71A1F11C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14-4D75-A60F-AD71A1F11C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D14-4D75-A60F-AD71A1F11C09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fld id="{C4BB5EFE-B749-4213-B03E-346BFFFC1011}" type="PERCENTAGE">
                      <a:rPr lang="en-US">
                        <a:solidFill>
                          <a:schemeClr val="bg1">
                            <a:lumMod val="20000"/>
                            <a:lumOff val="80000"/>
                          </a:schemeClr>
                        </a:solidFill>
                      </a:rPr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D14-4D75-A60F-AD71A1F11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'CO2'!$D$5:$G$5</c:f>
              <c:strCache>
                <c:ptCount val="4"/>
                <c:pt idx="0">
                  <c:v>Adult videos</c:v>
                </c:pt>
                <c:pt idx="1">
                  <c:v>VoD</c:v>
                </c:pt>
                <c:pt idx="2">
                  <c:v>Tube videos</c:v>
                </c:pt>
                <c:pt idx="3">
                  <c:v>Others
(including Adult and Social 
Networks Videos)</c:v>
                </c:pt>
              </c:strCache>
            </c:strRef>
          </c:cat>
          <c:val>
            <c:numRef>
              <c:f>'CO2'!$D$6:$G$6</c:f>
              <c:numCache>
                <c:formatCode>0.00%</c:formatCode>
                <c:ptCount val="4"/>
                <c:pt idx="0">
                  <c:v>0</c:v>
                </c:pt>
                <c:pt idx="1">
                  <c:v>0.33539999999999998</c:v>
                </c:pt>
                <c:pt idx="2">
                  <c:v>0.21299999999999999</c:v>
                </c:pt>
                <c:pt idx="3">
                  <c:v>0.45160000000000006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14-4D75-A60F-AD71A1F11C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r"/>
      <c:legendEntry>
        <c:idx val="0"/>
        <c:delete val="1"/>
      </c:legendEntry>
      <c:layout>
        <c:manualLayout>
          <c:xMode val="edge"/>
          <c:yMode val="edge"/>
          <c:x val="0.74018941382327219"/>
          <c:y val="0.18969925634295715"/>
          <c:w val="0.2236994750656168"/>
          <c:h val="0.715284339457567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baseline="0"/>
              <a:t>Electricity  consumption associated to Internet video uses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6D-4855-8B12-5E829B0B9FE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6D-4855-8B12-5E829B0B9FE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6D-4855-8B12-5E829B0B9F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6D-4855-8B12-5E829B0B9FE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'CO2'!$C$16:$G$16</c15:sqref>
                  </c15:fullRef>
                </c:ext>
              </c:extLst>
              <c:f>('CO2'!$C$16,'CO2'!$E$16:$G$16)</c:f>
              <c:strCache>
                <c:ptCount val="4"/>
                <c:pt idx="0">
                  <c:v>World Internet Video Traffic</c:v>
                </c:pt>
                <c:pt idx="1">
                  <c:v>VoD</c:v>
                </c:pt>
                <c:pt idx="2">
                  <c:v>Tube videos</c:v>
                </c:pt>
                <c:pt idx="3">
                  <c:v>Others
(including Adult and Social 
Networks Videos)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'CO2'!$C$17:$G$17</c15:sqref>
                  </c15:fullRef>
                </c:ext>
              </c:extLst>
              <c:f>('CO2'!$C$17,'CO2'!$E$17:$G$17)</c:f>
              <c:numCache>
                <c:formatCode>0</c:formatCode>
                <c:ptCount val="4"/>
                <c:pt idx="0">
                  <c:v>597.35847162217556</c:v>
                </c:pt>
                <c:pt idx="1">
                  <c:v>200.35403138207764</c:v>
                </c:pt>
                <c:pt idx="2">
                  <c:v>127.23735445552319</c:v>
                </c:pt>
                <c:pt idx="3">
                  <c:v>269.76708578457482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'CO2'!$D$17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576D-4855-8B12-5E829B0B9F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28263456"/>
        <c:axId val="-1028261280"/>
      </c:barChart>
      <c:catAx>
        <c:axId val="-10282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61280"/>
        <c:crosses val="autoZero"/>
        <c:auto val="1"/>
        <c:lblAlgn val="ctr"/>
        <c:lblOffset val="100"/>
        <c:noMultiLvlLbl val="0"/>
      </c:catAx>
      <c:valAx>
        <c:axId val="-10282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6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kern="1200" spc="0" baseline="0">
                <a:solidFill>
                  <a:srgbClr val="595959"/>
                </a:solidFill>
                <a:effectLst/>
              </a:rPr>
              <a:t>GHG emissions associated to Internet video uses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09-41B1-BCBC-0A8DFB42DA5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09-41B1-BCBC-0A8DFB42DA5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09-41B1-BCBC-0A8DFB42DA5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09-41B1-BCBC-0A8DFB42DA5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'CO2'!$C$16:$G$16</c15:sqref>
                  </c15:fullRef>
                </c:ext>
              </c:extLst>
              <c:f>('CO2'!$C$16,'CO2'!$E$16:$G$16)</c:f>
              <c:strCache>
                <c:ptCount val="4"/>
                <c:pt idx="0">
                  <c:v>World Internet Video Traffic</c:v>
                </c:pt>
                <c:pt idx="1">
                  <c:v>VoD</c:v>
                </c:pt>
                <c:pt idx="2">
                  <c:v>Tube videos</c:v>
                </c:pt>
                <c:pt idx="3">
                  <c:v>Others
(including Adult and Social 
Networks Videos)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'CO2'!$C$18:$G$18</c15:sqref>
                  </c15:fullRef>
                </c:ext>
              </c:extLst>
              <c:f>('CO2'!$C$18,'CO2'!$E$18:$G$18)</c:f>
              <c:numCache>
                <c:formatCode>0</c:formatCode>
                <c:ptCount val="4"/>
                <c:pt idx="0">
                  <c:v>310.02904677190918</c:v>
                </c:pt>
                <c:pt idx="1">
                  <c:v>103.98374228729828</c:v>
                </c:pt>
                <c:pt idx="2">
                  <c:v>66.036186962416551</c:v>
                </c:pt>
                <c:pt idx="3">
                  <c:v>140.00911752219434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09-41B1-BCBC-0A8DFB42DA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28255840"/>
        <c:axId val="-1028256928"/>
      </c:barChart>
      <c:catAx>
        <c:axId val="-102825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56928"/>
        <c:crosses val="autoZero"/>
        <c:auto val="1"/>
        <c:lblAlgn val="ctr"/>
        <c:lblOffset val="100"/>
        <c:noMultiLvlLbl val="0"/>
      </c:catAx>
      <c:valAx>
        <c:axId val="-10282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MtCO</a:t>
                </a:r>
                <a:r>
                  <a:rPr lang="fr-FR" baseline="-25000"/>
                  <a:t>2</a:t>
                </a:r>
                <a:r>
                  <a:rPr lang="fr-FR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02825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123471</xdr:colOff>
      <xdr:row>21</xdr:row>
      <xdr:rowOff>155927</xdr:rowOff>
    </xdr:from>
    <xdr:to>
      <xdr:col>3</xdr:col>
      <xdr:colOff>1442860</xdr:colOff>
      <xdr:row>35</xdr:row>
      <xdr:rowOff>147461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1619250</xdr:colOff>
      <xdr:row>22</xdr:row>
      <xdr:rowOff>21873</xdr:rowOff>
    </xdr:from>
    <xdr:to>
      <xdr:col>6</xdr:col>
      <xdr:colOff>1583972</xdr:colOff>
      <xdr:row>38</xdr:row>
      <xdr:rowOff>35276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215194</xdr:colOff>
      <xdr:row>36</xdr:row>
      <xdr:rowOff>113596</xdr:rowOff>
    </xdr:from>
    <xdr:to>
      <xdr:col>3</xdr:col>
      <xdr:colOff>1534583</xdr:colOff>
      <xdr:row>53</xdr:row>
      <xdr:rowOff>141111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TSP">
      <a:dk1>
        <a:srgbClr val="000000"/>
      </a:dk1>
      <a:lt1>
        <a:srgbClr val="FFC828"/>
      </a:lt1>
      <a:dk2>
        <a:srgbClr val="00508C"/>
      </a:dk2>
      <a:lt2>
        <a:srgbClr val="7D878C"/>
      </a:lt2>
      <a:accent1>
        <a:srgbClr val="F06E05"/>
      </a:accent1>
      <a:accent2>
        <a:srgbClr val="649632"/>
      </a:accent2>
      <a:accent3>
        <a:srgbClr val="692864"/>
      </a:accent3>
      <a:accent4>
        <a:srgbClr val="000000"/>
      </a:accent4>
      <a:accent5>
        <a:srgbClr val="000000"/>
      </a:accent5>
      <a:accent6>
        <a:srgbClr val="000000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topLeftCell="A7" zoomScale="90" zoomScaleNormal="90" workbookViewId="0">
      <selection activeCell="C8" sqref="C8"/>
    </sheetView>
  </sheetViews>
  <sheetFormatPr baseColWidth="10" defaultColWidth="8.7265625" defaultRowHeight="14.5" x14ac:dyDescent="0.35"/>
  <cols>
    <col min="2" max="3" width="30.6328125" customWidth="1"/>
    <col min="4" max="4" width="33.453125" customWidth="1"/>
    <col min="5" max="5" width="36.1796875" bestFit="1" customWidth="1"/>
    <col min="6" max="6" width="10.7265625" customWidth="1"/>
  </cols>
  <sheetData>
    <row r="2" spans="2:6" x14ac:dyDescent="0.35">
      <c r="B2" s="2"/>
      <c r="C2" s="2"/>
      <c r="D2" s="2"/>
      <c r="E2" s="2"/>
      <c r="F2" s="1"/>
    </row>
    <row r="3" spans="2:6" ht="15" customHeight="1" x14ac:dyDescent="0.35">
      <c r="B3" s="94" t="s">
        <v>178</v>
      </c>
      <c r="C3" s="94"/>
      <c r="D3" s="94"/>
      <c r="E3" s="94"/>
      <c r="F3" s="1"/>
    </row>
    <row r="4" spans="2:6" ht="49" customHeight="1" x14ac:dyDescent="0.35">
      <c r="B4" s="30" t="s">
        <v>179</v>
      </c>
      <c r="C4" s="30" t="s">
        <v>181</v>
      </c>
      <c r="D4" s="30" t="s">
        <v>182</v>
      </c>
      <c r="E4" s="30" t="s">
        <v>4</v>
      </c>
    </row>
    <row r="5" spans="2:6" ht="14.5" customHeight="1" x14ac:dyDescent="0.35">
      <c r="B5" s="31" t="s">
        <v>183</v>
      </c>
      <c r="C5" s="31" t="s">
        <v>0</v>
      </c>
      <c r="D5" s="32" t="s">
        <v>197</v>
      </c>
      <c r="E5" s="32" t="s">
        <v>187</v>
      </c>
    </row>
    <row r="6" spans="2:6" ht="14.5" customHeight="1" x14ac:dyDescent="0.35">
      <c r="B6" s="31" t="s">
        <v>184</v>
      </c>
      <c r="C6" s="31" t="s">
        <v>0</v>
      </c>
      <c r="D6" s="32" t="s">
        <v>196</v>
      </c>
      <c r="E6" s="32" t="s">
        <v>187</v>
      </c>
      <c r="F6" s="5"/>
    </row>
    <row r="7" spans="2:6" ht="14.5" customHeight="1" x14ac:dyDescent="0.35">
      <c r="B7" s="31" t="s">
        <v>185</v>
      </c>
      <c r="C7" s="31" t="s">
        <v>188</v>
      </c>
      <c r="D7" s="32" t="s">
        <v>194</v>
      </c>
      <c r="E7" s="32" t="s">
        <v>190</v>
      </c>
    </row>
    <row r="8" spans="2:6" ht="43.5" x14ac:dyDescent="0.35">
      <c r="B8" s="31" t="s">
        <v>180</v>
      </c>
      <c r="C8" s="31" t="s">
        <v>192</v>
      </c>
      <c r="D8" s="32" t="s">
        <v>193</v>
      </c>
      <c r="E8" s="32" t="s">
        <v>191</v>
      </c>
    </row>
    <row r="9" spans="2:6" ht="29" x14ac:dyDescent="0.35">
      <c r="B9" s="31" t="s">
        <v>186</v>
      </c>
      <c r="C9" s="31" t="s">
        <v>189</v>
      </c>
      <c r="D9" s="32" t="s">
        <v>195</v>
      </c>
      <c r="E9" s="32" t="s">
        <v>190</v>
      </c>
    </row>
    <row r="10" spans="2:6" x14ac:dyDescent="0.35">
      <c r="B10" s="3"/>
    </row>
    <row r="12" spans="2:6" x14ac:dyDescent="0.35">
      <c r="B12" s="94" t="s">
        <v>237</v>
      </c>
      <c r="C12" s="94"/>
      <c r="D12" s="94"/>
    </row>
    <row r="13" spans="2:6" ht="58" x14ac:dyDescent="0.35">
      <c r="B13" s="44" t="s">
        <v>239</v>
      </c>
      <c r="C13" s="44" t="s">
        <v>241</v>
      </c>
      <c r="D13" s="44" t="s">
        <v>99</v>
      </c>
    </row>
    <row r="14" spans="2:6" x14ac:dyDescent="0.35">
      <c r="B14" s="10">
        <v>1.56E+20</v>
      </c>
      <c r="C14" s="49">
        <v>0.56000000000000005</v>
      </c>
      <c r="D14" s="50">
        <f>C14*B14</f>
        <v>8.7360000000000016E+19</v>
      </c>
    </row>
    <row r="15" spans="2:6" x14ac:dyDescent="0.35">
      <c r="B15" s="48" t="s">
        <v>160</v>
      </c>
      <c r="C15" s="46" t="s">
        <v>175</v>
      </c>
      <c r="D15" s="51" t="s">
        <v>0</v>
      </c>
      <c r="F15" s="26"/>
    </row>
    <row r="16" spans="2:6" ht="29" x14ac:dyDescent="0.35">
      <c r="B16" s="47" t="s">
        <v>238</v>
      </c>
      <c r="C16" s="45" t="s">
        <v>242</v>
      </c>
      <c r="D16" s="47" t="s">
        <v>243</v>
      </c>
    </row>
  </sheetData>
  <mergeCells count="2">
    <mergeCell ref="B3:E3"/>
    <mergeCell ref="B12:D12"/>
  </mergeCells>
  <conditionalFormatting sqref="B5:E9">
    <cfRule type="expression" dxfId="97" priority="3">
      <formula>MOD(ROW(),2)</formula>
    </cfRule>
  </conditionalFormatting>
  <conditionalFormatting sqref="B14:D16">
    <cfRule type="expression" dxfId="96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S120"/>
  <sheetViews>
    <sheetView topLeftCell="B73" zoomScale="90" zoomScaleNormal="90" workbookViewId="0">
      <selection activeCell="G79" sqref="G79"/>
    </sheetView>
  </sheetViews>
  <sheetFormatPr baseColWidth="10" defaultColWidth="8.7265625" defaultRowHeight="14.5" x14ac:dyDescent="0.35"/>
  <cols>
    <col min="2" max="2" width="11.6328125" customWidth="1"/>
    <col min="3" max="3" width="23.6328125" customWidth="1"/>
    <col min="4" max="4" width="19.7265625" customWidth="1"/>
    <col min="5" max="6" width="18.7265625" customWidth="1"/>
    <col min="7" max="7" width="22" customWidth="1"/>
    <col min="8" max="9" width="17.81640625" customWidth="1"/>
    <col min="10" max="10" width="19.36328125" customWidth="1"/>
    <col min="11" max="11" width="21.81640625" customWidth="1"/>
    <col min="12" max="12" width="19.26953125" customWidth="1"/>
    <col min="13" max="19" width="15.6328125" customWidth="1"/>
  </cols>
  <sheetData>
    <row r="2" spans="2:19" ht="20" customHeight="1" x14ac:dyDescent="0.35">
      <c r="B2" s="94" t="s">
        <v>150</v>
      </c>
      <c r="C2" s="94"/>
      <c r="E2" s="26"/>
    </row>
    <row r="3" spans="2:19" x14ac:dyDescent="0.35">
      <c r="B3" s="2"/>
      <c r="C3" s="2"/>
      <c r="D3" s="2"/>
      <c r="E3" s="2"/>
      <c r="F3" s="2"/>
      <c r="G3" s="2"/>
      <c r="H3" s="2"/>
      <c r="I3" s="2"/>
      <c r="J3" s="2"/>
      <c r="K3" s="1"/>
    </row>
    <row r="4" spans="2:19" ht="15" customHeight="1" x14ac:dyDescent="0.35">
      <c r="B4" s="94" t="s">
        <v>2</v>
      </c>
      <c r="C4" s="94"/>
      <c r="D4" s="94"/>
      <c r="E4" s="94"/>
      <c r="F4" s="94"/>
      <c r="G4" s="94"/>
      <c r="H4" s="94"/>
      <c r="I4" s="94"/>
      <c r="J4" s="94"/>
      <c r="K4" s="1"/>
      <c r="L4" s="94" t="s">
        <v>18</v>
      </c>
      <c r="M4" s="94"/>
      <c r="N4" s="94"/>
      <c r="O4" s="94"/>
      <c r="P4" s="94"/>
      <c r="Q4" s="94"/>
      <c r="R4" s="94"/>
      <c r="S4" s="94"/>
    </row>
    <row r="5" spans="2:19" ht="49" customHeight="1" x14ac:dyDescent="0.35">
      <c r="B5" s="6" t="s">
        <v>3</v>
      </c>
      <c r="C5" s="6" t="s">
        <v>1</v>
      </c>
      <c r="D5" s="6" t="s">
        <v>84</v>
      </c>
      <c r="E5" s="6" t="s">
        <v>126</v>
      </c>
      <c r="F5" s="6" t="s">
        <v>6</v>
      </c>
      <c r="G5" s="103" t="s">
        <v>102</v>
      </c>
      <c r="H5" s="103"/>
      <c r="I5" s="103"/>
      <c r="J5" s="103"/>
      <c r="L5" s="6" t="s">
        <v>11</v>
      </c>
      <c r="M5" s="6" t="s">
        <v>8</v>
      </c>
      <c r="N5" s="6" t="s">
        <v>7</v>
      </c>
      <c r="O5" s="6" t="s">
        <v>9</v>
      </c>
      <c r="P5" s="6" t="s">
        <v>10</v>
      </c>
      <c r="Q5" s="6" t="s">
        <v>25</v>
      </c>
      <c r="R5" s="6" t="s">
        <v>27</v>
      </c>
      <c r="S5" s="6" t="s">
        <v>26</v>
      </c>
    </row>
    <row r="6" spans="2:19" x14ac:dyDescent="0.35">
      <c r="B6" s="4">
        <v>8</v>
      </c>
      <c r="C6" s="4" t="s">
        <v>75</v>
      </c>
      <c r="D6" s="10">
        <f>AVERAGE(M6:M11)*1000000000</f>
        <v>3013000000</v>
      </c>
      <c r="E6" s="4">
        <f>10*60+16</f>
        <v>616</v>
      </c>
      <c r="F6" s="4">
        <v>8.49</v>
      </c>
      <c r="G6" s="104" t="s">
        <v>19</v>
      </c>
      <c r="H6" s="104"/>
      <c r="I6" s="104"/>
      <c r="J6" s="104"/>
      <c r="L6" s="9" t="s">
        <v>17</v>
      </c>
      <c r="M6" s="4">
        <v>2.8170000000000002</v>
      </c>
      <c r="N6" s="4">
        <v>2.8839999999999999</v>
      </c>
      <c r="O6" s="4">
        <v>3.4470000000000001</v>
      </c>
      <c r="P6" s="4">
        <v>1.335</v>
      </c>
      <c r="Q6" s="4">
        <v>0.41699999999999998</v>
      </c>
      <c r="R6" s="4">
        <v>0.51600000000000001</v>
      </c>
      <c r="S6" s="4">
        <v>0.36</v>
      </c>
    </row>
    <row r="7" spans="2:19" x14ac:dyDescent="0.35">
      <c r="B7" s="4">
        <v>9</v>
      </c>
      <c r="C7" s="4" t="s">
        <v>76</v>
      </c>
      <c r="D7" s="10">
        <f>AVERAGE(N6:N11)*1000000000</f>
        <v>2917333333.333333</v>
      </c>
      <c r="E7" s="4">
        <f>12*60+34</f>
        <v>754</v>
      </c>
      <c r="F7" s="4">
        <v>10.3</v>
      </c>
      <c r="G7" s="104" t="s">
        <v>20</v>
      </c>
      <c r="H7" s="104"/>
      <c r="I7" s="104"/>
      <c r="J7" s="104"/>
      <c r="K7" s="5"/>
      <c r="L7" s="9" t="s">
        <v>12</v>
      </c>
      <c r="M7" s="4">
        <v>2.9790000000000001</v>
      </c>
      <c r="N7" s="4">
        <v>2.9169999999999998</v>
      </c>
      <c r="O7" s="4">
        <v>3.4119999999999999</v>
      </c>
      <c r="P7" s="4">
        <v>1.256</v>
      </c>
      <c r="Q7" s="4">
        <v>0.439</v>
      </c>
      <c r="R7" s="4">
        <v>0.51100000000000001</v>
      </c>
      <c r="S7" s="4">
        <v>0.38</v>
      </c>
    </row>
    <row r="8" spans="2:19" x14ac:dyDescent="0.35">
      <c r="B8" s="4">
        <v>13</v>
      </c>
      <c r="C8" s="4" t="s">
        <v>77</v>
      </c>
      <c r="D8" s="10">
        <f>AVERAGE(O6:O11)*1000000000</f>
        <v>3156166666.666667</v>
      </c>
      <c r="E8" s="4">
        <f>14*60+40</f>
        <v>880</v>
      </c>
      <c r="F8" s="4">
        <v>10.37</v>
      </c>
      <c r="G8" s="104" t="s">
        <v>21</v>
      </c>
      <c r="H8" s="104"/>
      <c r="I8" s="104"/>
      <c r="J8" s="104"/>
      <c r="L8" s="9" t="s">
        <v>13</v>
      </c>
      <c r="M8" s="4">
        <v>2.9529999999999998</v>
      </c>
      <c r="N8" s="4">
        <v>2.847</v>
      </c>
      <c r="O8" s="4">
        <v>3.4089999999999998</v>
      </c>
      <c r="P8" s="4">
        <v>1.1919999999999999</v>
      </c>
      <c r="Q8" s="4">
        <v>0.44500000000000001</v>
      </c>
      <c r="R8" s="4">
        <v>0.49299999999999999</v>
      </c>
      <c r="S8" s="4">
        <v>0.39800000000000002</v>
      </c>
    </row>
    <row r="9" spans="2:19" x14ac:dyDescent="0.35">
      <c r="B9" s="4">
        <v>18</v>
      </c>
      <c r="C9" s="4" t="s">
        <v>78</v>
      </c>
      <c r="D9" s="10">
        <f>AVERAGE(P6:P11)*1000000000</f>
        <v>1240000000</v>
      </c>
      <c r="E9" s="4">
        <f>11*60+49</f>
        <v>709</v>
      </c>
      <c r="F9" s="4">
        <v>11.71</v>
      </c>
      <c r="G9" s="104" t="s">
        <v>22</v>
      </c>
      <c r="H9" s="104"/>
      <c r="I9" s="104"/>
      <c r="J9" s="104"/>
      <c r="L9" s="9" t="s">
        <v>14</v>
      </c>
      <c r="M9" s="4">
        <v>3.0579999999999998</v>
      </c>
      <c r="N9" s="4">
        <v>3.101</v>
      </c>
      <c r="O9" s="4">
        <v>3.2650000000000001</v>
      </c>
      <c r="P9" s="4">
        <v>1.228</v>
      </c>
      <c r="Q9" s="4">
        <v>0.42399999999999999</v>
      </c>
      <c r="R9" s="4">
        <v>0.48199999999999998</v>
      </c>
      <c r="S9" s="4">
        <v>0.434</v>
      </c>
    </row>
    <row r="10" spans="2:19" x14ac:dyDescent="0.35">
      <c r="B10" s="4">
        <v>60</v>
      </c>
      <c r="C10" s="4" t="s">
        <v>79</v>
      </c>
      <c r="D10" s="10">
        <f>AVERAGE(Q6:Q11)*1000000000</f>
        <v>425166666.66666663</v>
      </c>
      <c r="E10" s="4">
        <f>11*60+17</f>
        <v>677</v>
      </c>
      <c r="F10" s="4">
        <v>10.34</v>
      </c>
      <c r="G10" s="104" t="s">
        <v>92</v>
      </c>
      <c r="H10" s="104"/>
      <c r="I10" s="104"/>
      <c r="J10" s="104"/>
      <c r="L10" s="9" t="s">
        <v>15</v>
      </c>
      <c r="M10" s="4">
        <v>3.036</v>
      </c>
      <c r="N10" s="4">
        <v>2.794</v>
      </c>
      <c r="O10" s="4">
        <v>2.7130000000000001</v>
      </c>
      <c r="P10" s="4">
        <v>1.206</v>
      </c>
      <c r="Q10" s="4">
        <v>0.40699999999999997</v>
      </c>
      <c r="R10" s="4">
        <v>0.46100000000000002</v>
      </c>
      <c r="S10" s="4">
        <v>0.41899999999999998</v>
      </c>
    </row>
    <row r="11" spans="2:19" ht="15" customHeight="1" x14ac:dyDescent="0.35">
      <c r="B11" s="4">
        <v>68</v>
      </c>
      <c r="C11" s="4" t="s">
        <v>80</v>
      </c>
      <c r="D11" s="10">
        <f>AVERAGE(R6:R11)*1000000000</f>
        <v>486833333.33333331</v>
      </c>
      <c r="E11" s="4">
        <f>6*60+2</f>
        <v>362</v>
      </c>
      <c r="F11" s="4">
        <v>5.66</v>
      </c>
      <c r="G11" s="104" t="s">
        <v>93</v>
      </c>
      <c r="H11" s="104"/>
      <c r="I11" s="104"/>
      <c r="J11" s="104"/>
      <c r="L11" s="9" t="s">
        <v>16</v>
      </c>
      <c r="M11" s="4">
        <v>3.2349999999999999</v>
      </c>
      <c r="N11" s="4">
        <v>2.9609999999999999</v>
      </c>
      <c r="O11" s="4">
        <v>2.6909999999999998</v>
      </c>
      <c r="P11" s="4">
        <v>1.2230000000000001</v>
      </c>
      <c r="Q11" s="4">
        <v>0.41899999999999998</v>
      </c>
      <c r="R11" s="4">
        <v>0.45800000000000002</v>
      </c>
      <c r="S11" s="4">
        <v>0.42599999999999999</v>
      </c>
    </row>
    <row r="12" spans="2:19" ht="15" customHeight="1" x14ac:dyDescent="0.35">
      <c r="B12" s="4">
        <v>80</v>
      </c>
      <c r="C12" s="4" t="s">
        <v>81</v>
      </c>
      <c r="D12" s="10">
        <f>AVERAGE(S6:S11)*1000000000</f>
        <v>402833333.33333331</v>
      </c>
      <c r="E12" s="4">
        <f>7*60+15</f>
        <v>435</v>
      </c>
      <c r="F12" s="4">
        <v>5.52</v>
      </c>
      <c r="G12" s="104" t="s">
        <v>94</v>
      </c>
      <c r="H12" s="104"/>
      <c r="I12" s="104"/>
      <c r="J12" s="104"/>
    </row>
    <row r="13" spans="2:19" ht="58" x14ac:dyDescent="0.35">
      <c r="B13" s="4" t="s">
        <v>4</v>
      </c>
      <c r="C13" s="7" t="s">
        <v>24</v>
      </c>
      <c r="D13" s="8" t="s">
        <v>5</v>
      </c>
      <c r="E13" s="4" t="s">
        <v>0</v>
      </c>
      <c r="F13" s="4" t="s">
        <v>0</v>
      </c>
      <c r="G13" s="4"/>
      <c r="H13" s="57"/>
      <c r="I13" s="57"/>
      <c r="J13" s="4" t="s">
        <v>0</v>
      </c>
    </row>
    <row r="14" spans="2:19" x14ac:dyDescent="0.35">
      <c r="B14" s="3"/>
    </row>
    <row r="15" spans="2:19" ht="14.5" customHeight="1" x14ac:dyDescent="0.35">
      <c r="B15" s="94" t="s">
        <v>2</v>
      </c>
      <c r="C15" s="94"/>
      <c r="D15" s="94"/>
      <c r="E15" s="94"/>
    </row>
    <row r="16" spans="2:19" ht="29" x14ac:dyDescent="0.35">
      <c r="B16" s="6" t="s">
        <v>3</v>
      </c>
      <c r="C16" s="6" t="s">
        <v>1</v>
      </c>
      <c r="D16" s="6" t="s">
        <v>84</v>
      </c>
      <c r="E16" s="6" t="s">
        <v>65</v>
      </c>
      <c r="G16" s="26"/>
      <c r="H16" s="26"/>
      <c r="I16" s="26"/>
    </row>
    <row r="17" spans="2:5" x14ac:dyDescent="0.35">
      <c r="B17" s="4">
        <v>102</v>
      </c>
      <c r="C17" s="4" t="s">
        <v>29</v>
      </c>
      <c r="D17" s="10">
        <v>267060000</v>
      </c>
      <c r="E17" s="10" t="s">
        <v>63</v>
      </c>
    </row>
    <row r="18" spans="2:5" x14ac:dyDescent="0.35">
      <c r="B18" s="11"/>
      <c r="C18" s="11" t="s">
        <v>67</v>
      </c>
      <c r="D18" s="12"/>
      <c r="E18" s="12" t="s">
        <v>64</v>
      </c>
    </row>
    <row r="19" spans="2:5" x14ac:dyDescent="0.35">
      <c r="B19" s="11"/>
      <c r="C19" s="11" t="s">
        <v>68</v>
      </c>
      <c r="D19" s="12"/>
      <c r="E19" s="12" t="s">
        <v>64</v>
      </c>
    </row>
    <row r="20" spans="2:5" ht="14" customHeight="1" x14ac:dyDescent="0.35">
      <c r="B20" s="11"/>
      <c r="C20" s="11" t="s">
        <v>69</v>
      </c>
      <c r="D20" s="12"/>
      <c r="E20" s="12" t="s">
        <v>64</v>
      </c>
    </row>
    <row r="21" spans="2:5" x14ac:dyDescent="0.35">
      <c r="B21" s="4">
        <v>146</v>
      </c>
      <c r="C21" s="4" t="s">
        <v>30</v>
      </c>
      <c r="D21" s="10">
        <v>411000000</v>
      </c>
      <c r="E21" s="10" t="s">
        <v>63</v>
      </c>
    </row>
    <row r="22" spans="2:5" x14ac:dyDescent="0.35">
      <c r="B22" s="11"/>
      <c r="C22" s="11" t="s">
        <v>31</v>
      </c>
      <c r="D22" s="12"/>
      <c r="E22" s="12" t="s">
        <v>64</v>
      </c>
    </row>
    <row r="23" spans="2:5" x14ac:dyDescent="0.35">
      <c r="B23" s="4">
        <v>168</v>
      </c>
      <c r="C23" s="4" t="s">
        <v>32</v>
      </c>
      <c r="D23" s="10">
        <v>152000000</v>
      </c>
      <c r="E23" s="10" t="s">
        <v>63</v>
      </c>
    </row>
    <row r="24" spans="2:5" x14ac:dyDescent="0.35">
      <c r="B24" s="11"/>
      <c r="C24" s="11" t="s">
        <v>33</v>
      </c>
      <c r="D24" s="12"/>
      <c r="E24" s="12" t="s">
        <v>64</v>
      </c>
    </row>
    <row r="25" spans="2:5" x14ac:dyDescent="0.35">
      <c r="B25" s="11"/>
      <c r="C25" s="11" t="s">
        <v>34</v>
      </c>
      <c r="D25" s="12"/>
      <c r="E25" s="12" t="s">
        <v>64</v>
      </c>
    </row>
    <row r="26" spans="2:5" x14ac:dyDescent="0.35">
      <c r="B26" s="4">
        <v>228</v>
      </c>
      <c r="C26" s="4" t="s">
        <v>35</v>
      </c>
      <c r="D26" s="10">
        <v>160000000</v>
      </c>
      <c r="E26" s="10" t="s">
        <v>63</v>
      </c>
    </row>
    <row r="27" spans="2:5" x14ac:dyDescent="0.35">
      <c r="B27" s="4">
        <v>238</v>
      </c>
      <c r="C27" s="4" t="s">
        <v>36</v>
      </c>
      <c r="D27" s="10">
        <v>137000000</v>
      </c>
      <c r="E27" s="10" t="s">
        <v>63</v>
      </c>
    </row>
    <row r="28" spans="2:5" x14ac:dyDescent="0.35">
      <c r="B28" s="4">
        <v>240</v>
      </c>
      <c r="C28" s="4" t="s">
        <v>37</v>
      </c>
      <c r="D28" s="10">
        <v>140000000</v>
      </c>
      <c r="E28" s="10" t="s">
        <v>63</v>
      </c>
    </row>
    <row r="29" spans="2:5" x14ac:dyDescent="0.35">
      <c r="B29" s="4">
        <v>254</v>
      </c>
      <c r="C29" s="4" t="s">
        <v>38</v>
      </c>
      <c r="D29" s="10">
        <v>100000000</v>
      </c>
      <c r="E29" s="10" t="s">
        <v>63</v>
      </c>
    </row>
    <row r="30" spans="2:5" x14ac:dyDescent="0.35">
      <c r="B30" s="11"/>
      <c r="C30" s="11" t="s">
        <v>70</v>
      </c>
      <c r="D30" s="12"/>
      <c r="E30" s="12" t="s">
        <v>64</v>
      </c>
    </row>
    <row r="31" spans="2:5" x14ac:dyDescent="0.35">
      <c r="B31" s="4">
        <v>267</v>
      </c>
      <c r="C31" s="4" t="s">
        <v>39</v>
      </c>
      <c r="D31" s="10">
        <v>99000000</v>
      </c>
      <c r="E31" s="10" t="s">
        <v>63</v>
      </c>
    </row>
    <row r="32" spans="2:5" x14ac:dyDescent="0.35">
      <c r="B32" s="4">
        <v>276</v>
      </c>
      <c r="C32" s="4" t="s">
        <v>40</v>
      </c>
      <c r="D32" s="10">
        <v>142000000</v>
      </c>
      <c r="E32" s="10" t="s">
        <v>63</v>
      </c>
    </row>
    <row r="33" spans="2:5" x14ac:dyDescent="0.35">
      <c r="B33" s="4">
        <v>286</v>
      </c>
      <c r="C33" s="4" t="s">
        <v>41</v>
      </c>
      <c r="D33" s="10">
        <v>90000000</v>
      </c>
      <c r="E33" s="10" t="s">
        <v>63</v>
      </c>
    </row>
    <row r="34" spans="2:5" x14ac:dyDescent="0.35">
      <c r="B34" s="11"/>
      <c r="C34" s="11" t="s">
        <v>42</v>
      </c>
      <c r="D34" s="12"/>
      <c r="E34" s="12" t="s">
        <v>64</v>
      </c>
    </row>
    <row r="35" spans="2:5" x14ac:dyDescent="0.35">
      <c r="B35" s="4">
        <v>292</v>
      </c>
      <c r="C35" s="4" t="s">
        <v>43</v>
      </c>
      <c r="D35" s="10">
        <v>130000000</v>
      </c>
      <c r="E35" s="10" t="s">
        <v>63</v>
      </c>
    </row>
    <row r="36" spans="2:5" x14ac:dyDescent="0.35">
      <c r="B36" s="11"/>
      <c r="C36" s="11" t="s">
        <v>44</v>
      </c>
      <c r="D36" s="12"/>
      <c r="E36" s="12" t="s">
        <v>64</v>
      </c>
    </row>
    <row r="37" spans="2:5" x14ac:dyDescent="0.35">
      <c r="B37" s="4">
        <v>308</v>
      </c>
      <c r="C37" s="4" t="s">
        <v>45</v>
      </c>
      <c r="D37" s="10">
        <v>88000000</v>
      </c>
      <c r="E37" s="10" t="s">
        <v>63</v>
      </c>
    </row>
    <row r="38" spans="2:5" x14ac:dyDescent="0.35">
      <c r="B38" s="11"/>
      <c r="C38" s="11" t="s">
        <v>46</v>
      </c>
      <c r="D38" s="12"/>
      <c r="E38" s="12" t="s">
        <v>64</v>
      </c>
    </row>
    <row r="39" spans="2:5" x14ac:dyDescent="0.35">
      <c r="B39" s="11"/>
      <c r="C39" s="11" t="s">
        <v>71</v>
      </c>
      <c r="D39" s="12"/>
      <c r="E39" s="12" t="s">
        <v>64</v>
      </c>
    </row>
    <row r="40" spans="2:5" x14ac:dyDescent="0.35">
      <c r="B40" s="11"/>
      <c r="C40" s="11" t="s">
        <v>72</v>
      </c>
      <c r="D40" s="12"/>
      <c r="E40" s="12" t="s">
        <v>64</v>
      </c>
    </row>
    <row r="41" spans="2:5" x14ac:dyDescent="0.35">
      <c r="B41" s="4">
        <v>360</v>
      </c>
      <c r="C41" s="4" t="s">
        <v>47</v>
      </c>
      <c r="D41" s="10">
        <v>78000000</v>
      </c>
      <c r="E41" s="10" t="s">
        <v>63</v>
      </c>
    </row>
    <row r="42" spans="2:5" x14ac:dyDescent="0.35">
      <c r="B42" s="4">
        <v>364</v>
      </c>
      <c r="C42" s="4" t="s">
        <v>48</v>
      </c>
      <c r="D42" s="10">
        <v>82000000</v>
      </c>
      <c r="E42" s="10" t="s">
        <v>63</v>
      </c>
    </row>
    <row r="43" spans="2:5" x14ac:dyDescent="0.35">
      <c r="B43" s="11"/>
      <c r="C43" s="11" t="s">
        <v>73</v>
      </c>
      <c r="D43" s="12"/>
      <c r="E43" s="12" t="s">
        <v>64</v>
      </c>
    </row>
    <row r="44" spans="2:5" x14ac:dyDescent="0.35">
      <c r="B44" s="4">
        <v>372</v>
      </c>
      <c r="C44" s="4" t="s">
        <v>49</v>
      </c>
      <c r="D44" s="10">
        <v>115000000</v>
      </c>
      <c r="E44" s="10" t="s">
        <v>63</v>
      </c>
    </row>
    <row r="45" spans="2:5" x14ac:dyDescent="0.35">
      <c r="B45" s="4">
        <v>379</v>
      </c>
      <c r="C45" s="4" t="s">
        <v>50</v>
      </c>
      <c r="D45" s="10">
        <v>116000000</v>
      </c>
      <c r="E45" s="10" t="s">
        <v>63</v>
      </c>
    </row>
    <row r="46" spans="2:5" x14ac:dyDescent="0.35">
      <c r="B46" s="4">
        <v>384</v>
      </c>
      <c r="C46" s="4" t="s">
        <v>51</v>
      </c>
      <c r="D46" s="10">
        <v>8100000</v>
      </c>
      <c r="E46" s="10" t="s">
        <v>63</v>
      </c>
    </row>
    <row r="47" spans="2:5" x14ac:dyDescent="0.35">
      <c r="B47" s="4">
        <v>389</v>
      </c>
      <c r="C47" s="4" t="s">
        <v>52</v>
      </c>
      <c r="D47" s="10">
        <v>115000000</v>
      </c>
      <c r="E47" s="10" t="s">
        <v>63</v>
      </c>
    </row>
    <row r="48" spans="2:5" x14ac:dyDescent="0.35">
      <c r="B48" s="14"/>
      <c r="C48" s="12" t="s">
        <v>53</v>
      </c>
      <c r="D48" s="12"/>
      <c r="E48" s="12" t="s">
        <v>64</v>
      </c>
    </row>
    <row r="49" spans="2:9" x14ac:dyDescent="0.35">
      <c r="B49" s="4">
        <v>438</v>
      </c>
      <c r="C49" s="4" t="s">
        <v>54</v>
      </c>
      <c r="D49" s="10">
        <v>70000000</v>
      </c>
      <c r="E49" s="10" t="s">
        <v>63</v>
      </c>
    </row>
    <row r="50" spans="2:9" x14ac:dyDescent="0.35">
      <c r="B50" s="4">
        <v>466</v>
      </c>
      <c r="C50" s="4" t="s">
        <v>55</v>
      </c>
      <c r="D50" s="10">
        <v>73000000</v>
      </c>
      <c r="E50" s="10" t="s">
        <v>63</v>
      </c>
    </row>
    <row r="51" spans="2:9" x14ac:dyDescent="0.35">
      <c r="B51" s="4">
        <v>477</v>
      </c>
      <c r="C51" s="4" t="s">
        <v>56</v>
      </c>
      <c r="D51" s="10">
        <v>92000000</v>
      </c>
      <c r="E51" s="10" t="s">
        <v>63</v>
      </c>
    </row>
    <row r="52" spans="2:9" x14ac:dyDescent="0.35">
      <c r="B52" s="4">
        <v>497</v>
      </c>
      <c r="C52" s="4" t="s">
        <v>57</v>
      </c>
      <c r="D52" s="10">
        <v>125000000</v>
      </c>
      <c r="E52" s="10" t="s">
        <v>63</v>
      </c>
    </row>
    <row r="53" spans="2:9" x14ac:dyDescent="0.35">
      <c r="B53" s="4">
        <v>507</v>
      </c>
      <c r="C53" s="4" t="s">
        <v>58</v>
      </c>
      <c r="D53" s="10">
        <v>94000000</v>
      </c>
      <c r="E53" s="10" t="s">
        <v>63</v>
      </c>
    </row>
    <row r="54" spans="2:9" x14ac:dyDescent="0.35">
      <c r="B54" s="4">
        <v>508</v>
      </c>
      <c r="C54" s="4" t="s">
        <v>59</v>
      </c>
      <c r="D54" s="10">
        <v>63000000</v>
      </c>
      <c r="E54" s="10" t="s">
        <v>63</v>
      </c>
    </row>
    <row r="55" spans="2:9" x14ac:dyDescent="0.35">
      <c r="B55" s="4">
        <v>516</v>
      </c>
      <c r="C55" s="4" t="s">
        <v>60</v>
      </c>
      <c r="D55" s="10">
        <v>78000000</v>
      </c>
      <c r="E55" s="10" t="s">
        <v>63</v>
      </c>
    </row>
    <row r="56" spans="2:9" x14ac:dyDescent="0.35">
      <c r="B56" s="4">
        <v>518</v>
      </c>
      <c r="C56" s="4" t="s">
        <v>61</v>
      </c>
      <c r="D56" s="10">
        <v>59000000</v>
      </c>
      <c r="E56" s="10" t="s">
        <v>63</v>
      </c>
    </row>
    <row r="57" spans="2:9" x14ac:dyDescent="0.35">
      <c r="B57" s="4">
        <v>540</v>
      </c>
      <c r="C57" s="4" t="s">
        <v>62</v>
      </c>
      <c r="D57" s="10">
        <v>60000000</v>
      </c>
      <c r="E57" s="10" t="s">
        <v>63</v>
      </c>
    </row>
    <row r="58" spans="2:9" ht="43.5" x14ac:dyDescent="0.35">
      <c r="B58" s="4" t="s">
        <v>4</v>
      </c>
      <c r="C58" s="7" t="s">
        <v>28</v>
      </c>
      <c r="D58" s="8" t="s">
        <v>87</v>
      </c>
      <c r="E58" s="13" t="s">
        <v>66</v>
      </c>
    </row>
    <row r="59" spans="2:9" ht="14.5" customHeight="1" x14ac:dyDescent="0.35">
      <c r="B59" s="4" t="s">
        <v>83</v>
      </c>
      <c r="C59" s="104" t="s">
        <v>100</v>
      </c>
      <c r="D59" s="104"/>
      <c r="E59" s="104"/>
    </row>
    <row r="62" spans="2:9" ht="14.5" customHeight="1" x14ac:dyDescent="0.35">
      <c r="C62" s="94" t="s">
        <v>82</v>
      </c>
      <c r="D62" s="94"/>
      <c r="E62" s="94"/>
    </row>
    <row r="63" spans="2:9" ht="43.5" x14ac:dyDescent="0.35">
      <c r="C63" s="6" t="s">
        <v>85</v>
      </c>
      <c r="D63" s="6" t="s">
        <v>88</v>
      </c>
      <c r="E63" s="6" t="s">
        <v>89</v>
      </c>
      <c r="F63" s="26"/>
    </row>
    <row r="64" spans="2:9" ht="15" thickBot="1" x14ac:dyDescent="0.4">
      <c r="C64" s="10">
        <f>33500000000</f>
        <v>33500000000</v>
      </c>
      <c r="D64" s="10">
        <v>4.403E+18</v>
      </c>
      <c r="E64" s="10">
        <f>D64/C64</f>
        <v>131432835.82089552</v>
      </c>
      <c r="G64" s="26"/>
      <c r="H64" s="26"/>
      <c r="I64" s="26"/>
    </row>
    <row r="65" spans="2:14" ht="44" thickTop="1" x14ac:dyDescent="0.35">
      <c r="B65" s="4" t="s">
        <v>4</v>
      </c>
      <c r="C65" s="15" t="s">
        <v>90</v>
      </c>
      <c r="D65" s="15" t="s">
        <v>86</v>
      </c>
      <c r="E65" s="15" t="s">
        <v>91</v>
      </c>
    </row>
    <row r="66" spans="2:14" x14ac:dyDescent="0.35">
      <c r="B66" s="4" t="s">
        <v>83</v>
      </c>
      <c r="C66" s="102" t="s">
        <v>161</v>
      </c>
      <c r="D66" s="102"/>
      <c r="E66" s="102"/>
    </row>
    <row r="69" spans="2:14" s="64" customFormat="1" ht="14.5" customHeight="1" x14ac:dyDescent="0.35">
      <c r="C69" s="94" t="s">
        <v>252</v>
      </c>
      <c r="D69" s="94"/>
      <c r="E69" s="94"/>
      <c r="F69" s="94"/>
      <c r="G69" s="94"/>
      <c r="H69" s="56"/>
      <c r="I69" s="56"/>
    </row>
    <row r="70" spans="2:14" s="65" customFormat="1" ht="14.5" customHeight="1" x14ac:dyDescent="0.35">
      <c r="C70" s="66"/>
      <c r="D70" s="66"/>
      <c r="E70" s="66"/>
      <c r="F70" s="66"/>
      <c r="G70" s="66"/>
      <c r="H70" s="66"/>
      <c r="I70" s="66"/>
    </row>
    <row r="71" spans="2:14" x14ac:dyDescent="0.35">
      <c r="C71" s="67" t="s">
        <v>255</v>
      </c>
      <c r="D71" s="72" t="s">
        <v>275</v>
      </c>
      <c r="E71" s="72" t="s">
        <v>276</v>
      </c>
      <c r="F71" s="96" t="s">
        <v>277</v>
      </c>
      <c r="G71" s="96"/>
      <c r="H71" s="96" t="s">
        <v>278</v>
      </c>
      <c r="I71" s="96"/>
      <c r="J71" s="72" t="s">
        <v>279</v>
      </c>
      <c r="K71" s="96" t="s">
        <v>289</v>
      </c>
      <c r="L71" s="96"/>
      <c r="M71" s="96" t="s">
        <v>291</v>
      </c>
      <c r="N71" s="96"/>
    </row>
    <row r="72" spans="2:14" s="68" customFormat="1" ht="29" customHeight="1" x14ac:dyDescent="0.35">
      <c r="C72" s="69" t="s">
        <v>253</v>
      </c>
      <c r="D72" s="71" t="s">
        <v>258</v>
      </c>
      <c r="E72" s="71" t="s">
        <v>256</v>
      </c>
      <c r="F72" s="95" t="s">
        <v>256</v>
      </c>
      <c r="G72" s="95"/>
      <c r="H72" s="95" t="s">
        <v>259</v>
      </c>
      <c r="I72" s="95"/>
      <c r="J72" s="71" t="s">
        <v>266</v>
      </c>
      <c r="K72" s="95" t="s">
        <v>266</v>
      </c>
      <c r="L72" s="95"/>
      <c r="M72" s="95" t="s">
        <v>266</v>
      </c>
      <c r="N72" s="95"/>
    </row>
    <row r="73" spans="2:14" s="68" customFormat="1" ht="29" customHeight="1" x14ac:dyDescent="0.35">
      <c r="C73" s="70" t="s">
        <v>254</v>
      </c>
      <c r="D73" s="71" t="s">
        <v>257</v>
      </c>
      <c r="E73" s="71" t="s">
        <v>256</v>
      </c>
      <c r="F73" s="95" t="s">
        <v>264</v>
      </c>
      <c r="G73" s="95"/>
      <c r="H73" s="95"/>
      <c r="I73" s="95"/>
      <c r="J73" s="71" t="s">
        <v>257</v>
      </c>
      <c r="K73" s="95" t="s">
        <v>264</v>
      </c>
      <c r="L73" s="95"/>
      <c r="M73" s="95" t="s">
        <v>292</v>
      </c>
      <c r="N73" s="95"/>
    </row>
    <row r="74" spans="2:14" s="65" customFormat="1" ht="14.5" customHeight="1" x14ac:dyDescent="0.35">
      <c r="C74" s="82"/>
      <c r="D74" s="82"/>
      <c r="E74" s="82"/>
      <c r="F74" s="82"/>
      <c r="G74" s="82"/>
      <c r="H74" s="82"/>
      <c r="I74" s="82"/>
      <c r="J74" s="83"/>
    </row>
    <row r="75" spans="2:14" s="65" customFormat="1" ht="14.5" customHeight="1" x14ac:dyDescent="0.35">
      <c r="C75" s="82"/>
      <c r="D75" s="100" t="s">
        <v>274</v>
      </c>
      <c r="E75" s="100"/>
      <c r="F75" s="100"/>
      <c r="G75" s="100"/>
      <c r="H75" s="100"/>
      <c r="I75" s="100"/>
      <c r="J75" s="100"/>
      <c r="K75" s="100"/>
    </row>
    <row r="76" spans="2:14" s="65" customFormat="1" ht="29" customHeight="1" x14ac:dyDescent="0.35">
      <c r="C76" s="82"/>
      <c r="D76" s="87" t="s">
        <v>278</v>
      </c>
      <c r="E76" s="87" t="s">
        <v>275</v>
      </c>
      <c r="F76" s="87" t="s">
        <v>277</v>
      </c>
      <c r="G76" s="87" t="s">
        <v>276</v>
      </c>
      <c r="H76" s="87" t="s">
        <v>279</v>
      </c>
      <c r="I76" s="87" t="s">
        <v>289</v>
      </c>
      <c r="J76" s="99" t="s">
        <v>291</v>
      </c>
      <c r="K76" s="99"/>
    </row>
    <row r="77" spans="2:14" s="65" customFormat="1" ht="14.5" customHeight="1" x14ac:dyDescent="0.35">
      <c r="C77" s="84" t="s">
        <v>273</v>
      </c>
      <c r="D77" s="93">
        <f>I100</f>
        <v>2.2244726623293784E-2</v>
      </c>
      <c r="E77" s="93">
        <f>I82</f>
        <v>4.0193345238095236E-2</v>
      </c>
      <c r="F77" s="93">
        <f>I94</f>
        <v>5.8454708238451975E-2</v>
      </c>
      <c r="G77" s="93">
        <f>I88</f>
        <v>0.11971809070537007</v>
      </c>
      <c r="H77" s="93">
        <f>I106</f>
        <v>0.12058003571428572</v>
      </c>
      <c r="I77" s="93">
        <f>I112</f>
        <v>0.17536412471535592</v>
      </c>
      <c r="J77" s="98">
        <f>I118</f>
        <v>0.27</v>
      </c>
      <c r="K77" s="98"/>
    </row>
    <row r="78" spans="2:14" s="65" customFormat="1" ht="71" customHeight="1" x14ac:dyDescent="0.35">
      <c r="C78" s="85" t="s">
        <v>4</v>
      </c>
      <c r="D78" s="86" t="s">
        <v>287</v>
      </c>
      <c r="E78" s="86" t="s">
        <v>285</v>
      </c>
      <c r="F78" s="86" t="s">
        <v>0</v>
      </c>
      <c r="G78" s="86" t="s">
        <v>286</v>
      </c>
      <c r="H78" s="86" t="s">
        <v>290</v>
      </c>
      <c r="I78" s="86" t="s">
        <v>294</v>
      </c>
      <c r="J78" s="97" t="s">
        <v>293</v>
      </c>
      <c r="K78" s="97"/>
    </row>
    <row r="79" spans="2:14" s="65" customFormat="1" ht="14.5" customHeight="1" x14ac:dyDescent="0.35">
      <c r="C79" s="66"/>
      <c r="D79" s="66"/>
      <c r="E79" s="66"/>
      <c r="F79" s="66"/>
      <c r="G79" s="66"/>
      <c r="H79" s="66"/>
      <c r="I79" s="66"/>
    </row>
    <row r="80" spans="2:14" ht="14.5" customHeight="1" x14ac:dyDescent="0.35">
      <c r="C80" s="101" t="s">
        <v>280</v>
      </c>
      <c r="D80" s="101"/>
      <c r="E80" s="101"/>
      <c r="F80" s="101"/>
      <c r="G80" s="101"/>
      <c r="H80" s="101"/>
      <c r="I80" s="101"/>
    </row>
    <row r="81" spans="2:9" ht="58" x14ac:dyDescent="0.35">
      <c r="C81" s="88" t="s">
        <v>84</v>
      </c>
      <c r="D81" s="88" t="s">
        <v>261</v>
      </c>
      <c r="E81" s="88" t="s">
        <v>250</v>
      </c>
      <c r="F81" s="88" t="s">
        <v>89</v>
      </c>
      <c r="G81" s="88" t="s">
        <v>97</v>
      </c>
      <c r="H81" s="88" t="s">
        <v>99</v>
      </c>
      <c r="I81" s="88" t="s">
        <v>95</v>
      </c>
    </row>
    <row r="82" spans="2:9" ht="15" thickBot="1" x14ac:dyDescent="0.4">
      <c r="C82" s="10">
        <f>SUM($D$6:$D$12,$D$17,$D$21,$D$23,$D$26:$D$29,$D$31:$D$33,$D$35,$D$37,$D$41:$D$42,$D$44:$D$47,$D$49:$D$57)</f>
        <v>14785493333.333334</v>
      </c>
      <c r="D82" s="34">
        <f>AVERAGE($E$6:$E$12)</f>
        <v>633.28571428571433</v>
      </c>
      <c r="E82" s="10">
        <f>'Tube websites'!E18</f>
        <v>375000</v>
      </c>
      <c r="F82" s="10">
        <f>E82*D82</f>
        <v>237482142.85714287</v>
      </c>
      <c r="G82" s="16">
        <f>C82*F82</f>
        <v>3.5112906400000005E+18</v>
      </c>
      <c r="H82" s="16">
        <f>'Video Categories'!$D$14</f>
        <v>8.7360000000000016E+19</v>
      </c>
      <c r="I82" s="17">
        <f>G82/H82</f>
        <v>4.0193345238095236E-2</v>
      </c>
    </row>
    <row r="83" spans="2:9" ht="44" thickTop="1" x14ac:dyDescent="0.35">
      <c r="B83" s="4" t="s">
        <v>4</v>
      </c>
      <c r="C83" s="15" t="s">
        <v>96</v>
      </c>
      <c r="D83" s="15" t="s">
        <v>260</v>
      </c>
      <c r="E83" s="15" t="s">
        <v>256</v>
      </c>
      <c r="F83" s="15" t="s">
        <v>91</v>
      </c>
      <c r="G83" s="15" t="s">
        <v>98</v>
      </c>
      <c r="H83" s="15" t="s">
        <v>98</v>
      </c>
      <c r="I83" s="15" t="s">
        <v>141</v>
      </c>
    </row>
    <row r="84" spans="2:9" ht="14.5" customHeight="1" x14ac:dyDescent="0.35">
      <c r="B84" s="4" t="s">
        <v>83</v>
      </c>
      <c r="C84" s="31" t="s">
        <v>220</v>
      </c>
      <c r="D84" s="60" t="s">
        <v>220</v>
      </c>
      <c r="E84" s="60" t="s">
        <v>233</v>
      </c>
      <c r="F84" s="8" t="s">
        <v>74</v>
      </c>
      <c r="G84" s="8" t="s">
        <v>74</v>
      </c>
      <c r="H84" s="31" t="s">
        <v>160</v>
      </c>
      <c r="I84" s="8" t="s">
        <v>74</v>
      </c>
    </row>
    <row r="86" spans="2:9" x14ac:dyDescent="0.35">
      <c r="C86" s="101" t="s">
        <v>281</v>
      </c>
      <c r="D86" s="101"/>
      <c r="E86" s="101"/>
      <c r="F86" s="101"/>
      <c r="G86" s="101"/>
      <c r="H86" s="101"/>
      <c r="I86" s="101"/>
    </row>
    <row r="87" spans="2:9" ht="58" x14ac:dyDescent="0.35">
      <c r="C87" s="88" t="s">
        <v>84</v>
      </c>
      <c r="D87" s="88" t="s">
        <v>261</v>
      </c>
      <c r="E87" s="88" t="s">
        <v>250</v>
      </c>
      <c r="F87" s="88" t="s">
        <v>89</v>
      </c>
      <c r="G87" s="88" t="s">
        <v>97</v>
      </c>
      <c r="H87" s="88" t="s">
        <v>99</v>
      </c>
      <c r="I87" s="88" t="s">
        <v>95</v>
      </c>
    </row>
    <row r="88" spans="2:9" x14ac:dyDescent="0.35">
      <c r="C88" s="10">
        <f>SUM(D6:D12,D17,D21,D23,D26:D29,D31:D33,D35,D37,D41:D42,D44:D47,D49:D57)</f>
        <v>14785493333.333334</v>
      </c>
      <c r="D88" s="34">
        <f>'Tube websites'!D18*60</f>
        <v>1886.2763508774601</v>
      </c>
      <c r="E88" s="10">
        <f>'Tube websites'!E18</f>
        <v>375000</v>
      </c>
      <c r="F88" s="16">
        <f>E88*D88</f>
        <v>707353631.57904756</v>
      </c>
      <c r="G88" s="16">
        <f>C88*F88</f>
        <v>1.0458572404021131E+19</v>
      </c>
      <c r="H88" s="16">
        <f>'Video Categories'!D14</f>
        <v>8.7360000000000016E+19</v>
      </c>
      <c r="I88" s="29">
        <f>G88/H88</f>
        <v>0.11971809070537007</v>
      </c>
    </row>
    <row r="89" spans="2:9" ht="44" thickTop="1" x14ac:dyDescent="0.35">
      <c r="B89" s="57" t="s">
        <v>4</v>
      </c>
      <c r="C89" s="15" t="s">
        <v>96</v>
      </c>
      <c r="D89" s="15" t="s">
        <v>256</v>
      </c>
      <c r="E89" s="15" t="s">
        <v>256</v>
      </c>
      <c r="F89" s="15" t="s">
        <v>91</v>
      </c>
      <c r="G89" s="15" t="s">
        <v>98</v>
      </c>
      <c r="H89" s="15" t="s">
        <v>98</v>
      </c>
      <c r="I89" s="15" t="s">
        <v>141</v>
      </c>
    </row>
    <row r="90" spans="2:9" x14ac:dyDescent="0.35">
      <c r="B90" s="57" t="s">
        <v>83</v>
      </c>
      <c r="C90" s="60" t="s">
        <v>220</v>
      </c>
      <c r="D90" s="59" t="s">
        <v>74</v>
      </c>
      <c r="E90" s="60" t="s">
        <v>233</v>
      </c>
      <c r="F90" s="59" t="s">
        <v>74</v>
      </c>
      <c r="G90" s="59" t="s">
        <v>74</v>
      </c>
      <c r="H90" s="60" t="s">
        <v>160</v>
      </c>
      <c r="I90" s="59" t="s">
        <v>74</v>
      </c>
    </row>
    <row r="92" spans="2:9" ht="14.5" customHeight="1" x14ac:dyDescent="0.35">
      <c r="C92" s="105" t="s">
        <v>282</v>
      </c>
      <c r="D92" s="105"/>
      <c r="E92" s="105"/>
      <c r="F92" s="105"/>
      <c r="G92" s="105"/>
      <c r="H92" s="105"/>
      <c r="I92" s="105"/>
    </row>
    <row r="93" spans="2:9" ht="58" x14ac:dyDescent="0.35">
      <c r="C93" s="89" t="s">
        <v>84</v>
      </c>
      <c r="D93" s="89" t="s">
        <v>261</v>
      </c>
      <c r="E93" s="89" t="s">
        <v>250</v>
      </c>
      <c r="F93" s="89" t="s">
        <v>89</v>
      </c>
      <c r="G93" s="89" t="s">
        <v>97</v>
      </c>
      <c r="H93" s="89" t="s">
        <v>99</v>
      </c>
      <c r="I93" s="89" t="s">
        <v>95</v>
      </c>
    </row>
    <row r="94" spans="2:9" ht="15" thickBot="1" x14ac:dyDescent="0.4">
      <c r="C94" s="76">
        <f>SUM(D6:D12,D17,D21,D23,D26:D29,D31:D33,D35,D37,D41:D42,D44:D47,D49:D57)</f>
        <v>14785493333.333334</v>
      </c>
      <c r="D94" s="81">
        <f>D82*('Tube websites'!D18/('Tube websites'!E6/60))</f>
        <v>921.01146199358755</v>
      </c>
      <c r="E94" s="76">
        <f>'Tube websites'!E18</f>
        <v>375000</v>
      </c>
      <c r="F94" s="77">
        <f>E94*D94</f>
        <v>345379298.24759531</v>
      </c>
      <c r="G94" s="77">
        <f>C94*F94</f>
        <v>5.1066033117111654E+18</v>
      </c>
      <c r="H94" s="77">
        <f>'Video Categories'!D14</f>
        <v>8.7360000000000016E+19</v>
      </c>
      <c r="I94" s="17">
        <f>G94/H94</f>
        <v>5.8454708238451975E-2</v>
      </c>
    </row>
    <row r="95" spans="2:9" ht="44" thickTop="1" x14ac:dyDescent="0.35">
      <c r="B95" s="78" t="s">
        <v>4</v>
      </c>
      <c r="C95" s="15" t="s">
        <v>96</v>
      </c>
      <c r="D95" s="15" t="s">
        <v>265</v>
      </c>
      <c r="E95" s="15" t="s">
        <v>256</v>
      </c>
      <c r="F95" s="15" t="s">
        <v>91</v>
      </c>
      <c r="G95" s="15" t="s">
        <v>98</v>
      </c>
      <c r="H95" s="15" t="s">
        <v>98</v>
      </c>
      <c r="I95" s="15" t="s">
        <v>141</v>
      </c>
    </row>
    <row r="96" spans="2:9" x14ac:dyDescent="0.35">
      <c r="B96" s="78" t="s">
        <v>83</v>
      </c>
      <c r="C96" s="79" t="s">
        <v>220</v>
      </c>
      <c r="D96" s="80" t="s">
        <v>74</v>
      </c>
      <c r="E96" s="79" t="s">
        <v>233</v>
      </c>
      <c r="F96" s="80" t="s">
        <v>74</v>
      </c>
      <c r="G96" s="80" t="s">
        <v>74</v>
      </c>
      <c r="H96" s="79" t="s">
        <v>160</v>
      </c>
      <c r="I96" s="80" t="s">
        <v>74</v>
      </c>
    </row>
    <row r="97" spans="2:9" x14ac:dyDescent="0.35">
      <c r="E97" s="18"/>
    </row>
    <row r="98" spans="2:9" x14ac:dyDescent="0.35">
      <c r="C98" s="101" t="s">
        <v>283</v>
      </c>
      <c r="D98" s="101"/>
      <c r="E98" s="101"/>
      <c r="F98" s="101"/>
      <c r="G98" s="101"/>
      <c r="H98" s="101"/>
      <c r="I98" s="101"/>
    </row>
    <row r="99" spans="2:9" ht="58" x14ac:dyDescent="0.35">
      <c r="C99" s="88" t="s">
        <v>84</v>
      </c>
      <c r="D99" s="88" t="s">
        <v>261</v>
      </c>
      <c r="E99" s="88" t="s">
        <v>250</v>
      </c>
      <c r="F99" s="88" t="s">
        <v>89</v>
      </c>
      <c r="G99" s="88" t="s">
        <v>97</v>
      </c>
      <c r="H99" s="88" t="s">
        <v>99</v>
      </c>
      <c r="I99" s="88" t="s">
        <v>95</v>
      </c>
    </row>
    <row r="100" spans="2:9" ht="15" thickBot="1" x14ac:dyDescent="0.4">
      <c r="C100" s="10">
        <f>SUM(D6:D12,D17,D21,D23,D26:D29,D31:D33,D35,D37,D41:D42,D44:D47,D49:D57)</f>
        <v>14785493333.333334</v>
      </c>
      <c r="D100" s="74">
        <f>10*60+13</f>
        <v>613</v>
      </c>
      <c r="E100" s="75">
        <f>F100/D100</f>
        <v>214409.19383506611</v>
      </c>
      <c r="F100" s="16">
        <f>E64</f>
        <v>131432835.82089552</v>
      </c>
      <c r="G100" s="16">
        <f>C100*F100</f>
        <v>1.9432993178109453E+18</v>
      </c>
      <c r="H100" s="16">
        <f>'Video Categories'!$D$14</f>
        <v>8.7360000000000016E+19</v>
      </c>
      <c r="I100" s="17">
        <f>G100/H100</f>
        <v>2.2244726623293784E-2</v>
      </c>
    </row>
    <row r="101" spans="2:9" ht="44" thickTop="1" x14ac:dyDescent="0.35">
      <c r="B101" s="57" t="s">
        <v>4</v>
      </c>
      <c r="C101" s="15" t="s">
        <v>96</v>
      </c>
      <c r="D101" s="15" t="s">
        <v>263</v>
      </c>
      <c r="E101" s="15" t="s">
        <v>271</v>
      </c>
      <c r="F101" s="15" t="s">
        <v>262</v>
      </c>
      <c r="G101" s="15" t="s">
        <v>98</v>
      </c>
      <c r="H101" s="15" t="s">
        <v>98</v>
      </c>
      <c r="I101" s="15" t="s">
        <v>141</v>
      </c>
    </row>
    <row r="102" spans="2:9" ht="43.5" x14ac:dyDescent="0.35">
      <c r="B102" s="57" t="s">
        <v>83</v>
      </c>
      <c r="C102" s="60" t="s">
        <v>220</v>
      </c>
      <c r="D102" s="60" t="s">
        <v>161</v>
      </c>
      <c r="E102" s="62" t="s">
        <v>270</v>
      </c>
      <c r="F102" s="59" t="s">
        <v>74</v>
      </c>
      <c r="G102" s="59" t="s">
        <v>74</v>
      </c>
      <c r="H102" s="60" t="s">
        <v>160</v>
      </c>
      <c r="I102" s="59" t="s">
        <v>74</v>
      </c>
    </row>
    <row r="104" spans="2:9" ht="14.5" customHeight="1" x14ac:dyDescent="0.35">
      <c r="C104" s="101" t="s">
        <v>284</v>
      </c>
      <c r="D104" s="101"/>
      <c r="E104" s="101"/>
      <c r="F104" s="101"/>
      <c r="G104" s="101"/>
      <c r="H104" s="101"/>
      <c r="I104" s="101"/>
    </row>
    <row r="105" spans="2:9" ht="58" x14ac:dyDescent="0.35">
      <c r="C105" s="88" t="s">
        <v>84</v>
      </c>
      <c r="D105" s="88" t="s">
        <v>261</v>
      </c>
      <c r="E105" s="88" t="s">
        <v>250</v>
      </c>
      <c r="F105" s="88" t="s">
        <v>89</v>
      </c>
      <c r="G105" s="88" t="s">
        <v>97</v>
      </c>
      <c r="H105" s="88" t="s">
        <v>99</v>
      </c>
      <c r="I105" s="88" t="s">
        <v>95</v>
      </c>
    </row>
    <row r="106" spans="2:9" ht="15" thickBot="1" x14ac:dyDescent="0.4">
      <c r="C106" s="10">
        <f>SUM($D$6:$D$12,$D$17,$D$21,$D$23,$D$26:$D$29,$D$31:$D$33,$D$35,$D$37,$D$41:$D$42,$D$44:$D$47,$D$49:$D$57)</f>
        <v>14785493333.333334</v>
      </c>
      <c r="D106" s="34">
        <f>AVERAGE($E$6:$E$12)</f>
        <v>633.28571428571433</v>
      </c>
      <c r="E106" s="10">
        <f>9000000/8</f>
        <v>1125000</v>
      </c>
      <c r="F106" s="10">
        <f>E106*D106</f>
        <v>712446428.57142866</v>
      </c>
      <c r="G106" s="16">
        <f>C106*F106</f>
        <v>1.0533871920000002E+19</v>
      </c>
      <c r="H106" s="16">
        <f>'Video Categories'!$D$14</f>
        <v>8.7360000000000016E+19</v>
      </c>
      <c r="I106" s="29">
        <f>G106/H106</f>
        <v>0.12058003571428572</v>
      </c>
    </row>
    <row r="107" spans="2:9" ht="44" thickTop="1" x14ac:dyDescent="0.35">
      <c r="B107" s="61" t="s">
        <v>4</v>
      </c>
      <c r="C107" s="15" t="s">
        <v>96</v>
      </c>
      <c r="D107" s="15" t="s">
        <v>260</v>
      </c>
      <c r="E107" s="15" t="s">
        <v>272</v>
      </c>
      <c r="F107" s="15" t="s">
        <v>91</v>
      </c>
      <c r="G107" s="15" t="s">
        <v>98</v>
      </c>
      <c r="H107" s="15" t="s">
        <v>98</v>
      </c>
      <c r="I107" s="15" t="s">
        <v>141</v>
      </c>
    </row>
    <row r="108" spans="2:9" ht="14.5" customHeight="1" x14ac:dyDescent="0.35">
      <c r="B108" s="61" t="s">
        <v>83</v>
      </c>
      <c r="C108" s="63" t="s">
        <v>220</v>
      </c>
      <c r="D108" s="63" t="s">
        <v>220</v>
      </c>
      <c r="E108" s="63" t="s">
        <v>267</v>
      </c>
      <c r="F108" s="62" t="s">
        <v>74</v>
      </c>
      <c r="G108" s="62" t="s">
        <v>74</v>
      </c>
      <c r="H108" s="63" t="s">
        <v>160</v>
      </c>
      <c r="I108" s="62" t="s">
        <v>74</v>
      </c>
    </row>
    <row r="110" spans="2:9" ht="14.5" customHeight="1" x14ac:dyDescent="0.35">
      <c r="C110" s="101" t="s">
        <v>288</v>
      </c>
      <c r="D110" s="101"/>
      <c r="E110" s="101"/>
      <c r="F110" s="101"/>
      <c r="G110" s="101"/>
      <c r="H110" s="101"/>
      <c r="I110" s="101"/>
    </row>
    <row r="111" spans="2:9" ht="58" x14ac:dyDescent="0.35">
      <c r="C111" s="88" t="s">
        <v>84</v>
      </c>
      <c r="D111" s="88" t="s">
        <v>261</v>
      </c>
      <c r="E111" s="88" t="s">
        <v>250</v>
      </c>
      <c r="F111" s="88" t="s">
        <v>89</v>
      </c>
      <c r="G111" s="88" t="s">
        <v>97</v>
      </c>
      <c r="H111" s="88" t="s">
        <v>99</v>
      </c>
      <c r="I111" s="88" t="s">
        <v>95</v>
      </c>
    </row>
    <row r="112" spans="2:9" ht="15" thickBot="1" x14ac:dyDescent="0.4">
      <c r="C112" s="10">
        <f>SUM($D$6:$D$12,$D$17,$D$21,$D$23,$D$26:$D$29,$D$31:$D$33,$D$35,$D$37,$D$41:$D$42,$D$44:$D$47,$D$49:$D$57)</f>
        <v>14785493333.333334</v>
      </c>
      <c r="D112" s="34">
        <f>D82*('Tube websites'!D18/('Tube websites'!E6/60))</f>
        <v>921.01146199358755</v>
      </c>
      <c r="E112" s="10">
        <f>9000000/8</f>
        <v>1125000</v>
      </c>
      <c r="F112" s="10">
        <f>E112*D112</f>
        <v>1036137894.7427859</v>
      </c>
      <c r="G112" s="16">
        <f>C112*F112</f>
        <v>1.5319809935133497E+19</v>
      </c>
      <c r="H112" s="16">
        <f>'Video Categories'!$D$14</f>
        <v>8.7360000000000016E+19</v>
      </c>
      <c r="I112" s="29">
        <f>G112/H112</f>
        <v>0.17536412471535592</v>
      </c>
    </row>
    <row r="113" spans="2:9" ht="44" thickTop="1" x14ac:dyDescent="0.35">
      <c r="B113" s="90" t="s">
        <v>4</v>
      </c>
      <c r="C113" s="15" t="s">
        <v>96</v>
      </c>
      <c r="D113" s="15" t="s">
        <v>260</v>
      </c>
      <c r="E113" s="15" t="s">
        <v>272</v>
      </c>
      <c r="F113" s="15" t="s">
        <v>91</v>
      </c>
      <c r="G113" s="15" t="s">
        <v>98</v>
      </c>
      <c r="H113" s="15" t="s">
        <v>98</v>
      </c>
      <c r="I113" s="15" t="s">
        <v>141</v>
      </c>
    </row>
    <row r="114" spans="2:9" x14ac:dyDescent="0.35">
      <c r="B114" s="90" t="s">
        <v>83</v>
      </c>
      <c r="C114" s="92" t="s">
        <v>220</v>
      </c>
      <c r="D114" s="92" t="s">
        <v>220</v>
      </c>
      <c r="E114" s="92" t="s">
        <v>267</v>
      </c>
      <c r="F114" s="91" t="s">
        <v>74</v>
      </c>
      <c r="G114" s="91" t="s">
        <v>74</v>
      </c>
      <c r="H114" s="92" t="s">
        <v>160</v>
      </c>
      <c r="I114" s="91" t="s">
        <v>74</v>
      </c>
    </row>
    <row r="116" spans="2:9" x14ac:dyDescent="0.35">
      <c r="C116" s="101" t="s">
        <v>295</v>
      </c>
      <c r="D116" s="101"/>
      <c r="E116" s="101"/>
      <c r="F116" s="101"/>
      <c r="G116" s="101"/>
      <c r="H116" s="101"/>
      <c r="I116" s="101"/>
    </row>
    <row r="117" spans="2:9" ht="58" x14ac:dyDescent="0.35">
      <c r="C117" s="88" t="s">
        <v>84</v>
      </c>
      <c r="D117" s="88" t="s">
        <v>261</v>
      </c>
      <c r="E117" s="88" t="s">
        <v>250</v>
      </c>
      <c r="F117" s="88" t="s">
        <v>89</v>
      </c>
      <c r="G117" s="88" t="s">
        <v>97</v>
      </c>
      <c r="H117" s="88" t="s">
        <v>99</v>
      </c>
      <c r="I117" s="88" t="s">
        <v>95</v>
      </c>
    </row>
    <row r="118" spans="2:9" ht="15" thickBot="1" x14ac:dyDescent="0.4">
      <c r="C118" s="10">
        <f>SUM($D$6:$D$12,$D$17,$D$21,$D$23,$D$26:$D$29,$D$31:$D$33,$D$35,$D$37,$D$41:$D$42,$D$44:$D$47,$D$49:$D$57)</f>
        <v>14785493333.333334</v>
      </c>
      <c r="D118" s="34">
        <f>G118/C118/E118</f>
        <v>1418.0385819614182</v>
      </c>
      <c r="E118" s="10">
        <f>9000000/8</f>
        <v>1125000</v>
      </c>
      <c r="F118" s="10">
        <f>E118*D118</f>
        <v>1595293404.7065954</v>
      </c>
      <c r="G118" s="16">
        <f>I118*H118</f>
        <v>2.3587200000000004E+19</v>
      </c>
      <c r="H118" s="16">
        <f>'Video Categories'!$D$14</f>
        <v>8.7360000000000016E+19</v>
      </c>
      <c r="I118" s="29">
        <v>0.27</v>
      </c>
    </row>
    <row r="119" spans="2:9" ht="44" thickTop="1" x14ac:dyDescent="0.35">
      <c r="B119" s="90" t="s">
        <v>4</v>
      </c>
      <c r="C119" s="15" t="s">
        <v>96</v>
      </c>
      <c r="D119" s="15" t="s">
        <v>260</v>
      </c>
      <c r="E119" s="15" t="s">
        <v>272</v>
      </c>
      <c r="F119" s="15" t="s">
        <v>91</v>
      </c>
      <c r="G119" s="15" t="s">
        <v>98</v>
      </c>
      <c r="H119" s="15" t="s">
        <v>98</v>
      </c>
      <c r="I119" s="15" t="s">
        <v>141</v>
      </c>
    </row>
    <row r="120" spans="2:9" x14ac:dyDescent="0.35">
      <c r="B120" s="90" t="s">
        <v>83</v>
      </c>
      <c r="C120" s="92" t="s">
        <v>220</v>
      </c>
      <c r="D120" s="92" t="s">
        <v>220</v>
      </c>
      <c r="E120" s="92" t="s">
        <v>267</v>
      </c>
      <c r="F120" s="91" t="s">
        <v>74</v>
      </c>
      <c r="G120" s="91" t="s">
        <v>74</v>
      </c>
      <c r="H120" s="92" t="s">
        <v>160</v>
      </c>
      <c r="I120" s="91" t="s">
        <v>74</v>
      </c>
    </row>
  </sheetData>
  <mergeCells count="38">
    <mergeCell ref="B2:C2"/>
    <mergeCell ref="C69:G69"/>
    <mergeCell ref="L4:S4"/>
    <mergeCell ref="B15:E15"/>
    <mergeCell ref="C66:E66"/>
    <mergeCell ref="C62:E62"/>
    <mergeCell ref="B4:J4"/>
    <mergeCell ref="G5:J5"/>
    <mergeCell ref="G6:J6"/>
    <mergeCell ref="G7:J7"/>
    <mergeCell ref="G8:J8"/>
    <mergeCell ref="G9:J9"/>
    <mergeCell ref="G10:J10"/>
    <mergeCell ref="G11:J11"/>
    <mergeCell ref="G12:J12"/>
    <mergeCell ref="C59:E59"/>
    <mergeCell ref="C110:I110"/>
    <mergeCell ref="C116:I116"/>
    <mergeCell ref="K73:L73"/>
    <mergeCell ref="K72:L72"/>
    <mergeCell ref="K71:L71"/>
    <mergeCell ref="C104:I104"/>
    <mergeCell ref="C80:I80"/>
    <mergeCell ref="C86:I86"/>
    <mergeCell ref="C98:I98"/>
    <mergeCell ref="F71:G71"/>
    <mergeCell ref="H71:I71"/>
    <mergeCell ref="F72:G72"/>
    <mergeCell ref="H72:I73"/>
    <mergeCell ref="F73:G73"/>
    <mergeCell ref="C92:I92"/>
    <mergeCell ref="M73:N73"/>
    <mergeCell ref="M72:N72"/>
    <mergeCell ref="M71:N71"/>
    <mergeCell ref="J78:K78"/>
    <mergeCell ref="J77:K77"/>
    <mergeCell ref="J76:K76"/>
    <mergeCell ref="D75:K75"/>
  </mergeCells>
  <conditionalFormatting sqref="B13:J13 B17:E17 B26:E29 B41:E42 B49:D58 B44:E47 B21:E21 B23:E23 B31:E33 B37:E37 B35:E35 B65:C66 B6:I12 B59 B84:C84 D83:D84 C82:D82 F82:I84">
    <cfRule type="expression" dxfId="95" priority="82">
      <formula>MOD(ROW(),2)</formula>
    </cfRule>
  </conditionalFormatting>
  <conditionalFormatting sqref="L6:S11">
    <cfRule type="expression" dxfId="94" priority="73">
      <formula>MOD(ROW(),2)</formula>
    </cfRule>
  </conditionalFormatting>
  <conditionalFormatting sqref="E49:E58">
    <cfRule type="expression" dxfId="93" priority="71">
      <formula>MOD(ROW(),2)</formula>
    </cfRule>
  </conditionalFormatting>
  <conditionalFormatting sqref="C64:E64">
    <cfRule type="expression" dxfId="92" priority="70">
      <formula>MOD(ROW(),2)</formula>
    </cfRule>
  </conditionalFormatting>
  <conditionalFormatting sqref="B83:C84">
    <cfRule type="expression" dxfId="91" priority="68">
      <formula>MOD(ROW(),2)</formula>
    </cfRule>
  </conditionalFormatting>
  <conditionalFormatting sqref="C59">
    <cfRule type="expression" dxfId="90" priority="64">
      <formula>MOD(ROW(),2)</formula>
    </cfRule>
  </conditionalFormatting>
  <conditionalFormatting sqref="I83">
    <cfRule type="expression" dxfId="89" priority="62">
      <formula>MOD(ROW(),2)</formula>
    </cfRule>
  </conditionalFormatting>
  <conditionalFormatting sqref="D84">
    <cfRule type="expression" dxfId="88" priority="61">
      <formula>MOD(ROW(),2)</formula>
    </cfRule>
  </conditionalFormatting>
  <conditionalFormatting sqref="E84">
    <cfRule type="expression" dxfId="87" priority="59">
      <formula>MOD(ROW(),2)</formula>
    </cfRule>
  </conditionalFormatting>
  <conditionalFormatting sqref="E82:E83">
    <cfRule type="expression" dxfId="86" priority="60">
      <formula>MOD(ROW(),2)</formula>
    </cfRule>
  </conditionalFormatting>
  <conditionalFormatting sqref="B90:D90 C88:D88 F88:I90">
    <cfRule type="expression" dxfId="85" priority="58">
      <formula>MOD(ROW(),2)</formula>
    </cfRule>
  </conditionalFormatting>
  <conditionalFormatting sqref="B89:C90">
    <cfRule type="expression" dxfId="84" priority="57">
      <formula>MOD(ROW(),2)</formula>
    </cfRule>
  </conditionalFormatting>
  <conditionalFormatting sqref="I89">
    <cfRule type="expression" dxfId="83" priority="56">
      <formula>MOD(ROW(),2)</formula>
    </cfRule>
  </conditionalFormatting>
  <conditionalFormatting sqref="D90">
    <cfRule type="expression" dxfId="82" priority="55">
      <formula>MOD(ROW(),2)</formula>
    </cfRule>
  </conditionalFormatting>
  <conditionalFormatting sqref="E90">
    <cfRule type="expression" dxfId="81" priority="53">
      <formula>MOD(ROW(),2)</formula>
    </cfRule>
  </conditionalFormatting>
  <conditionalFormatting sqref="E88">
    <cfRule type="expression" dxfId="80" priority="54">
      <formula>MOD(ROW(),2)</formula>
    </cfRule>
  </conditionalFormatting>
  <conditionalFormatting sqref="D89">
    <cfRule type="expression" dxfId="79" priority="52">
      <formula>MOD(ROW(),2)</formula>
    </cfRule>
  </conditionalFormatting>
  <conditionalFormatting sqref="E89">
    <cfRule type="expression" dxfId="78" priority="51">
      <formula>MOD(ROW(),2)</formula>
    </cfRule>
  </conditionalFormatting>
  <conditionalFormatting sqref="B102:D102 C100:D100 F100:I102">
    <cfRule type="expression" dxfId="77" priority="50">
      <formula>MOD(ROW(),2)</formula>
    </cfRule>
  </conditionalFormatting>
  <conditionalFormatting sqref="B101:C102">
    <cfRule type="expression" dxfId="76" priority="49">
      <formula>MOD(ROW(),2)</formula>
    </cfRule>
  </conditionalFormatting>
  <conditionalFormatting sqref="I101">
    <cfRule type="expression" dxfId="75" priority="48">
      <formula>MOD(ROW(),2)</formula>
    </cfRule>
  </conditionalFormatting>
  <conditionalFormatting sqref="D102">
    <cfRule type="expression" dxfId="74" priority="47">
      <formula>MOD(ROW(),2)</formula>
    </cfRule>
  </conditionalFormatting>
  <conditionalFormatting sqref="D101">
    <cfRule type="expression" dxfId="73" priority="44">
      <formula>MOD(ROW(),2)</formula>
    </cfRule>
  </conditionalFormatting>
  <conditionalFormatting sqref="E100">
    <cfRule type="expression" dxfId="72" priority="46">
      <formula>MOD(ROW(),2)</formula>
    </cfRule>
  </conditionalFormatting>
  <conditionalFormatting sqref="D96">
    <cfRule type="expression" dxfId="71" priority="38">
      <formula>MOD(ROW(),2)</formula>
    </cfRule>
  </conditionalFormatting>
  <conditionalFormatting sqref="E101">
    <cfRule type="expression" dxfId="70" priority="43">
      <formula>MOD(ROW(),2)</formula>
    </cfRule>
  </conditionalFormatting>
  <conditionalFormatting sqref="F102">
    <cfRule type="expression" dxfId="69" priority="42">
      <formula>MOD(ROW(),2)</formula>
    </cfRule>
  </conditionalFormatting>
  <conditionalFormatting sqref="B96:D96 C94:D94 F94:I96">
    <cfRule type="expression" dxfId="68" priority="41">
      <formula>MOD(ROW(),2)</formula>
    </cfRule>
  </conditionalFormatting>
  <conditionalFormatting sqref="B95:C96">
    <cfRule type="expression" dxfId="67" priority="40">
      <formula>MOD(ROW(),2)</formula>
    </cfRule>
  </conditionalFormatting>
  <conditionalFormatting sqref="I95">
    <cfRule type="expression" dxfId="66" priority="39">
      <formula>MOD(ROW(),2)</formula>
    </cfRule>
  </conditionalFormatting>
  <conditionalFormatting sqref="E96">
    <cfRule type="expression" dxfId="65" priority="36">
      <formula>MOD(ROW(),2)</formula>
    </cfRule>
  </conditionalFormatting>
  <conditionalFormatting sqref="E94">
    <cfRule type="expression" dxfId="64" priority="37">
      <formula>MOD(ROW(),2)</formula>
    </cfRule>
  </conditionalFormatting>
  <conditionalFormatting sqref="D95">
    <cfRule type="expression" dxfId="63" priority="35">
      <formula>MOD(ROW(),2)</formula>
    </cfRule>
  </conditionalFormatting>
  <conditionalFormatting sqref="E95">
    <cfRule type="expression" dxfId="62" priority="34">
      <formula>MOD(ROW(),2)</formula>
    </cfRule>
  </conditionalFormatting>
  <conditionalFormatting sqref="B108:C108 D107:D108 C106:D106 F106:I108">
    <cfRule type="expression" dxfId="61" priority="33">
      <formula>MOD(ROW(),2)</formula>
    </cfRule>
  </conditionalFormatting>
  <conditionalFormatting sqref="B107:C108">
    <cfRule type="expression" dxfId="60" priority="32">
      <formula>MOD(ROW(),2)</formula>
    </cfRule>
  </conditionalFormatting>
  <conditionalFormatting sqref="I107">
    <cfRule type="expression" dxfId="59" priority="31">
      <formula>MOD(ROW(),2)</formula>
    </cfRule>
  </conditionalFormatting>
  <conditionalFormatting sqref="D108">
    <cfRule type="expression" dxfId="58" priority="30">
      <formula>MOD(ROW(),2)</formula>
    </cfRule>
  </conditionalFormatting>
  <conditionalFormatting sqref="E108">
    <cfRule type="expression" dxfId="57" priority="28">
      <formula>MOD(ROW(),2)</formula>
    </cfRule>
  </conditionalFormatting>
  <conditionalFormatting sqref="E106:E107">
    <cfRule type="expression" dxfId="56" priority="29">
      <formula>MOD(ROW(),2)</formula>
    </cfRule>
  </conditionalFormatting>
  <conditionalFormatting sqref="E102">
    <cfRule type="expression" dxfId="55" priority="27">
      <formula>MOD(ROW(),2)</formula>
    </cfRule>
  </conditionalFormatting>
  <conditionalFormatting sqref="B114:C114 D113:D114 C112:D112 F112:I114">
    <cfRule type="expression" dxfId="54" priority="13">
      <formula>MOD(ROW(),2)</formula>
    </cfRule>
  </conditionalFormatting>
  <conditionalFormatting sqref="B113:C114">
    <cfRule type="expression" dxfId="53" priority="12">
      <formula>MOD(ROW(),2)</formula>
    </cfRule>
  </conditionalFormatting>
  <conditionalFormatting sqref="I113">
    <cfRule type="expression" dxfId="52" priority="11">
      <formula>MOD(ROW(),2)</formula>
    </cfRule>
  </conditionalFormatting>
  <conditionalFormatting sqref="D114">
    <cfRule type="expression" dxfId="51" priority="10">
      <formula>MOD(ROW(),2)</formula>
    </cfRule>
  </conditionalFormatting>
  <conditionalFormatting sqref="E114">
    <cfRule type="expression" dxfId="50" priority="8">
      <formula>MOD(ROW(),2)</formula>
    </cfRule>
  </conditionalFormatting>
  <conditionalFormatting sqref="E112:E113">
    <cfRule type="expression" dxfId="49" priority="9">
      <formula>MOD(ROW(),2)</formula>
    </cfRule>
  </conditionalFormatting>
  <conditionalFormatting sqref="B120:C120 D119:D120 C118 F118:I120">
    <cfRule type="expression" dxfId="48" priority="7">
      <formula>MOD(ROW(),2)</formula>
    </cfRule>
  </conditionalFormatting>
  <conditionalFormatting sqref="B119:C120">
    <cfRule type="expression" dxfId="47" priority="6">
      <formula>MOD(ROW(),2)</formula>
    </cfRule>
  </conditionalFormatting>
  <conditionalFormatting sqref="I119">
    <cfRule type="expression" dxfId="46" priority="5">
      <formula>MOD(ROW(),2)</formula>
    </cfRule>
  </conditionalFormatting>
  <conditionalFormatting sqref="D120">
    <cfRule type="expression" dxfId="45" priority="4">
      <formula>MOD(ROW(),2)</formula>
    </cfRule>
  </conditionalFormatting>
  <conditionalFormatting sqref="E120">
    <cfRule type="expression" dxfId="44" priority="2">
      <formula>MOD(ROW(),2)</formula>
    </cfRule>
  </conditionalFormatting>
  <conditionalFormatting sqref="E118:E119">
    <cfRule type="expression" dxfId="43" priority="3">
      <formula>MOD(ROW(),2)</formula>
    </cfRule>
  </conditionalFormatting>
  <conditionalFormatting sqref="D118">
    <cfRule type="expression" dxfId="42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39"/>
  <sheetViews>
    <sheetView topLeftCell="A14" zoomScale="90" zoomScaleNormal="90" workbookViewId="0">
      <selection activeCell="C20" sqref="C20:G20"/>
    </sheetView>
  </sheetViews>
  <sheetFormatPr baseColWidth="10" defaultColWidth="8.7265625" defaultRowHeight="14.5" x14ac:dyDescent="0.35"/>
  <cols>
    <col min="2" max="2" width="11.6328125" customWidth="1"/>
    <col min="3" max="4" width="23.6328125" customWidth="1"/>
    <col min="5" max="5" width="18.7265625" customWidth="1"/>
    <col min="6" max="8" width="23.6328125" customWidth="1"/>
    <col min="9" max="9" width="29.90625" customWidth="1"/>
    <col min="10" max="10" width="6.453125" customWidth="1"/>
    <col min="11" max="21" width="15.6328125" customWidth="1"/>
  </cols>
  <sheetData>
    <row r="2" spans="2:21" ht="20" customHeight="1" x14ac:dyDescent="0.35">
      <c r="B2" s="94" t="s">
        <v>152</v>
      </c>
      <c r="C2" s="94"/>
    </row>
    <row r="3" spans="2:21" x14ac:dyDescent="0.35">
      <c r="B3" s="2"/>
      <c r="C3" s="2"/>
      <c r="D3" s="2"/>
      <c r="E3" s="2"/>
      <c r="F3" s="2"/>
      <c r="G3" s="2"/>
      <c r="H3" s="2"/>
      <c r="I3" s="2"/>
      <c r="J3" s="1"/>
    </row>
    <row r="4" spans="2:21" ht="15" customHeight="1" x14ac:dyDescent="0.35">
      <c r="B4" s="94" t="s">
        <v>2</v>
      </c>
      <c r="C4" s="94"/>
      <c r="D4" s="94"/>
      <c r="E4" s="94"/>
      <c r="F4" s="94"/>
      <c r="G4" s="94"/>
      <c r="H4" s="94"/>
      <c r="I4" s="94"/>
      <c r="J4" s="1"/>
      <c r="K4" s="94" t="s">
        <v>112</v>
      </c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2:21" ht="49" customHeight="1" x14ac:dyDescent="0.35">
      <c r="B5" s="20" t="s">
        <v>3</v>
      </c>
      <c r="C5" s="20" t="s">
        <v>1</v>
      </c>
      <c r="D5" s="20" t="s">
        <v>84</v>
      </c>
      <c r="E5" s="20" t="s">
        <v>126</v>
      </c>
      <c r="F5" s="20" t="s">
        <v>6</v>
      </c>
      <c r="G5" s="103" t="s">
        <v>102</v>
      </c>
      <c r="H5" s="103"/>
      <c r="I5" s="103"/>
      <c r="K5" s="20" t="s">
        <v>11</v>
      </c>
      <c r="L5" s="20" t="s">
        <v>101</v>
      </c>
      <c r="M5" s="20" t="s">
        <v>103</v>
      </c>
      <c r="N5" s="20" t="s">
        <v>104</v>
      </c>
      <c r="O5" s="20" t="s">
        <v>105</v>
      </c>
      <c r="P5" s="20" t="s">
        <v>106</v>
      </c>
      <c r="Q5" s="20" t="s">
        <v>107</v>
      </c>
      <c r="R5" s="20" t="s">
        <v>109</v>
      </c>
      <c r="S5" s="22" t="s">
        <v>108</v>
      </c>
      <c r="T5" s="22" t="s">
        <v>110</v>
      </c>
      <c r="U5" s="22" t="s">
        <v>111</v>
      </c>
    </row>
    <row r="6" spans="2:21" ht="14.5" customHeight="1" x14ac:dyDescent="0.35">
      <c r="B6" s="4">
        <v>17</v>
      </c>
      <c r="C6" s="4" t="s">
        <v>101</v>
      </c>
      <c r="D6" s="10">
        <f>AVERAGE(L6:L11)*1000000</f>
        <v>1902666666.6666667</v>
      </c>
      <c r="E6" s="4">
        <f>9*60+13</f>
        <v>553</v>
      </c>
      <c r="F6" s="4">
        <v>4.7</v>
      </c>
      <c r="G6" s="104" t="s">
        <v>113</v>
      </c>
      <c r="H6" s="104"/>
      <c r="I6" s="104"/>
      <c r="K6" s="9" t="s">
        <v>17</v>
      </c>
      <c r="L6" s="4">
        <v>1885</v>
      </c>
      <c r="M6" s="4">
        <v>67.599999999999994</v>
      </c>
      <c r="N6" s="4">
        <v>144</v>
      </c>
      <c r="O6" s="4">
        <v>41.2</v>
      </c>
      <c r="P6" s="4">
        <v>1.8</v>
      </c>
      <c r="Q6" s="4">
        <v>12.3</v>
      </c>
      <c r="R6" s="4">
        <v>6.4</v>
      </c>
      <c r="S6" s="4">
        <v>1.65</v>
      </c>
      <c r="T6" s="4">
        <v>4.9000000000000004</v>
      </c>
      <c r="U6" s="4">
        <v>0.76</v>
      </c>
    </row>
    <row r="7" spans="2:21" ht="14.5" customHeight="1" x14ac:dyDescent="0.35">
      <c r="B7" s="4">
        <v>293</v>
      </c>
      <c r="C7" s="4" t="s">
        <v>104</v>
      </c>
      <c r="D7" s="10">
        <f>AVERAGE(N6:N11)*1000000</f>
        <v>140333333.33333334</v>
      </c>
      <c r="E7" s="4">
        <f>16*60+19</f>
        <v>979</v>
      </c>
      <c r="F7" s="4">
        <v>4.3600000000000003</v>
      </c>
      <c r="G7" s="104" t="s">
        <v>115</v>
      </c>
      <c r="H7" s="104"/>
      <c r="I7" s="104"/>
      <c r="J7" s="5"/>
      <c r="K7" s="9" t="s">
        <v>12</v>
      </c>
      <c r="L7" s="4">
        <v>1907</v>
      </c>
      <c r="M7" s="4">
        <v>70.900000000000006</v>
      </c>
      <c r="N7" s="4">
        <v>127</v>
      </c>
      <c r="O7" s="4">
        <v>34.4</v>
      </c>
      <c r="P7" s="4">
        <v>2</v>
      </c>
      <c r="Q7" s="4">
        <v>11</v>
      </c>
      <c r="R7" s="4">
        <v>4.45</v>
      </c>
      <c r="S7" s="4">
        <v>1.85</v>
      </c>
      <c r="T7" s="4">
        <v>5.4</v>
      </c>
      <c r="U7" s="4">
        <v>0.73</v>
      </c>
    </row>
    <row r="8" spans="2:21" ht="14.5" customHeight="1" x14ac:dyDescent="0.35">
      <c r="B8" s="4">
        <v>524</v>
      </c>
      <c r="C8" s="4" t="s">
        <v>103</v>
      </c>
      <c r="D8" s="10">
        <f>AVERAGE(M6:M11)*1000000</f>
        <v>75050000</v>
      </c>
      <c r="E8" s="4">
        <f>3*60+10</f>
        <v>190</v>
      </c>
      <c r="F8" s="4">
        <v>3.46</v>
      </c>
      <c r="G8" s="104" t="s">
        <v>114</v>
      </c>
      <c r="H8" s="104"/>
      <c r="I8" s="104"/>
      <c r="K8" s="9" t="s">
        <v>13</v>
      </c>
      <c r="L8" s="4">
        <v>1806</v>
      </c>
      <c r="M8" s="4">
        <v>71.8</v>
      </c>
      <c r="N8" s="4">
        <v>134</v>
      </c>
      <c r="O8" s="4">
        <v>35.299999999999997</v>
      </c>
      <c r="P8" s="4">
        <v>2.6</v>
      </c>
      <c r="Q8" s="4">
        <v>15.2</v>
      </c>
      <c r="R8" s="4">
        <v>10.7</v>
      </c>
      <c r="S8" s="4">
        <v>1.7</v>
      </c>
      <c r="T8" s="4">
        <v>4.95</v>
      </c>
      <c r="U8" s="4">
        <v>0.72</v>
      </c>
    </row>
    <row r="9" spans="2:21" ht="14.5" customHeight="1" x14ac:dyDescent="0.35">
      <c r="B9" s="4">
        <v>3912</v>
      </c>
      <c r="C9" s="4" t="s">
        <v>107</v>
      </c>
      <c r="D9" s="10">
        <f>AVERAGE(Q6:Q11)*1000000</f>
        <v>12516666.666666668</v>
      </c>
      <c r="E9" s="4">
        <f>6*60+27</f>
        <v>387</v>
      </c>
      <c r="F9" s="4">
        <v>6.39</v>
      </c>
      <c r="G9" s="104" t="s">
        <v>118</v>
      </c>
      <c r="H9" s="104"/>
      <c r="I9" s="104"/>
      <c r="K9" s="9" t="s">
        <v>14</v>
      </c>
      <c r="L9" s="4">
        <v>1875</v>
      </c>
      <c r="M9" s="4">
        <v>71.7</v>
      </c>
      <c r="N9" s="4">
        <v>138</v>
      </c>
      <c r="O9" s="4">
        <v>37.1</v>
      </c>
      <c r="P9" s="4">
        <v>2</v>
      </c>
      <c r="Q9" s="4">
        <v>13.1</v>
      </c>
      <c r="R9" s="4">
        <v>7.7</v>
      </c>
      <c r="S9" s="4">
        <v>1.65</v>
      </c>
      <c r="T9" s="4">
        <v>4.5</v>
      </c>
      <c r="U9" s="4">
        <v>0.73</v>
      </c>
    </row>
    <row r="10" spans="2:21" ht="14.5" customHeight="1" x14ac:dyDescent="0.35">
      <c r="B10" s="4">
        <v>12933</v>
      </c>
      <c r="C10" s="4" t="s">
        <v>109</v>
      </c>
      <c r="D10" s="10">
        <f>AVERAGE(R6:R11)*1000000</f>
        <v>6808333.333333334</v>
      </c>
      <c r="E10" s="4">
        <f>2*60+36</f>
        <v>156</v>
      </c>
      <c r="F10" s="4">
        <v>2.59</v>
      </c>
      <c r="G10" s="104" t="s">
        <v>119</v>
      </c>
      <c r="H10" s="104"/>
      <c r="I10" s="104"/>
      <c r="K10" s="9" t="s">
        <v>15</v>
      </c>
      <c r="L10" s="4">
        <v>1852</v>
      </c>
      <c r="M10" s="4">
        <v>78.099999999999994</v>
      </c>
      <c r="N10" s="4">
        <v>152</v>
      </c>
      <c r="O10" s="4">
        <v>37.5</v>
      </c>
      <c r="P10" s="4">
        <v>2.0499999999999998</v>
      </c>
      <c r="Q10" s="4">
        <v>11.8</v>
      </c>
      <c r="R10" s="4">
        <v>5.95</v>
      </c>
      <c r="S10" s="4">
        <v>1.75</v>
      </c>
      <c r="T10" s="4">
        <v>4.55</v>
      </c>
      <c r="U10" s="4">
        <v>0.69</v>
      </c>
    </row>
    <row r="11" spans="2:21" ht="15" customHeight="1" x14ac:dyDescent="0.35">
      <c r="B11" s="4">
        <v>19721</v>
      </c>
      <c r="C11" s="4" t="s">
        <v>110</v>
      </c>
      <c r="D11" s="10">
        <f>AVERAGE(T6:T11)*1000000</f>
        <v>4716666.666666667</v>
      </c>
      <c r="E11" s="4">
        <f>2*60+35</f>
        <v>155</v>
      </c>
      <c r="F11" s="4">
        <v>2.14</v>
      </c>
      <c r="G11" s="104" t="s">
        <v>121</v>
      </c>
      <c r="H11" s="104"/>
      <c r="I11" s="104"/>
      <c r="K11" s="9" t="s">
        <v>16</v>
      </c>
      <c r="L11" s="4">
        <v>2091</v>
      </c>
      <c r="M11" s="4">
        <v>90.2</v>
      </c>
      <c r="N11" s="4">
        <v>147</v>
      </c>
      <c r="O11" s="4">
        <v>36.200000000000003</v>
      </c>
      <c r="P11" s="4">
        <v>2.15</v>
      </c>
      <c r="Q11" s="4">
        <v>11.7</v>
      </c>
      <c r="R11" s="4">
        <v>5.65</v>
      </c>
      <c r="S11" s="4">
        <v>1.95</v>
      </c>
      <c r="T11" s="4">
        <v>4</v>
      </c>
      <c r="U11" s="4">
        <v>0.77</v>
      </c>
    </row>
    <row r="12" spans="2:21" ht="15" customHeight="1" x14ac:dyDescent="0.35">
      <c r="B12" s="4">
        <v>29049</v>
      </c>
      <c r="C12" s="4" t="s">
        <v>106</v>
      </c>
      <c r="D12" s="10">
        <f>AVERAGE(P6:P11)*1000000</f>
        <v>2100000</v>
      </c>
      <c r="E12" s="4">
        <f>3*60+23</f>
        <v>203</v>
      </c>
      <c r="F12" s="4">
        <v>3.53</v>
      </c>
      <c r="G12" s="104" t="s">
        <v>117</v>
      </c>
      <c r="H12" s="104"/>
      <c r="I12" s="104"/>
    </row>
    <row r="13" spans="2:21" ht="14.5" customHeight="1" x14ac:dyDescent="0.35">
      <c r="B13" s="4">
        <v>31626</v>
      </c>
      <c r="C13" s="4" t="s">
        <v>108</v>
      </c>
      <c r="D13" s="10">
        <f>AVERAGE(S6:S11)*1000000</f>
        <v>1758333.333333333</v>
      </c>
      <c r="E13" s="4">
        <f>3*60+17</f>
        <v>197</v>
      </c>
      <c r="F13" s="4">
        <v>4.17</v>
      </c>
      <c r="G13" s="104" t="s">
        <v>120</v>
      </c>
      <c r="H13" s="104"/>
      <c r="I13" s="104"/>
    </row>
    <row r="14" spans="2:21" ht="14.5" customHeight="1" x14ac:dyDescent="0.35">
      <c r="B14" s="4">
        <v>63487</v>
      </c>
      <c r="C14" s="4" t="s">
        <v>111</v>
      </c>
      <c r="D14" s="10">
        <f>AVERAGE(U6:U11)*1000000</f>
        <v>733333.33333333337</v>
      </c>
      <c r="E14" s="4">
        <f>4*60+4</f>
        <v>244</v>
      </c>
      <c r="F14" s="4">
        <v>4.6399999999999997</v>
      </c>
      <c r="G14" s="104" t="s">
        <v>122</v>
      </c>
      <c r="H14" s="104"/>
      <c r="I14" s="104"/>
    </row>
    <row r="15" spans="2:21" ht="14.5" customHeight="1" x14ac:dyDescent="0.35">
      <c r="B15" s="4" t="s">
        <v>0</v>
      </c>
      <c r="C15" s="4" t="s">
        <v>105</v>
      </c>
      <c r="D15" s="10">
        <f>AVERAGE(O6:O11)*1000000</f>
        <v>36949999.999999993</v>
      </c>
      <c r="E15" s="4">
        <f>3*60+7</f>
        <v>187</v>
      </c>
      <c r="F15" s="4">
        <v>3.08</v>
      </c>
      <c r="G15" s="104" t="s">
        <v>116</v>
      </c>
      <c r="H15" s="104"/>
      <c r="I15" s="104"/>
    </row>
    <row r="16" spans="2:21" ht="29" x14ac:dyDescent="0.35">
      <c r="B16" s="4" t="s">
        <v>4</v>
      </c>
      <c r="C16" s="25" t="s">
        <v>123</v>
      </c>
      <c r="D16" s="19" t="s">
        <v>5</v>
      </c>
      <c r="E16" s="4" t="s">
        <v>0</v>
      </c>
      <c r="F16" s="4" t="s">
        <v>0</v>
      </c>
      <c r="G16" s="4"/>
      <c r="H16" s="4"/>
      <c r="I16" s="4" t="s">
        <v>0</v>
      </c>
    </row>
    <row r="17" spans="2:8" x14ac:dyDescent="0.35">
      <c r="B17" s="3"/>
    </row>
    <row r="20" spans="2:8" x14ac:dyDescent="0.35">
      <c r="C20" s="94" t="s">
        <v>124</v>
      </c>
      <c r="D20" s="94"/>
      <c r="E20" s="94"/>
      <c r="F20" s="94"/>
      <c r="G20" s="94"/>
      <c r="H20" s="21"/>
    </row>
    <row r="21" spans="2:8" ht="58" x14ac:dyDescent="0.35">
      <c r="C21" s="20" t="s">
        <v>84</v>
      </c>
      <c r="D21" s="22" t="s">
        <v>177</v>
      </c>
      <c r="E21" s="22" t="s">
        <v>250</v>
      </c>
      <c r="F21" s="20" t="s">
        <v>235</v>
      </c>
      <c r="G21" s="20" t="s">
        <v>99</v>
      </c>
      <c r="H21" s="22" t="s">
        <v>127</v>
      </c>
    </row>
    <row r="22" spans="2:8" ht="15" thickBot="1" x14ac:dyDescent="0.4">
      <c r="C22" s="10">
        <f>SUM(D6:D15)</f>
        <v>2183633333.333333</v>
      </c>
      <c r="D22" s="34">
        <f>F22/C22/E22/3600</f>
        <v>9.939446488268791</v>
      </c>
      <c r="E22" s="10">
        <f>3000000/8</f>
        <v>375000</v>
      </c>
      <c r="F22" s="16">
        <f>G22*H22</f>
        <v>2.9300544000000004E+19</v>
      </c>
      <c r="G22" s="16">
        <f>'Video Categories'!D14</f>
        <v>8.7360000000000016E+19</v>
      </c>
      <c r="H22" s="29">
        <f>(26.58+5.73+0.8+0.43)/100</f>
        <v>0.33539999999999998</v>
      </c>
    </row>
    <row r="23" spans="2:8" ht="58.5" thickTop="1" x14ac:dyDescent="0.35">
      <c r="B23" s="4" t="s">
        <v>4</v>
      </c>
      <c r="C23" s="15" t="s">
        <v>96</v>
      </c>
      <c r="D23" s="15" t="s">
        <v>226</v>
      </c>
      <c r="E23" s="15" t="s">
        <v>125</v>
      </c>
      <c r="F23" s="15" t="s">
        <v>98</v>
      </c>
      <c r="G23" s="15" t="s">
        <v>98</v>
      </c>
      <c r="H23" s="15" t="s">
        <v>176</v>
      </c>
    </row>
    <row r="24" spans="2:8" ht="29" customHeight="1" x14ac:dyDescent="0.35">
      <c r="B24" s="4" t="s">
        <v>83</v>
      </c>
      <c r="C24" s="31" t="s">
        <v>220</v>
      </c>
      <c r="D24" s="19" t="s">
        <v>251</v>
      </c>
      <c r="E24" s="31" t="s">
        <v>233</v>
      </c>
      <c r="F24" s="19" t="s">
        <v>74</v>
      </c>
      <c r="G24" s="31" t="s">
        <v>160</v>
      </c>
      <c r="H24" s="31" t="s">
        <v>175</v>
      </c>
    </row>
    <row r="27" spans="2:8" x14ac:dyDescent="0.35">
      <c r="D27" s="26"/>
    </row>
    <row r="30" spans="2:8" x14ac:dyDescent="0.35">
      <c r="D30" s="18"/>
    </row>
    <row r="31" spans="2:8" x14ac:dyDescent="0.35">
      <c r="E31" s="27"/>
    </row>
    <row r="32" spans="2:8" x14ac:dyDescent="0.35">
      <c r="E32" s="27"/>
    </row>
    <row r="33" spans="5:5" x14ac:dyDescent="0.35">
      <c r="E33" s="28"/>
    </row>
    <row r="35" spans="5:5" x14ac:dyDescent="0.35">
      <c r="E35" s="27"/>
    </row>
    <row r="36" spans="5:5" x14ac:dyDescent="0.35">
      <c r="E36" s="27"/>
    </row>
    <row r="38" spans="5:5" x14ac:dyDescent="0.35">
      <c r="E38" s="27"/>
    </row>
    <row r="39" spans="5:5" x14ac:dyDescent="0.35">
      <c r="E39" s="26"/>
    </row>
  </sheetData>
  <mergeCells count="15">
    <mergeCell ref="B2:C2"/>
    <mergeCell ref="C20:G20"/>
    <mergeCell ref="G9:I9"/>
    <mergeCell ref="G10:I10"/>
    <mergeCell ref="G11:I11"/>
    <mergeCell ref="G12:I12"/>
    <mergeCell ref="G15:I15"/>
    <mergeCell ref="G8:I8"/>
    <mergeCell ref="K4:U4"/>
    <mergeCell ref="G13:I13"/>
    <mergeCell ref="G14:I14"/>
    <mergeCell ref="B4:I4"/>
    <mergeCell ref="G5:I5"/>
    <mergeCell ref="G6:I6"/>
    <mergeCell ref="G7:I7"/>
  </mergeCells>
  <conditionalFormatting sqref="B6:H6 B16:I16 B11:C15 E11:H15 B7:C9 E7:H9 D7:D15 D24:F24 C22 E23:G23 E22:F22">
    <cfRule type="expression" dxfId="41" priority="30">
      <formula>MOD(ROW(),2)</formula>
    </cfRule>
  </conditionalFormatting>
  <conditionalFormatting sqref="K6:R11">
    <cfRule type="expression" dxfId="40" priority="29">
      <formula>MOD(ROW(),2)</formula>
    </cfRule>
  </conditionalFormatting>
  <conditionalFormatting sqref="B23:C23 B24">
    <cfRule type="expression" dxfId="39" priority="26">
      <formula>MOD(ROW(),2)</formula>
    </cfRule>
  </conditionalFormatting>
  <conditionalFormatting sqref="G22">
    <cfRule type="expression" dxfId="38" priority="23">
      <formula>MOD(ROW(),2)</formula>
    </cfRule>
  </conditionalFormatting>
  <conditionalFormatting sqref="B10:C10 E10:H10">
    <cfRule type="expression" dxfId="37" priority="19">
      <formula>MOD(ROW(),2)</formula>
    </cfRule>
  </conditionalFormatting>
  <conditionalFormatting sqref="B11:C11 E11:H11">
    <cfRule type="expression" dxfId="36" priority="18">
      <formula>MOD(ROW(),2)</formula>
    </cfRule>
  </conditionalFormatting>
  <conditionalFormatting sqref="F12:F15">
    <cfRule type="expression" dxfId="35" priority="17">
      <formula>MOD(ROW(),2)</formula>
    </cfRule>
  </conditionalFormatting>
  <conditionalFormatting sqref="S6:U11">
    <cfRule type="expression" dxfId="34" priority="10">
      <formula>MOD(ROW(),2)</formula>
    </cfRule>
  </conditionalFormatting>
  <conditionalFormatting sqref="D23">
    <cfRule type="expression" dxfId="33" priority="9">
      <formula>MOD(ROW(),2)</formula>
    </cfRule>
  </conditionalFormatting>
  <conditionalFormatting sqref="H22">
    <cfRule type="expression" dxfId="32" priority="6">
      <formula>MOD(ROW(),2)</formula>
    </cfRule>
  </conditionalFormatting>
  <conditionalFormatting sqref="H23">
    <cfRule type="expression" dxfId="31" priority="5">
      <formula>MOD(ROW(),2)</formula>
    </cfRule>
  </conditionalFormatting>
  <conditionalFormatting sqref="G24">
    <cfRule type="expression" dxfId="30" priority="4">
      <formula>MOD(ROW(),2)</formula>
    </cfRule>
  </conditionalFormatting>
  <conditionalFormatting sqref="H24">
    <cfRule type="expression" dxfId="29" priority="3">
      <formula>MOD(ROW(),2)</formula>
    </cfRule>
  </conditionalFormatting>
  <conditionalFormatting sqref="D22">
    <cfRule type="expression" dxfId="28" priority="2">
      <formula>MOD(ROW(),2)</formula>
    </cfRule>
  </conditionalFormatting>
  <conditionalFormatting sqref="C24">
    <cfRule type="expression" dxfId="27" priority="1">
      <formula>MOD(ROW(),2)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35"/>
  <sheetViews>
    <sheetView topLeftCell="A10" zoomScale="90" zoomScaleNormal="90" workbookViewId="0">
      <selection activeCell="D18" sqref="D18"/>
    </sheetView>
  </sheetViews>
  <sheetFormatPr baseColWidth="10" defaultColWidth="8.7265625" defaultRowHeight="14.5" x14ac:dyDescent="0.35"/>
  <cols>
    <col min="2" max="2" width="11.6328125" customWidth="1"/>
    <col min="3" max="4" width="23.6328125" customWidth="1"/>
    <col min="5" max="5" width="18.7265625" customWidth="1"/>
    <col min="6" max="8" width="23.6328125" customWidth="1"/>
    <col min="9" max="9" width="29.90625" customWidth="1"/>
    <col min="10" max="10" width="6.453125" customWidth="1"/>
    <col min="11" max="17" width="15.6328125" customWidth="1"/>
  </cols>
  <sheetData>
    <row r="2" spans="2:17" ht="20" customHeight="1" x14ac:dyDescent="0.35">
      <c r="B2" s="94" t="s">
        <v>151</v>
      </c>
      <c r="C2" s="94"/>
    </row>
    <row r="3" spans="2:17" x14ac:dyDescent="0.35">
      <c r="B3" s="2"/>
      <c r="C3" s="2"/>
      <c r="D3" s="2"/>
      <c r="E3" s="2"/>
      <c r="F3" s="2"/>
      <c r="G3" s="2"/>
      <c r="H3" s="2"/>
      <c r="I3" s="2"/>
      <c r="J3" s="1"/>
    </row>
    <row r="4" spans="2:17" ht="15" customHeight="1" x14ac:dyDescent="0.35">
      <c r="B4" s="94" t="s">
        <v>2</v>
      </c>
      <c r="C4" s="94"/>
      <c r="D4" s="94"/>
      <c r="E4" s="94"/>
      <c r="F4" s="94"/>
      <c r="G4" s="94"/>
      <c r="H4" s="94"/>
      <c r="I4" s="94"/>
      <c r="J4" s="1"/>
      <c r="K4" s="94" t="s">
        <v>18</v>
      </c>
      <c r="L4" s="94"/>
      <c r="M4" s="94"/>
      <c r="N4" s="94"/>
      <c r="O4" s="94"/>
      <c r="P4" s="94"/>
      <c r="Q4" s="94"/>
    </row>
    <row r="5" spans="2:17" ht="49" customHeight="1" x14ac:dyDescent="0.35">
      <c r="B5" s="24" t="s">
        <v>3</v>
      </c>
      <c r="C5" s="24" t="s">
        <v>1</v>
      </c>
      <c r="D5" s="24" t="s">
        <v>84</v>
      </c>
      <c r="E5" s="24" t="s">
        <v>126</v>
      </c>
      <c r="F5" s="24" t="s">
        <v>6</v>
      </c>
      <c r="G5" s="103" t="s">
        <v>102</v>
      </c>
      <c r="H5" s="103"/>
      <c r="I5" s="103"/>
      <c r="K5" s="24" t="s">
        <v>11</v>
      </c>
      <c r="L5" s="24" t="s">
        <v>128</v>
      </c>
      <c r="M5" s="24" t="s">
        <v>129</v>
      </c>
      <c r="N5" s="24" t="s">
        <v>132</v>
      </c>
      <c r="O5" s="24" t="s">
        <v>133</v>
      </c>
      <c r="P5" s="24" t="s">
        <v>131</v>
      </c>
      <c r="Q5" s="24" t="s">
        <v>130</v>
      </c>
    </row>
    <row r="6" spans="2:17" ht="14.5" customHeight="1" x14ac:dyDescent="0.35">
      <c r="B6" s="4">
        <v>2</v>
      </c>
      <c r="C6" s="4" t="s">
        <v>128</v>
      </c>
      <c r="D6" s="10">
        <f>AVERAGE(L6:L11)*1000000</f>
        <v>24629166666.666668</v>
      </c>
      <c r="E6" s="4">
        <f>21*60+37</f>
        <v>1297</v>
      </c>
      <c r="F6" s="4" t="s">
        <v>135</v>
      </c>
      <c r="G6" s="104" t="s">
        <v>23</v>
      </c>
      <c r="H6" s="104"/>
      <c r="I6" s="104"/>
      <c r="K6" s="9" t="s">
        <v>17</v>
      </c>
      <c r="L6" s="4">
        <v>24555</v>
      </c>
      <c r="M6" s="4">
        <v>397.5</v>
      </c>
      <c r="N6" s="4">
        <v>265</v>
      </c>
      <c r="O6" s="4">
        <v>380</v>
      </c>
      <c r="P6" s="4">
        <v>174</v>
      </c>
      <c r="Q6" s="4">
        <v>57.7</v>
      </c>
    </row>
    <row r="7" spans="2:17" ht="14.5" customHeight="1" x14ac:dyDescent="0.35">
      <c r="B7" s="4">
        <v>143</v>
      </c>
      <c r="C7" s="4" t="s">
        <v>129</v>
      </c>
      <c r="D7" s="10">
        <f>AVERAGE(M6:M11)*1000000</f>
        <v>854750000</v>
      </c>
      <c r="E7" s="4">
        <f>5*60+54</f>
        <v>354</v>
      </c>
      <c r="F7" s="4" t="s">
        <v>136</v>
      </c>
      <c r="G7" s="104" t="s">
        <v>142</v>
      </c>
      <c r="H7" s="104"/>
      <c r="I7" s="104"/>
      <c r="J7" s="5"/>
      <c r="K7" s="9" t="s">
        <v>12</v>
      </c>
      <c r="L7" s="4">
        <v>24795</v>
      </c>
      <c r="M7" s="4">
        <v>377.5</v>
      </c>
      <c r="N7" s="4">
        <v>264.5</v>
      </c>
      <c r="O7" s="4">
        <v>355</v>
      </c>
      <c r="P7" s="4">
        <v>171</v>
      </c>
      <c r="Q7" s="4">
        <v>62.3</v>
      </c>
    </row>
    <row r="8" spans="2:17" ht="14.5" customHeight="1" x14ac:dyDescent="0.35">
      <c r="B8" s="4">
        <v>149</v>
      </c>
      <c r="C8" s="4" t="s">
        <v>132</v>
      </c>
      <c r="D8" s="10">
        <f>AVERAGE(N6:N11)*1000000</f>
        <v>244500000</v>
      </c>
      <c r="E8" s="4">
        <f>12*60+8</f>
        <v>728</v>
      </c>
      <c r="F8" s="4" t="s">
        <v>137</v>
      </c>
      <c r="G8" s="104" t="s">
        <v>143</v>
      </c>
      <c r="H8" s="104"/>
      <c r="I8" s="104"/>
      <c r="K8" s="9" t="s">
        <v>13</v>
      </c>
      <c r="L8" s="4">
        <v>23875</v>
      </c>
      <c r="M8" s="4">
        <v>340.5</v>
      </c>
      <c r="N8" s="4">
        <v>241.5</v>
      </c>
      <c r="O8" s="4">
        <v>314.5</v>
      </c>
      <c r="P8" s="4">
        <v>165</v>
      </c>
      <c r="Q8" s="4">
        <v>68.900000000000006</v>
      </c>
    </row>
    <row r="9" spans="2:17" ht="14.5" customHeight="1" x14ac:dyDescent="0.35">
      <c r="B9" s="4">
        <v>151</v>
      </c>
      <c r="C9" s="4" t="s">
        <v>133</v>
      </c>
      <c r="D9" s="10">
        <f>AVERAGE(O6:O11)*1000000</f>
        <v>343916666.66666669</v>
      </c>
      <c r="E9" s="4">
        <f>4*60+7</f>
        <v>247</v>
      </c>
      <c r="F9" s="4" t="s">
        <v>138</v>
      </c>
      <c r="G9" s="104" t="s">
        <v>144</v>
      </c>
      <c r="H9" s="104"/>
      <c r="I9" s="104"/>
      <c r="K9" s="9" t="s">
        <v>14</v>
      </c>
      <c r="L9" s="4">
        <v>24640</v>
      </c>
      <c r="M9" s="4">
        <v>342.5</v>
      </c>
      <c r="N9" s="4">
        <v>235.5</v>
      </c>
      <c r="O9" s="4">
        <v>374</v>
      </c>
      <c r="P9" s="4">
        <v>172</v>
      </c>
      <c r="Q9" s="4">
        <v>72.900000000000006</v>
      </c>
    </row>
    <row r="10" spans="2:17" ht="14.5" customHeight="1" x14ac:dyDescent="0.35">
      <c r="B10" s="4">
        <v>259</v>
      </c>
      <c r="C10" s="4" t="s">
        <v>131</v>
      </c>
      <c r="D10" s="10">
        <f>AVERAGE(P6:P11)*1000000</f>
        <v>166333333.33333334</v>
      </c>
      <c r="E10" s="4">
        <f>3*60+17</f>
        <v>197</v>
      </c>
      <c r="F10" s="4" t="s">
        <v>139</v>
      </c>
      <c r="G10" s="104" t="s">
        <v>145</v>
      </c>
      <c r="H10" s="104"/>
      <c r="I10" s="104"/>
      <c r="K10" s="9" t="s">
        <v>15</v>
      </c>
      <c r="L10" s="4">
        <v>24230</v>
      </c>
      <c r="M10" s="4">
        <v>333</v>
      </c>
      <c r="N10" s="4">
        <v>226</v>
      </c>
      <c r="O10" s="4">
        <v>353.5</v>
      </c>
      <c r="P10" s="4">
        <v>159.5</v>
      </c>
      <c r="Q10" s="4">
        <v>76.099999999999994</v>
      </c>
    </row>
    <row r="11" spans="2:17" ht="15" customHeight="1" x14ac:dyDescent="0.35">
      <c r="B11" s="4">
        <v>887</v>
      </c>
      <c r="C11" s="4" t="s">
        <v>130</v>
      </c>
      <c r="D11" s="10">
        <f>AVERAGE(Q6:Q11)*1000000</f>
        <v>67383333.333333328</v>
      </c>
      <c r="E11" s="4">
        <f>6*60+3</f>
        <v>363</v>
      </c>
      <c r="F11" s="4" t="s">
        <v>140</v>
      </c>
      <c r="G11" s="104" t="s">
        <v>146</v>
      </c>
      <c r="H11" s="104"/>
      <c r="I11" s="104"/>
      <c r="K11" s="9" t="s">
        <v>16</v>
      </c>
      <c r="L11" s="4">
        <v>25680</v>
      </c>
      <c r="M11" s="4">
        <v>3337.5</v>
      </c>
      <c r="N11" s="4">
        <v>234.5</v>
      </c>
      <c r="O11" s="4">
        <v>286.5</v>
      </c>
      <c r="P11" s="4">
        <v>156.5</v>
      </c>
      <c r="Q11" s="4">
        <v>66.400000000000006</v>
      </c>
    </row>
    <row r="12" spans="2:17" ht="58" x14ac:dyDescent="0.35">
      <c r="B12" s="4" t="s">
        <v>4</v>
      </c>
      <c r="C12" s="25" t="s">
        <v>123</v>
      </c>
      <c r="D12" s="23" t="s">
        <v>134</v>
      </c>
      <c r="E12" s="4" t="s">
        <v>0</v>
      </c>
      <c r="F12" s="4" t="s">
        <v>0</v>
      </c>
      <c r="G12" s="4"/>
      <c r="H12" s="4"/>
      <c r="I12" s="4" t="s">
        <v>0</v>
      </c>
    </row>
    <row r="13" spans="2:17" ht="14.5" customHeight="1" x14ac:dyDescent="0.35">
      <c r="B13" s="3"/>
      <c r="D13" s="18"/>
    </row>
    <row r="14" spans="2:17" ht="14.5" customHeight="1" x14ac:dyDescent="0.35"/>
    <row r="15" spans="2:17" ht="14.5" customHeight="1" x14ac:dyDescent="0.35"/>
    <row r="16" spans="2:17" ht="14.5" customHeight="1" x14ac:dyDescent="0.35">
      <c r="C16" s="94" t="s">
        <v>124</v>
      </c>
      <c r="D16" s="94"/>
      <c r="E16" s="94"/>
      <c r="F16" s="94"/>
      <c r="G16" s="94"/>
      <c r="H16" s="94"/>
      <c r="I16" s="94"/>
    </row>
    <row r="17" spans="2:9" ht="58" x14ac:dyDescent="0.35">
      <c r="C17" s="24" t="s">
        <v>84</v>
      </c>
      <c r="D17" s="24" t="s">
        <v>225</v>
      </c>
      <c r="E17" s="24" t="s">
        <v>250</v>
      </c>
      <c r="F17" s="58" t="s">
        <v>89</v>
      </c>
      <c r="G17" s="24" t="s">
        <v>236</v>
      </c>
      <c r="H17" s="24" t="s">
        <v>99</v>
      </c>
      <c r="I17" s="24" t="s">
        <v>127</v>
      </c>
    </row>
    <row r="18" spans="2:9" ht="15" thickBot="1" x14ac:dyDescent="0.4">
      <c r="C18" s="10">
        <f>SUM(D6:D11)</f>
        <v>26306050000</v>
      </c>
      <c r="D18" s="34">
        <f>G18/C18/E18/60</f>
        <v>31.437939181291004</v>
      </c>
      <c r="E18" s="16">
        <f>'VoD websites'!E22</f>
        <v>375000</v>
      </c>
      <c r="F18" s="16">
        <f>E18*D18*60</f>
        <v>707353631.57904756</v>
      </c>
      <c r="G18" s="16">
        <f>I18*H18</f>
        <v>1.8607680000000004E+19</v>
      </c>
      <c r="H18" s="16">
        <f>'Video Categories'!D14</f>
        <v>8.7360000000000016E+19</v>
      </c>
      <c r="I18" s="29">
        <v>0.21299999999999999</v>
      </c>
    </row>
    <row r="19" spans="2:9" ht="29.5" thickTop="1" x14ac:dyDescent="0.35">
      <c r="B19" s="4" t="s">
        <v>4</v>
      </c>
      <c r="C19" s="15" t="s">
        <v>96</v>
      </c>
      <c r="D19" s="15" t="s">
        <v>226</v>
      </c>
      <c r="E19" s="15" t="s">
        <v>125</v>
      </c>
      <c r="F19" s="15" t="s">
        <v>91</v>
      </c>
      <c r="G19" s="15" t="s">
        <v>98</v>
      </c>
      <c r="H19" s="15" t="s">
        <v>98</v>
      </c>
      <c r="I19" s="15" t="s">
        <v>224</v>
      </c>
    </row>
    <row r="20" spans="2:9" ht="29" customHeight="1" x14ac:dyDescent="0.35">
      <c r="B20" s="4" t="s">
        <v>83</v>
      </c>
      <c r="C20" s="31" t="s">
        <v>220</v>
      </c>
      <c r="D20" s="55" t="s">
        <v>251</v>
      </c>
      <c r="E20" s="31" t="s">
        <v>233</v>
      </c>
      <c r="F20" s="59" t="s">
        <v>74</v>
      </c>
      <c r="G20" s="23" t="s">
        <v>74</v>
      </c>
      <c r="H20" s="31" t="s">
        <v>160</v>
      </c>
      <c r="I20" s="31" t="s">
        <v>175</v>
      </c>
    </row>
    <row r="22" spans="2:9" x14ac:dyDescent="0.35">
      <c r="D22" s="26"/>
    </row>
    <row r="23" spans="2:9" x14ac:dyDescent="0.35">
      <c r="D23" s="26"/>
    </row>
    <row r="24" spans="2:9" x14ac:dyDescent="0.35">
      <c r="D24" s="73"/>
    </row>
    <row r="25" spans="2:9" x14ac:dyDescent="0.35">
      <c r="C25" s="26"/>
    </row>
    <row r="26" spans="2:9" x14ac:dyDescent="0.35">
      <c r="D26" s="18"/>
    </row>
    <row r="27" spans="2:9" x14ac:dyDescent="0.35">
      <c r="E27" s="27"/>
    </row>
    <row r="28" spans="2:9" x14ac:dyDescent="0.35">
      <c r="E28" s="27"/>
    </row>
    <row r="29" spans="2:9" x14ac:dyDescent="0.35">
      <c r="E29" s="28"/>
    </row>
    <row r="31" spans="2:9" x14ac:dyDescent="0.35">
      <c r="E31" s="27"/>
    </row>
    <row r="32" spans="2:9" x14ac:dyDescent="0.35">
      <c r="E32" s="27"/>
    </row>
    <row r="34" spans="5:5" x14ac:dyDescent="0.35">
      <c r="E34" s="27"/>
    </row>
    <row r="35" spans="5:5" x14ac:dyDescent="0.35">
      <c r="E35" s="26"/>
    </row>
  </sheetData>
  <sortState xmlns:xlrd2="http://schemas.microsoft.com/office/spreadsheetml/2017/richdata2" ref="B5:C10">
    <sortCondition ref="B5:B10"/>
  </sortState>
  <mergeCells count="11">
    <mergeCell ref="C16:I16"/>
    <mergeCell ref="G8:I8"/>
    <mergeCell ref="G9:I9"/>
    <mergeCell ref="G10:I10"/>
    <mergeCell ref="G11:I11"/>
    <mergeCell ref="B2:C2"/>
    <mergeCell ref="K4:Q4"/>
    <mergeCell ref="G5:I5"/>
    <mergeCell ref="G6:I6"/>
    <mergeCell ref="G7:I7"/>
    <mergeCell ref="B4:I4"/>
  </mergeCells>
  <conditionalFormatting sqref="B6:H6 B12:I12 B11:C11 E11:H11 B7:C9 E7:H9 D7:D11 C18 G20 G19:H19 E18:E19 F18:G18">
    <cfRule type="expression" dxfId="26" priority="23">
      <formula>MOD(ROW(),2)</formula>
    </cfRule>
  </conditionalFormatting>
  <conditionalFormatting sqref="K6:K11 M6:Q11">
    <cfRule type="expression" dxfId="25" priority="22">
      <formula>MOD(ROW(),2)</formula>
    </cfRule>
  </conditionalFormatting>
  <conditionalFormatting sqref="B19:C19 B20">
    <cfRule type="expression" dxfId="24" priority="21">
      <formula>MOD(ROW(),2)</formula>
    </cfRule>
  </conditionalFormatting>
  <conditionalFormatting sqref="B10:C10 E10:H10">
    <cfRule type="expression" dxfId="23" priority="18">
      <formula>MOD(ROW(),2)</formula>
    </cfRule>
  </conditionalFormatting>
  <conditionalFormatting sqref="H18">
    <cfRule type="expression" dxfId="22" priority="19">
      <formula>MOD(ROW(),2)</formula>
    </cfRule>
  </conditionalFormatting>
  <conditionalFormatting sqref="B11:C11 E11:H11">
    <cfRule type="expression" dxfId="21" priority="17">
      <formula>MOD(ROW(),2)</formula>
    </cfRule>
  </conditionalFormatting>
  <conditionalFormatting sqref="D19">
    <cfRule type="expression" dxfId="20" priority="14">
      <formula>MOD(ROW(),2)</formula>
    </cfRule>
  </conditionalFormatting>
  <conditionalFormatting sqref="I19">
    <cfRule type="expression" dxfId="19" priority="13">
      <formula>MOD(ROW(),2)</formula>
    </cfRule>
  </conditionalFormatting>
  <conditionalFormatting sqref="I18">
    <cfRule type="expression" dxfId="18" priority="11">
      <formula>MOD(ROW(),2)</formula>
    </cfRule>
  </conditionalFormatting>
  <conditionalFormatting sqref="L6:L11">
    <cfRule type="expression" dxfId="17" priority="10">
      <formula>MOD(ROW(),2)</formula>
    </cfRule>
  </conditionalFormatting>
  <conditionalFormatting sqref="D18">
    <cfRule type="expression" dxfId="16" priority="9">
      <formula>MOD(ROW(),2)</formula>
    </cfRule>
  </conditionalFormatting>
  <conditionalFormatting sqref="H20">
    <cfRule type="expression" dxfId="15" priority="7">
      <formula>MOD(ROW(),2)</formula>
    </cfRule>
  </conditionalFormatting>
  <conditionalFormatting sqref="E20">
    <cfRule type="expression" dxfId="14" priority="5">
      <formula>MOD(ROW(),2)</formula>
    </cfRule>
  </conditionalFormatting>
  <conditionalFormatting sqref="C20">
    <cfRule type="expression" dxfId="13" priority="4">
      <formula>MOD(ROW(),2)</formula>
    </cfRule>
  </conditionalFormatting>
  <conditionalFormatting sqref="I20">
    <cfRule type="expression" dxfId="12" priority="3">
      <formula>MOD(ROW(),2)</formula>
    </cfRule>
  </conditionalFormatting>
  <conditionalFormatting sqref="D20">
    <cfRule type="expression" dxfId="11" priority="2">
      <formula>MOD(ROW(),2)</formula>
    </cfRule>
  </conditionalFormatting>
  <conditionalFormatting sqref="F19:F20">
    <cfRule type="expression" dxfId="1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5"/>
  <sheetViews>
    <sheetView tabSelected="1" zoomScaleNormal="100" workbookViewId="0">
      <selection activeCell="E42" sqref="E42"/>
    </sheetView>
  </sheetViews>
  <sheetFormatPr baseColWidth="10" defaultColWidth="8.7265625" defaultRowHeight="14.5" x14ac:dyDescent="0.35"/>
  <cols>
    <col min="1" max="1" width="3.453125" customWidth="1"/>
    <col min="2" max="2" width="22.90625" customWidth="1"/>
    <col min="3" max="4" width="23.6328125" customWidth="1"/>
    <col min="5" max="5" width="18.7265625" customWidth="1"/>
    <col min="6" max="7" width="23.6328125" customWidth="1"/>
    <col min="8" max="8" width="15.1796875" customWidth="1"/>
    <col min="9" max="9" width="29.90625" customWidth="1"/>
    <col min="10" max="10" width="15.6328125" customWidth="1"/>
  </cols>
  <sheetData>
    <row r="2" spans="2:10" ht="20" customHeight="1" x14ac:dyDescent="0.35">
      <c r="B2" s="94" t="s">
        <v>199</v>
      </c>
      <c r="C2" s="94"/>
      <c r="E2" s="27"/>
    </row>
    <row r="3" spans="2:10" x14ac:dyDescent="0.35">
      <c r="B3" s="2"/>
      <c r="C3" s="2"/>
      <c r="D3" s="2"/>
      <c r="E3" s="2"/>
      <c r="F3" s="2"/>
      <c r="G3" s="2"/>
      <c r="H3" s="2"/>
      <c r="I3" s="2"/>
    </row>
    <row r="4" spans="2:10" ht="15" customHeight="1" x14ac:dyDescent="0.35">
      <c r="B4" s="94" t="s">
        <v>244</v>
      </c>
      <c r="C4" s="94"/>
      <c r="D4" s="94"/>
      <c r="E4" s="94"/>
      <c r="F4" s="94"/>
      <c r="G4" s="94"/>
      <c r="H4" s="94"/>
      <c r="I4" s="94"/>
    </row>
    <row r="5" spans="2:10" ht="49" customHeight="1" x14ac:dyDescent="0.35">
      <c r="B5" s="36"/>
      <c r="C5" s="36" t="s">
        <v>201</v>
      </c>
      <c r="D5" s="36" t="s">
        <v>185</v>
      </c>
      <c r="E5" s="36" t="s">
        <v>180</v>
      </c>
      <c r="F5" s="36" t="s">
        <v>186</v>
      </c>
      <c r="G5" s="36" t="s">
        <v>298</v>
      </c>
      <c r="H5" s="103" t="s">
        <v>147</v>
      </c>
      <c r="I5" s="103"/>
    </row>
    <row r="6" spans="2:10" ht="29" x14ac:dyDescent="0.35">
      <c r="B6" s="35" t="s">
        <v>200</v>
      </c>
      <c r="C6" s="40">
        <f>SUM(D6:G6)</f>
        <v>1</v>
      </c>
      <c r="D6" s="41" t="s">
        <v>297</v>
      </c>
      <c r="E6" s="41">
        <f>'VoD websites'!H22</f>
        <v>0.33539999999999998</v>
      </c>
      <c r="F6" s="41">
        <f>'Tube websites'!I18</f>
        <v>0.21299999999999999</v>
      </c>
      <c r="G6" s="41">
        <f>(24.4+8.04+3.45+3.42+0.5)/100+(100-26.58-24.4-21.3-8.04-5.73-3.45-3.42-0.8-0.5-0.43)/100</f>
        <v>0.45160000000000006</v>
      </c>
      <c r="H6" s="106" t="s">
        <v>209</v>
      </c>
      <c r="I6" s="106"/>
      <c r="J6" s="5"/>
    </row>
    <row r="7" spans="2:10" ht="43.5" x14ac:dyDescent="0.35">
      <c r="B7" s="35" t="s">
        <v>202</v>
      </c>
      <c r="C7" s="16">
        <f>'Video Categories'!D14</f>
        <v>8.7360000000000016E+19</v>
      </c>
      <c r="D7" s="113"/>
      <c r="E7" s="16">
        <f>'VoD websites'!F22</f>
        <v>2.9300544000000004E+19</v>
      </c>
      <c r="F7" s="16">
        <f>'Tube websites'!G18</f>
        <v>1.8607680000000004E+19</v>
      </c>
      <c r="G7" s="16">
        <f>G6*C7</f>
        <v>3.9451776000000016E+19</v>
      </c>
      <c r="H7" s="106" t="s">
        <v>221</v>
      </c>
      <c r="I7" s="106"/>
    </row>
    <row r="8" spans="2:10" ht="43.5" x14ac:dyDescent="0.35">
      <c r="B8" s="35" t="s">
        <v>210</v>
      </c>
      <c r="C8" s="16">
        <f>SUM(D8:G8)</f>
        <v>3882666666666.668</v>
      </c>
      <c r="D8" s="113"/>
      <c r="E8" s="16">
        <f>E7/'VoD websites'!E22/60</f>
        <v>1302246400000.0002</v>
      </c>
      <c r="F8" s="16">
        <f>F7/'VoD websites'!E22/60</f>
        <v>827008000000.00012</v>
      </c>
      <c r="G8" s="16">
        <f>G7/'VoD websites'!E22/60</f>
        <v>1753412266666.6675</v>
      </c>
      <c r="H8" s="106" t="s">
        <v>234</v>
      </c>
      <c r="I8" s="106"/>
    </row>
    <row r="9" spans="2:10" ht="43.5" x14ac:dyDescent="0.35">
      <c r="B9" s="35" t="s">
        <v>240</v>
      </c>
      <c r="C9" s="16">
        <f>SUM(D9:G9)</f>
        <v>49779872635181.297</v>
      </c>
      <c r="D9" s="113"/>
      <c r="E9" s="16">
        <f>16696169281.8398*1000</f>
        <v>16696169281839.801</v>
      </c>
      <c r="F9" s="16">
        <f>10603112871.2936*1000</f>
        <v>10603112871293.6</v>
      </c>
      <c r="G9" s="16">
        <f>22480590482.0479*1000</f>
        <v>22480590482047.902</v>
      </c>
      <c r="H9" s="106" t="s">
        <v>218</v>
      </c>
      <c r="I9" s="106"/>
    </row>
    <row r="10" spans="2:10" ht="31" x14ac:dyDescent="0.35">
      <c r="B10" s="37" t="s">
        <v>214</v>
      </c>
      <c r="C10" s="102">
        <v>0.51900000000000002</v>
      </c>
      <c r="D10" s="102"/>
      <c r="E10" s="102"/>
      <c r="F10" s="102"/>
      <c r="G10" s="102"/>
      <c r="H10" s="106" t="s">
        <v>217</v>
      </c>
      <c r="I10" s="106"/>
    </row>
    <row r="11" spans="2:10" ht="45.5" x14ac:dyDescent="0.35">
      <c r="B11" s="35" t="s">
        <v>248</v>
      </c>
      <c r="C11" s="16">
        <f>SUM(D11:G11)</f>
        <v>25835753897.659096</v>
      </c>
      <c r="D11" s="113"/>
      <c r="E11" s="16">
        <f>E9/1000*$C$10</f>
        <v>8665311857.2748566</v>
      </c>
      <c r="F11" s="16">
        <f>F9/1000*$C$10</f>
        <v>5503015580.2013788</v>
      </c>
      <c r="G11" s="16">
        <f>G9/1000*$C$10</f>
        <v>11667426460.182861</v>
      </c>
      <c r="H11" s="106" t="s">
        <v>74</v>
      </c>
      <c r="I11" s="106"/>
    </row>
    <row r="12" spans="2:10" ht="130.5" x14ac:dyDescent="0.35">
      <c r="B12" s="35" t="s">
        <v>4</v>
      </c>
      <c r="C12" s="39" t="s">
        <v>204</v>
      </c>
      <c r="D12" s="39" t="s">
        <v>206</v>
      </c>
      <c r="E12" s="39" t="s">
        <v>205</v>
      </c>
      <c r="F12" s="39" t="s">
        <v>203</v>
      </c>
      <c r="G12" s="39" t="s">
        <v>296</v>
      </c>
      <c r="H12" s="104" t="s">
        <v>0</v>
      </c>
      <c r="I12" s="104"/>
    </row>
    <row r="13" spans="2:10" ht="14.5" customHeight="1" x14ac:dyDescent="0.35">
      <c r="B13" s="3"/>
      <c r="D13" s="18"/>
    </row>
    <row r="14" spans="2:10" ht="14.5" customHeight="1" x14ac:dyDescent="0.35"/>
    <row r="15" spans="2:10" ht="14.5" customHeight="1" x14ac:dyDescent="0.35">
      <c r="C15" s="94" t="s">
        <v>212</v>
      </c>
      <c r="D15" s="94"/>
      <c r="E15" s="94"/>
      <c r="F15" s="94"/>
      <c r="G15" s="94"/>
    </row>
    <row r="16" spans="2:10" ht="43.5" x14ac:dyDescent="0.35">
      <c r="C16" s="36" t="s">
        <v>211</v>
      </c>
      <c r="D16" s="38" t="s">
        <v>185</v>
      </c>
      <c r="E16" s="38" t="s">
        <v>180</v>
      </c>
      <c r="F16" s="38" t="s">
        <v>186</v>
      </c>
      <c r="G16" s="38" t="s">
        <v>298</v>
      </c>
    </row>
    <row r="17" spans="2:7" ht="43.5" x14ac:dyDescent="0.35">
      <c r="B17" s="37" t="s">
        <v>247</v>
      </c>
      <c r="C17" s="34">
        <f>SUM(D17:G17)</f>
        <v>597.35847162217556</v>
      </c>
      <c r="D17" s="114"/>
      <c r="E17" s="34">
        <f>E9*12/1000000000000</f>
        <v>200.35403138207764</v>
      </c>
      <c r="F17" s="34">
        <f>F9*12/1000000000000</f>
        <v>127.23735445552319</v>
      </c>
      <c r="G17" s="34">
        <f>G9*12/1000000000000</f>
        <v>269.76708578457482</v>
      </c>
    </row>
    <row r="18" spans="2:7" ht="46" thickBot="1" x14ac:dyDescent="0.4">
      <c r="B18" s="37" t="s">
        <v>249</v>
      </c>
      <c r="C18" s="34">
        <f>SUM(D18:G18)</f>
        <v>310.02904677190918</v>
      </c>
      <c r="D18" s="115"/>
      <c r="E18" s="34">
        <f>E11*12/1000000000</f>
        <v>103.98374228729828</v>
      </c>
      <c r="F18" s="34">
        <f>F11*12/1000000000</f>
        <v>66.036186962416551</v>
      </c>
      <c r="G18" s="34">
        <f>G11*12/1000000000</f>
        <v>140.00911752219434</v>
      </c>
    </row>
    <row r="19" spans="2:7" ht="15" customHeight="1" thickTop="1" x14ac:dyDescent="0.35">
      <c r="B19" s="42" t="s">
        <v>4</v>
      </c>
      <c r="C19" s="108" t="s">
        <v>0</v>
      </c>
      <c r="D19" s="108"/>
      <c r="E19" s="108"/>
      <c r="F19" s="108"/>
      <c r="G19" s="108"/>
    </row>
    <row r="20" spans="2:7" x14ac:dyDescent="0.35">
      <c r="B20" s="35" t="s">
        <v>83</v>
      </c>
      <c r="C20" s="107" t="s">
        <v>213</v>
      </c>
      <c r="D20" s="107"/>
      <c r="E20" s="107"/>
      <c r="F20" s="107"/>
      <c r="G20" s="107"/>
    </row>
    <row r="22" spans="2:7" x14ac:dyDescent="0.35">
      <c r="F22" s="26"/>
    </row>
    <row r="23" spans="2:7" x14ac:dyDescent="0.35">
      <c r="D23" s="53"/>
      <c r="E23" s="18"/>
    </row>
    <row r="24" spans="2:7" ht="29" customHeight="1" x14ac:dyDescent="0.35"/>
    <row r="26" spans="2:7" x14ac:dyDescent="0.35">
      <c r="D26" s="54"/>
    </row>
    <row r="27" spans="2:7" x14ac:dyDescent="0.35">
      <c r="D27" s="52"/>
      <c r="E27" s="27"/>
    </row>
    <row r="28" spans="2:7" x14ac:dyDescent="0.35">
      <c r="E28" s="27"/>
    </row>
    <row r="29" spans="2:7" x14ac:dyDescent="0.35">
      <c r="E29" s="28"/>
    </row>
    <row r="31" spans="2:7" x14ac:dyDescent="0.35">
      <c r="E31" s="27"/>
    </row>
    <row r="32" spans="2:7" x14ac:dyDescent="0.35">
      <c r="E32" s="27"/>
    </row>
    <row r="34" spans="5:5" x14ac:dyDescent="0.35">
      <c r="E34" s="27"/>
    </row>
    <row r="35" spans="5:5" x14ac:dyDescent="0.35">
      <c r="E35" s="26"/>
    </row>
  </sheetData>
  <mergeCells count="14">
    <mergeCell ref="C20:G20"/>
    <mergeCell ref="C19:G19"/>
    <mergeCell ref="C10:G10"/>
    <mergeCell ref="H10:I10"/>
    <mergeCell ref="H12:I12"/>
    <mergeCell ref="H8:I8"/>
    <mergeCell ref="H9:I9"/>
    <mergeCell ref="H11:I11"/>
    <mergeCell ref="C15:G15"/>
    <mergeCell ref="B2:C2"/>
    <mergeCell ref="B4:I4"/>
    <mergeCell ref="H5:I5"/>
    <mergeCell ref="H6:I6"/>
    <mergeCell ref="H7:I7"/>
  </mergeCells>
  <conditionalFormatting sqref="B12:H12 C17:G18 B10:C11 H10 D11:G11 B6:I9">
    <cfRule type="expression" dxfId="9" priority="20">
      <formula>MOD(ROW(),2)</formula>
    </cfRule>
  </conditionalFormatting>
  <conditionalFormatting sqref="B19:C20">
    <cfRule type="expression" dxfId="8" priority="18">
      <formula>MOD(ROW(),2)</formula>
    </cfRule>
  </conditionalFormatting>
  <conditionalFormatting sqref="H11:I11">
    <cfRule type="expression" dxfId="7" priority="16">
      <formula>MOD(ROW(),2)</formula>
    </cfRule>
  </conditionalFormatting>
  <conditionalFormatting sqref="B18">
    <cfRule type="expression" dxfId="6" priority="6">
      <formula>MOD(ROW(),2)</formula>
    </cfRule>
  </conditionalFormatting>
  <conditionalFormatting sqref="B17">
    <cfRule type="expression" dxfId="5" priority="5">
      <formula>MOD(ROW(),2)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3"/>
  <sheetViews>
    <sheetView topLeftCell="A2" zoomScale="90" zoomScaleNormal="90" workbookViewId="0">
      <selection activeCell="D17" sqref="D17:F17"/>
    </sheetView>
  </sheetViews>
  <sheetFormatPr baseColWidth="10" defaultColWidth="8.7265625" defaultRowHeight="14.5" x14ac:dyDescent="0.35"/>
  <cols>
    <col min="2" max="2" width="10.6328125" customWidth="1"/>
    <col min="3" max="3" width="30.6328125" customWidth="1"/>
    <col min="4" max="5" width="23.6328125" customWidth="1"/>
    <col min="6" max="6" width="85.54296875" customWidth="1"/>
    <col min="7" max="7" width="6.453125" customWidth="1"/>
  </cols>
  <sheetData>
    <row r="2" spans="2:7" x14ac:dyDescent="0.35">
      <c r="B2" s="2"/>
      <c r="C2" s="2"/>
      <c r="D2" s="2"/>
      <c r="E2" s="2"/>
      <c r="F2" s="2"/>
      <c r="G2" s="1"/>
    </row>
    <row r="3" spans="2:7" ht="15" customHeight="1" x14ac:dyDescent="0.35">
      <c r="B3" s="94" t="s">
        <v>147</v>
      </c>
      <c r="C3" s="94"/>
      <c r="D3" s="94"/>
      <c r="E3" s="94"/>
      <c r="F3" s="94"/>
      <c r="G3" s="1"/>
    </row>
    <row r="4" spans="2:7" ht="49" customHeight="1" x14ac:dyDescent="0.35">
      <c r="B4" s="22" t="s">
        <v>149</v>
      </c>
      <c r="C4" s="22" t="s">
        <v>83</v>
      </c>
      <c r="D4" s="103" t="s">
        <v>148</v>
      </c>
      <c r="E4" s="103"/>
      <c r="F4" s="103"/>
    </row>
    <row r="5" spans="2:7" ht="14.5" customHeight="1" x14ac:dyDescent="0.35">
      <c r="B5" s="4" t="s">
        <v>153</v>
      </c>
      <c r="C5" s="31" t="s">
        <v>155</v>
      </c>
      <c r="D5" s="112" t="s">
        <v>156</v>
      </c>
      <c r="E5" s="112"/>
      <c r="F5" s="112"/>
    </row>
    <row r="6" spans="2:7" ht="14.5" customHeight="1" x14ac:dyDescent="0.35">
      <c r="B6" s="4" t="s">
        <v>154</v>
      </c>
      <c r="C6" s="31" t="s">
        <v>170</v>
      </c>
      <c r="D6" s="110" t="s">
        <v>198</v>
      </c>
      <c r="E6" s="110"/>
      <c r="F6" s="110"/>
      <c r="G6" s="5"/>
    </row>
    <row r="7" spans="2:7" ht="14.5" customHeight="1" x14ac:dyDescent="0.35">
      <c r="B7" s="4" t="s">
        <v>157</v>
      </c>
      <c r="C7" s="31" t="s">
        <v>159</v>
      </c>
      <c r="D7" s="110" t="s">
        <v>158</v>
      </c>
      <c r="E7" s="110"/>
      <c r="F7" s="110"/>
    </row>
    <row r="8" spans="2:7" ht="29.5" customHeight="1" x14ac:dyDescent="0.35">
      <c r="B8" s="4" t="s">
        <v>167</v>
      </c>
      <c r="C8" s="33" t="s">
        <v>168</v>
      </c>
      <c r="D8" s="104" t="s">
        <v>166</v>
      </c>
      <c r="E8" s="104"/>
      <c r="F8" s="104"/>
    </row>
    <row r="9" spans="2:7" ht="29.5" customHeight="1" x14ac:dyDescent="0.35">
      <c r="B9" s="4" t="s">
        <v>171</v>
      </c>
      <c r="C9" s="31" t="s">
        <v>169</v>
      </c>
      <c r="D9" s="106" t="s">
        <v>174</v>
      </c>
      <c r="E9" s="106"/>
      <c r="F9" s="106"/>
    </row>
    <row r="10" spans="2:7" ht="14.5" customHeight="1" x14ac:dyDescent="0.35">
      <c r="B10" s="4" t="s">
        <v>172</v>
      </c>
      <c r="C10" s="31" t="s">
        <v>164</v>
      </c>
      <c r="D10" s="112" t="s">
        <v>163</v>
      </c>
      <c r="E10" s="112"/>
      <c r="F10" s="112"/>
    </row>
    <row r="11" spans="2:7" ht="14.5" customHeight="1" x14ac:dyDescent="0.35">
      <c r="B11" s="4" t="s">
        <v>173</v>
      </c>
      <c r="C11" s="31" t="s">
        <v>165</v>
      </c>
      <c r="D11" s="112" t="s">
        <v>162</v>
      </c>
      <c r="E11" s="112"/>
      <c r="F11" s="112"/>
    </row>
    <row r="12" spans="2:7" ht="14.5" customHeight="1" x14ac:dyDescent="0.35">
      <c r="B12" s="37" t="s">
        <v>207</v>
      </c>
      <c r="C12" s="31" t="s">
        <v>208</v>
      </c>
      <c r="D12" s="111" t="s">
        <v>216</v>
      </c>
      <c r="E12" s="111"/>
      <c r="F12" s="111"/>
    </row>
    <row r="13" spans="2:7" ht="14.5" customHeight="1" x14ac:dyDescent="0.35">
      <c r="B13" s="37" t="s">
        <v>215</v>
      </c>
      <c r="C13" s="31" t="s">
        <v>228</v>
      </c>
      <c r="D13" s="111" t="s">
        <v>245</v>
      </c>
      <c r="E13" s="111"/>
      <c r="F13" s="111"/>
    </row>
    <row r="14" spans="2:7" ht="31.5" customHeight="1" x14ac:dyDescent="0.35">
      <c r="B14" s="37" t="s">
        <v>219</v>
      </c>
      <c r="C14" s="31" t="s">
        <v>229</v>
      </c>
      <c r="D14" s="104" t="s">
        <v>246</v>
      </c>
      <c r="E14" s="111"/>
      <c r="F14" s="111"/>
    </row>
    <row r="15" spans="2:7" ht="28.5" customHeight="1" x14ac:dyDescent="0.35">
      <c r="B15" s="43" t="s">
        <v>222</v>
      </c>
      <c r="C15" s="31" t="s">
        <v>230</v>
      </c>
      <c r="D15" s="109" t="s">
        <v>223</v>
      </c>
      <c r="E15" s="109"/>
      <c r="F15" s="109"/>
    </row>
    <row r="16" spans="2:7" ht="28.5" customHeight="1" x14ac:dyDescent="0.35">
      <c r="B16" s="43" t="s">
        <v>227</v>
      </c>
      <c r="C16" s="31" t="s">
        <v>231</v>
      </c>
      <c r="D16" s="104" t="s">
        <v>232</v>
      </c>
      <c r="E16" s="109"/>
      <c r="F16" s="109"/>
    </row>
    <row r="17" spans="2:6" ht="28.5" customHeight="1" x14ac:dyDescent="0.35">
      <c r="B17" s="61" t="s">
        <v>267</v>
      </c>
      <c r="C17" s="63" t="s">
        <v>268</v>
      </c>
      <c r="D17" s="109" t="s">
        <v>269</v>
      </c>
      <c r="E17" s="109"/>
      <c r="F17" s="109"/>
    </row>
    <row r="23" spans="2:6" ht="29" customHeight="1" x14ac:dyDescent="0.35"/>
  </sheetData>
  <mergeCells count="15">
    <mergeCell ref="D17:F17"/>
    <mergeCell ref="D7:F7"/>
    <mergeCell ref="D13:F13"/>
    <mergeCell ref="D12:F12"/>
    <mergeCell ref="B3:F3"/>
    <mergeCell ref="D4:F4"/>
    <mergeCell ref="D5:F5"/>
    <mergeCell ref="D6:F6"/>
    <mergeCell ref="D10:F10"/>
    <mergeCell ref="D15:F15"/>
    <mergeCell ref="D16:F16"/>
    <mergeCell ref="D14:F14"/>
    <mergeCell ref="D11:F11"/>
    <mergeCell ref="D8:F8"/>
    <mergeCell ref="D9:F9"/>
  </mergeCells>
  <conditionalFormatting sqref="D6:E7 B9:E9 D8 B5:E5 B10:D16 B6:C8">
    <cfRule type="expression" dxfId="4" priority="15">
      <formula>MOD(ROW(),2)</formula>
    </cfRule>
  </conditionalFormatting>
  <conditionalFormatting sqref="B9:C9">
    <cfRule type="expression" dxfId="3" priority="9">
      <formula>MOD(ROW(),2)</formula>
    </cfRule>
  </conditionalFormatting>
  <conditionalFormatting sqref="B17:C17">
    <cfRule type="expression" dxfId="2" priority="2">
      <formula>MOD(ROW(),2)</formula>
    </cfRule>
  </conditionalFormatting>
  <conditionalFormatting sqref="D17">
    <cfRule type="expression" dxfId="1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Video Categories</vt:lpstr>
      <vt:lpstr>Adult websites</vt:lpstr>
      <vt:lpstr>VoD websites</vt:lpstr>
      <vt:lpstr>Tube websites</vt:lpstr>
      <vt:lpstr>CO2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2023-06-16T14:08:47Z</dcterms:modified>
</cp:coreProperties>
</file>