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1.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5.xml" ContentType="application/vnd.openxmlformats-officedocument.drawing+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8.xml" ContentType="application/vnd.openxmlformats-officedocument.drawing+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9.xml" ContentType="application/vnd.openxmlformats-officedocument.drawing+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0.xml" ContentType="application/vnd.openxmlformats-officedocument.drawing+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mc:AlternateContent xmlns:mc="http://schemas.openxmlformats.org/markup-compatibility/2006">
    <mc:Choice Requires="x15">
      <x15ac:absPath xmlns:x15ac="http://schemas.microsoft.com/office/spreadsheetml/2010/11/ac" url="/Users/Alan/Desktop/EXCEL EN LIGNE/"/>
    </mc:Choice>
  </mc:AlternateContent>
  <xr:revisionPtr revIDLastSave="0" documentId="13_ncr:1_{4195E282-F936-6E49-B525-017E72699998}" xr6:coauthVersionLast="47" xr6:coauthVersionMax="47" xr10:uidLastSave="{00000000-0000-0000-0000-000000000000}"/>
  <bookViews>
    <workbookView xWindow="0" yWindow="500" windowWidth="25600" windowHeight="14260" xr2:uid="{00000000-000D-0000-FFFF-FFFF00000000}"/>
  </bookViews>
  <sheets>
    <sheet name="Fiche d'identité" sheetId="3" r:id="rId1"/>
    <sheet name="Résultat" sheetId="29" r:id="rId2"/>
    <sheet name="1. Infrastructures " sheetId="4" r:id="rId3"/>
    <sheet name="Fiche levier - 1" sheetId="27" r:id="rId4"/>
    <sheet name="2. Energie " sheetId="5" r:id="rId5"/>
    <sheet name="Fiche levier - 2" sheetId="21" r:id="rId6"/>
    <sheet name="3.1 - Déplacement match " sheetId="6" r:id="rId7"/>
    <sheet name="Fiche levier - 3.1" sheetId="25" r:id="rId8"/>
    <sheet name="3.2 - Déplacement entraînement" sheetId="7" r:id="rId9"/>
    <sheet name="Fiche levier - 3.2" sheetId="22" r:id="rId10"/>
    <sheet name="4. Articles de sport" sheetId="17" r:id="rId11"/>
    <sheet name="Fiche levier - 4" sheetId="26" r:id="rId12"/>
    <sheet name="5. Alimentaire" sheetId="8" r:id="rId13"/>
    <sheet name="Fiche levier - 5" sheetId="24" r:id="rId14"/>
    <sheet name="6. Déchets" sheetId="30" r:id="rId15"/>
    <sheet name="Fiche levier - 6" sheetId="31" r:id="rId16"/>
    <sheet name="ANNEXE A" sheetId="20" r:id="rId17"/>
    <sheet name="ANNEXE B" sheetId="32" r:id="rId18"/>
  </sheets>
  <externalReferences>
    <externalReference r:id="rId19"/>
  </externalReferences>
  <definedNames>
    <definedName name="_xlnm._FilterDatabase" localSheetId="2" hidden="1">'1. Infrastructures '!$B$170:$C$179</definedName>
    <definedName name="_xlnm._FilterDatabase" localSheetId="4" hidden="1">'2. Energie '!$B$225:$D$231</definedName>
    <definedName name="_xlnm._FilterDatabase" localSheetId="10" hidden="1">'4. Articles de sport'!$R$187:$AE$187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D141" i="29" l="1"/>
  <c r="AD142" i="29"/>
  <c r="AD143" i="29"/>
  <c r="AE132" i="29"/>
  <c r="AE145" i="29" s="1"/>
  <c r="AE125" i="29"/>
  <c r="AE137" i="29" s="1"/>
  <c r="AD132" i="29"/>
  <c r="AD145" i="29" s="1"/>
  <c r="AD125" i="29"/>
  <c r="AD137" i="29" s="1"/>
  <c r="AE124" i="29"/>
  <c r="AE136" i="29" s="1"/>
  <c r="AF124" i="29"/>
  <c r="AF136" i="29" s="1"/>
  <c r="D211" i="29" l="1"/>
  <c r="C211" i="29"/>
  <c r="C179" i="29"/>
  <c r="D179" i="29" s="1"/>
  <c r="B31" i="29"/>
  <c r="C102" i="27" l="1"/>
  <c r="D102" i="27" s="1"/>
  <c r="C101" i="27"/>
  <c r="D101" i="27" s="1"/>
  <c r="D97" i="27"/>
  <c r="C97" i="27"/>
  <c r="C82" i="27"/>
  <c r="C64" i="27"/>
  <c r="B64" i="27"/>
  <c r="C63" i="27"/>
  <c r="B63" i="27"/>
  <c r="C62" i="27"/>
  <c r="C71" i="27" s="1"/>
  <c r="B62" i="27"/>
  <c r="C61" i="27"/>
  <c r="C77" i="27" s="1"/>
  <c r="B61" i="27"/>
  <c r="C29" i="4"/>
  <c r="B24" i="26"/>
  <c r="B25" i="26"/>
  <c r="B26" i="26"/>
  <c r="B28" i="26"/>
  <c r="C68" i="17"/>
  <c r="C69" i="17"/>
  <c r="C125" i="17"/>
  <c r="C116" i="17"/>
  <c r="C117" i="17"/>
  <c r="C118" i="17"/>
  <c r="C119" i="17"/>
  <c r="C120" i="17"/>
  <c r="C121" i="17"/>
  <c r="C122" i="17"/>
  <c r="C123" i="17"/>
  <c r="C124" i="17"/>
  <c r="C115" i="17"/>
  <c r="C114" i="17"/>
  <c r="C112" i="17"/>
  <c r="C113" i="17"/>
  <c r="C111" i="17"/>
  <c r="C308" i="6"/>
  <c r="C309" i="6" s="1"/>
  <c r="D308" i="6"/>
  <c r="D306" i="6"/>
  <c r="C266" i="6"/>
  <c r="C255" i="6"/>
  <c r="C305" i="6" s="1"/>
  <c r="C307" i="6" s="1"/>
  <c r="C254" i="6"/>
  <c r="C270" i="6" s="1"/>
  <c r="C272" i="6" s="1"/>
  <c r="C253" i="6"/>
  <c r="C304" i="6" s="1"/>
  <c r="C306" i="6" s="1"/>
  <c r="C252" i="6"/>
  <c r="C269" i="6" s="1"/>
  <c r="B212" i="29"/>
  <c r="B213" i="29"/>
  <c r="B214" i="29"/>
  <c r="B215" i="29"/>
  <c r="B216" i="29"/>
  <c r="B217" i="29"/>
  <c r="B218" i="29"/>
  <c r="E211" i="29"/>
  <c r="B202" i="29"/>
  <c r="B211" i="29" s="1"/>
  <c r="D190" i="29"/>
  <c r="B191" i="29"/>
  <c r="B192" i="29"/>
  <c r="B193" i="29"/>
  <c r="B194" i="29"/>
  <c r="B195" i="29"/>
  <c r="B196" i="29"/>
  <c r="B197" i="29"/>
  <c r="B198" i="29"/>
  <c r="C190" i="29"/>
  <c r="B190" i="29"/>
  <c r="D180" i="29"/>
  <c r="D181" i="29"/>
  <c r="D182" i="29"/>
  <c r="D183" i="29"/>
  <c r="D184" i="29"/>
  <c r="D185" i="29"/>
  <c r="D186" i="29"/>
  <c r="C173" i="22"/>
  <c r="C144" i="17"/>
  <c r="B125" i="17"/>
  <c r="E125" i="17"/>
  <c r="E121" i="17"/>
  <c r="E116" i="17"/>
  <c r="E117" i="17"/>
  <c r="E118" i="17"/>
  <c r="E119" i="17"/>
  <c r="E120" i="17"/>
  <c r="E122" i="17"/>
  <c r="E123" i="17"/>
  <c r="E124" i="17"/>
  <c r="E115" i="17"/>
  <c r="E112" i="17"/>
  <c r="E113" i="17"/>
  <c r="E114" i="17"/>
  <c r="E111" i="17"/>
  <c r="B118" i="17"/>
  <c r="B119" i="17"/>
  <c r="B120" i="17"/>
  <c r="B121" i="17"/>
  <c r="B122" i="17"/>
  <c r="B123" i="17"/>
  <c r="B124" i="17"/>
  <c r="B116" i="17"/>
  <c r="B117" i="17"/>
  <c r="B115" i="17"/>
  <c r="B112" i="17"/>
  <c r="B113" i="17"/>
  <c r="B114" i="17"/>
  <c r="B111" i="17"/>
  <c r="E103" i="17"/>
  <c r="E104" i="17"/>
  <c r="E102" i="17"/>
  <c r="C93" i="17"/>
  <c r="E93" i="17"/>
  <c r="E94" i="17"/>
  <c r="E95" i="17"/>
  <c r="E92" i="17"/>
  <c r="E91" i="17"/>
  <c r="E90" i="17"/>
  <c r="E89" i="17"/>
  <c r="E87" i="17"/>
  <c r="E88" i="17"/>
  <c r="E86" i="17"/>
  <c r="C103" i="17"/>
  <c r="C104" i="17"/>
  <c r="C102" i="17"/>
  <c r="B103" i="17"/>
  <c r="B104" i="17"/>
  <c r="B102" i="17"/>
  <c r="C87" i="17"/>
  <c r="C88" i="17"/>
  <c r="C89" i="17"/>
  <c r="C90" i="17"/>
  <c r="C91" i="17"/>
  <c r="C92" i="17"/>
  <c r="C94" i="17"/>
  <c r="C95" i="17"/>
  <c r="C86" i="17"/>
  <c r="B87" i="17"/>
  <c r="B88" i="17"/>
  <c r="B89" i="17"/>
  <c r="B90" i="17"/>
  <c r="B91" i="17"/>
  <c r="B92" i="17"/>
  <c r="B93" i="17"/>
  <c r="B94" i="17"/>
  <c r="B95" i="17"/>
  <c r="B86" i="17"/>
  <c r="F201" i="22"/>
  <c r="B200" i="22"/>
  <c r="B202" i="22"/>
  <c r="B203" i="22"/>
  <c r="B204" i="22"/>
  <c r="U31" i="21"/>
  <c r="T31" i="21"/>
  <c r="S33" i="21"/>
  <c r="S34" i="21"/>
  <c r="S32" i="21"/>
  <c r="H202" i="22"/>
  <c r="H203" i="22"/>
  <c r="H205" i="22"/>
  <c r="H201" i="22"/>
  <c r="L202" i="22"/>
  <c r="B210" i="22"/>
  <c r="B211" i="22"/>
  <c r="B213" i="22"/>
  <c r="C209" i="22"/>
  <c r="G209" i="22"/>
  <c r="C83" i="27" l="1"/>
  <c r="C85" i="27"/>
  <c r="D103" i="27"/>
  <c r="C103" i="27"/>
  <c r="C297" i="6"/>
  <c r="C296" i="6"/>
  <c r="F124" i="7" l="1"/>
  <c r="F129" i="7"/>
  <c r="F133" i="7"/>
  <c r="B662" i="6"/>
  <c r="D662" i="6"/>
  <c r="F662" i="6"/>
  <c r="G663" i="6"/>
  <c r="C663" i="6"/>
  <c r="D663" i="6"/>
  <c r="E663" i="6"/>
  <c r="F663" i="6"/>
  <c r="B663" i="6"/>
  <c r="C645" i="6"/>
  <c r="C643" i="6"/>
  <c r="C646" i="6"/>
  <c r="C647" i="6"/>
  <c r="E611" i="6"/>
  <c r="C611" i="6"/>
  <c r="D611" i="6"/>
  <c r="B610" i="6"/>
  <c r="B611" i="6"/>
  <c r="B609" i="6"/>
  <c r="D579" i="6"/>
  <c r="D578" i="6"/>
  <c r="D580" i="6"/>
  <c r="D577" i="6"/>
  <c r="D608" i="6" s="1"/>
  <c r="E579" i="6"/>
  <c r="C580" i="6"/>
  <c r="E580" i="6"/>
  <c r="F580" i="6"/>
  <c r="C579" i="6"/>
  <c r="F579" i="6"/>
  <c r="C578" i="6"/>
  <c r="F578" i="6"/>
  <c r="E578" i="6"/>
  <c r="C577" i="6"/>
  <c r="C608" i="6" s="1"/>
  <c r="F577" i="6"/>
  <c r="F608" i="6" s="1"/>
  <c r="E577" i="6"/>
  <c r="E608" i="6" s="1"/>
  <c r="D271" i="17"/>
  <c r="E271" i="17"/>
  <c r="F271" i="17"/>
  <c r="G271" i="17"/>
  <c r="H271" i="17"/>
  <c r="D269" i="17"/>
  <c r="E269" i="17"/>
  <c r="F269" i="17"/>
  <c r="G269" i="17"/>
  <c r="H269" i="17"/>
  <c r="C269" i="17"/>
  <c r="C267" i="17"/>
  <c r="H267" i="17"/>
  <c r="D267" i="17"/>
  <c r="E267" i="17"/>
  <c r="F267" i="17"/>
  <c r="G267" i="17"/>
  <c r="B34" i="17"/>
  <c r="B49" i="7"/>
  <c r="C159" i="25"/>
  <c r="C151" i="25"/>
  <c r="C143" i="25"/>
  <c r="C565" i="6"/>
  <c r="C158" i="25" s="1"/>
  <c r="C559" i="6"/>
  <c r="C150" i="25" s="1"/>
  <c r="C553" i="6"/>
  <c r="C142" i="25" s="1"/>
  <c r="C113" i="8"/>
  <c r="C112" i="8"/>
  <c r="C55" i="24"/>
  <c r="C54" i="24"/>
  <c r="C57" i="24"/>
  <c r="D65" i="8"/>
  <c r="E139" i="8" s="1"/>
  <c r="D64" i="8"/>
  <c r="E138" i="8" s="1"/>
  <c r="E38" i="8"/>
  <c r="E39" i="8"/>
  <c r="I269" i="17" l="1"/>
  <c r="E270" i="17" s="1"/>
  <c r="D144" i="25"/>
  <c r="I267" i="17"/>
  <c r="D268" i="17" s="1"/>
  <c r="B35" i="8"/>
  <c r="B57" i="7"/>
  <c r="B61" i="7"/>
  <c r="B53" i="7"/>
  <c r="C57" i="7"/>
  <c r="C58" i="7"/>
  <c r="C59" i="7"/>
  <c r="C60" i="7"/>
  <c r="C61" i="7"/>
  <c r="C62" i="7"/>
  <c r="C63" i="7"/>
  <c r="C53" i="7"/>
  <c r="C54" i="7"/>
  <c r="C55" i="7"/>
  <c r="C56" i="7"/>
  <c r="C50" i="7"/>
  <c r="C51" i="7"/>
  <c r="C52" i="7"/>
  <c r="C49" i="7"/>
  <c r="D270" i="17" l="1"/>
  <c r="I270" i="17"/>
  <c r="C270" i="17"/>
  <c r="F270" i="17"/>
  <c r="H270" i="17"/>
  <c r="G270" i="17"/>
  <c r="F268" i="17"/>
  <c r="E268" i="17"/>
  <c r="H268" i="17"/>
  <c r="G268" i="17"/>
  <c r="I268" i="17"/>
  <c r="C268" i="17"/>
  <c r="B32" i="29"/>
  <c r="B44" i="29" s="1"/>
  <c r="B33" i="29"/>
  <c r="B45" i="29" s="1"/>
  <c r="B34" i="29"/>
  <c r="B46" i="29" s="1"/>
  <c r="B36" i="29"/>
  <c r="B48" i="29" s="1"/>
  <c r="B35" i="29"/>
  <c r="B47" i="29" s="1"/>
  <c r="B37" i="29"/>
  <c r="B49" i="29" s="1"/>
  <c r="B43" i="29"/>
  <c r="C33" i="7"/>
  <c r="J189" i="17"/>
  <c r="E35" i="17" s="1"/>
  <c r="J190" i="17"/>
  <c r="E36" i="17" s="1"/>
  <c r="J191" i="17"/>
  <c r="E37" i="17" s="1"/>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188" i="17"/>
  <c r="E34" i="17" s="1"/>
  <c r="C229" i="17" l="1"/>
  <c r="C271" i="17"/>
  <c r="D15" i="32"/>
  <c r="C15" i="32"/>
  <c r="I271" i="17" l="1"/>
  <c r="E159" i="25"/>
  <c r="C55" i="17"/>
  <c r="C56" i="17"/>
  <c r="C47" i="17"/>
  <c r="C43" i="17"/>
  <c r="C54" i="17"/>
  <c r="B54" i="17"/>
  <c r="C34" i="17"/>
  <c r="E70" i="17"/>
  <c r="E71" i="17"/>
  <c r="E72" i="17"/>
  <c r="E73" i="17"/>
  <c r="E74" i="17"/>
  <c r="E75" i="17"/>
  <c r="E76" i="17"/>
  <c r="E77" i="17"/>
  <c r="E69" i="17"/>
  <c r="E68" i="17"/>
  <c r="E64" i="17"/>
  <c r="E65" i="17"/>
  <c r="E66" i="17"/>
  <c r="E67" i="17"/>
  <c r="E63" i="17"/>
  <c r="C70" i="17"/>
  <c r="C71" i="17"/>
  <c r="C72" i="17"/>
  <c r="C73" i="17"/>
  <c r="C74" i="17"/>
  <c r="C75" i="17"/>
  <c r="C77" i="17"/>
  <c r="B77" i="17"/>
  <c r="B75" i="17"/>
  <c r="B76" i="17"/>
  <c r="B73" i="17"/>
  <c r="B74" i="17"/>
  <c r="B70" i="17"/>
  <c r="B71" i="17"/>
  <c r="B72" i="17"/>
  <c r="B69" i="17"/>
  <c r="B68" i="17"/>
  <c r="B64" i="17"/>
  <c r="B65" i="17"/>
  <c r="B66" i="17"/>
  <c r="B67" i="17"/>
  <c r="B63" i="17"/>
  <c r="E55" i="17"/>
  <c r="E56" i="17"/>
  <c r="E54" i="17"/>
  <c r="B55" i="17"/>
  <c r="B56" i="17"/>
  <c r="E38" i="17"/>
  <c r="C230" i="17" s="1"/>
  <c r="E39" i="17"/>
  <c r="E40" i="17"/>
  <c r="E41" i="17"/>
  <c r="E42" i="17"/>
  <c r="E43" i="17"/>
  <c r="E44" i="17"/>
  <c r="E45" i="17"/>
  <c r="E46" i="17"/>
  <c r="E47" i="17"/>
  <c r="C227" i="17" s="1"/>
  <c r="C46" i="17"/>
  <c r="C35" i="17"/>
  <c r="C36" i="17"/>
  <c r="C37" i="17"/>
  <c r="C38" i="17"/>
  <c r="C39" i="17"/>
  <c r="C40" i="17"/>
  <c r="C41" i="17"/>
  <c r="C42" i="17"/>
  <c r="C44" i="17"/>
  <c r="C45" i="17"/>
  <c r="B35" i="17"/>
  <c r="B36" i="17"/>
  <c r="B37" i="17"/>
  <c r="B38" i="17"/>
  <c r="B39" i="17"/>
  <c r="B40" i="17"/>
  <c r="B240" i="17" s="1"/>
  <c r="B27" i="26" s="1"/>
  <c r="B41" i="17"/>
  <c r="B42" i="17"/>
  <c r="B43" i="17"/>
  <c r="B44" i="17"/>
  <c r="B45" i="17"/>
  <c r="B46" i="17"/>
  <c r="B47" i="17"/>
  <c r="C228" i="17" l="1"/>
  <c r="C226" i="17"/>
  <c r="I272" i="17"/>
  <c r="D272" i="17"/>
  <c r="E272" i="17"/>
  <c r="F272" i="17"/>
  <c r="H272" i="17"/>
  <c r="G272" i="17"/>
  <c r="C272" i="17"/>
  <c r="E87" i="26"/>
  <c r="E88" i="26"/>
  <c r="E89" i="26"/>
  <c r="E90" i="26"/>
  <c r="E91" i="26"/>
  <c r="F92" i="26"/>
  <c r="C92" i="26"/>
  <c r="D92" i="26"/>
  <c r="D160" i="25"/>
  <c r="E160" i="25"/>
  <c r="F160" i="25"/>
  <c r="D158" i="25"/>
  <c r="G158" i="25" s="1"/>
  <c r="E158" i="25"/>
  <c r="F158" i="25"/>
  <c r="D159" i="25"/>
  <c r="G159" i="25" s="1"/>
  <c r="F159" i="25"/>
  <c r="D151" i="25"/>
  <c r="G151" i="25" s="1"/>
  <c r="E151" i="25"/>
  <c r="F151" i="25"/>
  <c r="E150" i="25"/>
  <c r="F150" i="25"/>
  <c r="D150" i="25"/>
  <c r="G150" i="25" s="1"/>
  <c r="K142" i="25"/>
  <c r="K144" i="25" s="1"/>
  <c r="F63" i="25" s="1"/>
  <c r="I142" i="25"/>
  <c r="J142" i="25"/>
  <c r="J143" i="25"/>
  <c r="I143" i="25" s="1"/>
  <c r="G144" i="25"/>
  <c r="F144" i="25"/>
  <c r="E144" i="25"/>
  <c r="H142" i="25"/>
  <c r="H144" i="25" s="1"/>
  <c r="F59" i="25" s="1"/>
  <c r="D555" i="6"/>
  <c r="D609" i="6" s="1"/>
  <c r="I159" i="25" l="1"/>
  <c r="H150" i="25"/>
  <c r="I158" i="25"/>
  <c r="H158" i="25"/>
  <c r="G152" i="25"/>
  <c r="F80" i="25" s="1"/>
  <c r="I151" i="25"/>
  <c r="H159" i="25"/>
  <c r="H151" i="25"/>
  <c r="C90" i="26"/>
  <c r="G90" i="26" s="1"/>
  <c r="G92" i="26"/>
  <c r="C88" i="26"/>
  <c r="G88" i="26" s="1"/>
  <c r="C89" i="26"/>
  <c r="C87" i="26"/>
  <c r="G87" i="26" s="1"/>
  <c r="C91" i="26"/>
  <c r="G91" i="26" s="1"/>
  <c r="I144" i="25"/>
  <c r="F64" i="25" s="1"/>
  <c r="I150" i="25"/>
  <c r="J144" i="25"/>
  <c r="F65" i="25" s="1"/>
  <c r="G160" i="25"/>
  <c r="F101" i="25" s="1"/>
  <c r="K29" i="25" l="1"/>
  <c r="Q29" i="25" s="1"/>
  <c r="K30" i="25"/>
  <c r="Q30" i="25" s="1"/>
  <c r="I160" i="25"/>
  <c r="F105" i="25" s="1"/>
  <c r="H160" i="25"/>
  <c r="F106" i="25" s="1"/>
  <c r="I152" i="25"/>
  <c r="F84" i="25" s="1"/>
  <c r="H152" i="25"/>
  <c r="F85" i="25" s="1"/>
  <c r="G89" i="26"/>
  <c r="E161" i="17"/>
  <c r="E158" i="17" s="1"/>
  <c r="C161" i="17"/>
  <c r="F161" i="17"/>
  <c r="C32" i="7"/>
  <c r="C30" i="7"/>
  <c r="B255" i="6"/>
  <c r="B254" i="6"/>
  <c r="C45" i="3"/>
  <c r="C44" i="3"/>
  <c r="C301" i="6"/>
  <c r="D297" i="6"/>
  <c r="D305" i="6" s="1"/>
  <c r="C293" i="6"/>
  <c r="C274" i="6"/>
  <c r="E236" i="6"/>
  <c r="C236" i="6"/>
  <c r="C38" i="7" l="1"/>
  <c r="D38" i="7" s="1"/>
  <c r="C31" i="7"/>
  <c r="C39" i="7" s="1"/>
  <c r="D39" i="7" s="1"/>
  <c r="C271" i="6"/>
  <c r="E157" i="17"/>
  <c r="E156" i="17"/>
  <c r="E160" i="17"/>
  <c r="E159" i="17"/>
  <c r="C237" i="6"/>
  <c r="C247" i="6" s="1"/>
  <c r="E237" i="6"/>
  <c r="D247" i="6" s="1"/>
  <c r="C298" i="6" s="1"/>
  <c r="B121" i="29"/>
  <c r="B117" i="29"/>
  <c r="B115" i="29"/>
  <c r="D314" i="6" l="1"/>
  <c r="B133" i="29"/>
  <c r="C262" i="6"/>
  <c r="C261" i="6"/>
  <c r="C299" i="6"/>
  <c r="D315" i="6" s="1"/>
  <c r="C288" i="6"/>
  <c r="C289" i="6"/>
  <c r="AH52" i="25"/>
  <c r="AG52" i="25"/>
  <c r="AF52" i="25"/>
  <c r="AH51" i="25"/>
  <c r="AG51" i="25"/>
  <c r="AF51" i="25"/>
  <c r="AH50" i="25"/>
  <c r="AG50" i="25"/>
  <c r="AF50" i="25"/>
  <c r="AH49" i="25"/>
  <c r="AG49" i="25"/>
  <c r="AF49" i="25"/>
  <c r="AH48" i="25"/>
  <c r="AG48" i="25"/>
  <c r="C291" i="6" l="1"/>
  <c r="C264" i="6"/>
  <c r="C315" i="6" s="1"/>
  <c r="C263" i="6"/>
  <c r="C290" i="6"/>
  <c r="C107" i="6"/>
  <c r="C106" i="6"/>
  <c r="C105" i="6"/>
  <c r="C314" i="6" l="1"/>
  <c r="D161" i="17"/>
  <c r="E561" i="6" l="1"/>
  <c r="C610" i="6" s="1"/>
  <c r="F561" i="6"/>
  <c r="E610" i="6" s="1"/>
  <c r="D561" i="6"/>
  <c r="D610" i="6" s="1"/>
  <c r="E555" i="6"/>
  <c r="C609" i="6" s="1"/>
  <c r="F555" i="6"/>
  <c r="G555" i="6"/>
  <c r="C86" i="6"/>
  <c r="E154" i="6" s="1"/>
  <c r="C6" i="3"/>
  <c r="E66" i="5"/>
  <c r="E65" i="5"/>
  <c r="E64" i="5"/>
  <c r="E63" i="5"/>
  <c r="E62" i="5"/>
  <c r="D24" i="21"/>
  <c r="D23" i="21"/>
  <c r="D22" i="21"/>
  <c r="D21" i="21"/>
  <c r="D20" i="21"/>
  <c r="F16" i="27"/>
  <c r="F609" i="6" l="1"/>
  <c r="E609" i="6"/>
  <c r="C87" i="6"/>
  <c r="E159" i="6" s="1"/>
  <c r="E29" i="25" s="1"/>
  <c r="D64" i="25" s="1"/>
  <c r="C88" i="6"/>
  <c r="E158" i="6" s="1"/>
  <c r="E28" i="25" s="1"/>
  <c r="D63" i="25" s="1"/>
  <c r="C89" i="6"/>
  <c r="E160" i="6" s="1"/>
  <c r="E30" i="25" s="1"/>
  <c r="D65" i="25" s="1"/>
  <c r="C96" i="6"/>
  <c r="D152" i="25"/>
  <c r="C98" i="6"/>
  <c r="F152" i="25"/>
  <c r="C97" i="6"/>
  <c r="E152" i="25"/>
  <c r="F15" i="27"/>
  <c r="C39" i="3" l="1"/>
  <c r="C28" i="3"/>
  <c r="B66" i="29"/>
  <c r="B65" i="29"/>
  <c r="B92" i="29" s="1"/>
  <c r="B104" i="29" s="1"/>
  <c r="B62" i="29"/>
  <c r="B9" i="29"/>
  <c r="B7" i="29"/>
  <c r="B11" i="29"/>
  <c r="B10" i="29"/>
  <c r="B8" i="29"/>
  <c r="B12" i="29"/>
  <c r="B6" i="29"/>
  <c r="D108" i="31"/>
  <c r="C107" i="31"/>
  <c r="D93" i="31"/>
  <c r="E24" i="31" s="1"/>
  <c r="E38" i="31"/>
  <c r="C108" i="31" s="1"/>
  <c r="B39" i="30"/>
  <c r="B38" i="30"/>
  <c r="B37" i="30"/>
  <c r="B36" i="30"/>
  <c r="B35" i="30"/>
  <c r="B28" i="30"/>
  <c r="B27" i="30"/>
  <c r="B26" i="30"/>
  <c r="B25" i="30"/>
  <c r="B24" i="30"/>
  <c r="B117" i="31"/>
  <c r="B108" i="31"/>
  <c r="B107" i="31"/>
  <c r="D106" i="31"/>
  <c r="C106" i="31"/>
  <c r="B106" i="31"/>
  <c r="C105" i="31"/>
  <c r="B105" i="31"/>
  <c r="D97" i="31"/>
  <c r="E28" i="31" s="1"/>
  <c r="C97" i="31"/>
  <c r="D96" i="31"/>
  <c r="E27" i="31" s="1"/>
  <c r="C96" i="31"/>
  <c r="D95" i="31"/>
  <c r="C95" i="31"/>
  <c r="D94" i="31"/>
  <c r="C94" i="31"/>
  <c r="C93" i="31"/>
  <c r="H56" i="31"/>
  <c r="H55" i="31"/>
  <c r="H54" i="31"/>
  <c r="H53" i="31"/>
  <c r="B24" i="31"/>
  <c r="B19" i="31"/>
  <c r="B18" i="31"/>
  <c r="C132" i="30"/>
  <c r="F130" i="30"/>
  <c r="C129" i="30"/>
  <c r="F129" i="30" s="1"/>
  <c r="C128" i="30"/>
  <c r="F128" i="30" s="1"/>
  <c r="C127" i="30"/>
  <c r="F127" i="30" s="1"/>
  <c r="C126" i="30"/>
  <c r="F126" i="30" s="1"/>
  <c r="C125" i="30"/>
  <c r="F125" i="30" s="1"/>
  <c r="G117" i="30"/>
  <c r="C116" i="30"/>
  <c r="G116" i="30" s="1"/>
  <c r="C108" i="30"/>
  <c r="E48" i="30" s="1"/>
  <c r="C107" i="30"/>
  <c r="E28" i="30" s="1"/>
  <c r="C106" i="30"/>
  <c r="E49" i="30" s="1"/>
  <c r="C105" i="30"/>
  <c r="C104" i="30"/>
  <c r="E47" i="30" s="1"/>
  <c r="C103" i="30"/>
  <c r="E46" i="30" s="1"/>
  <c r="B50" i="30"/>
  <c r="B49" i="30"/>
  <c r="B48" i="30"/>
  <c r="B47" i="30"/>
  <c r="B46" i="30"/>
  <c r="C30" i="4"/>
  <c r="C58" i="4" s="1"/>
  <c r="D58" i="4" s="1"/>
  <c r="C31" i="4"/>
  <c r="D42" i="4"/>
  <c r="F42" i="4"/>
  <c r="D43" i="4"/>
  <c r="F43" i="4"/>
  <c r="D44" i="4"/>
  <c r="F44" i="4"/>
  <c r="D45" i="4"/>
  <c r="F45" i="4"/>
  <c r="D46" i="4"/>
  <c r="F46" i="4"/>
  <c r="D47" i="4"/>
  <c r="F47" i="4"/>
  <c r="D48" i="4"/>
  <c r="F48" i="4"/>
  <c r="D49" i="4"/>
  <c r="F49" i="4"/>
  <c r="D50" i="4"/>
  <c r="F50" i="4"/>
  <c r="E58" i="4"/>
  <c r="E59" i="4"/>
  <c r="C93" i="4"/>
  <c r="D93" i="4"/>
  <c r="E93" i="4"/>
  <c r="F93" i="4"/>
  <c r="G93" i="4"/>
  <c r="G98" i="4"/>
  <c r="C64" i="4" s="1"/>
  <c r="G99" i="4"/>
  <c r="C68" i="4" s="1"/>
  <c r="B103" i="4"/>
  <c r="C103" i="4"/>
  <c r="B104" i="4"/>
  <c r="C104" i="4"/>
  <c r="B105" i="4"/>
  <c r="C105" i="4"/>
  <c r="C121" i="4"/>
  <c r="C120" i="4" s="1"/>
  <c r="D66" i="4" s="1"/>
  <c r="C132" i="4"/>
  <c r="C136" i="4" s="1"/>
  <c r="C32" i="4" s="1"/>
  <c r="B171" i="4"/>
  <c r="B172" i="4"/>
  <c r="B173" i="4"/>
  <c r="B174" i="4"/>
  <c r="B175" i="4"/>
  <c r="B176" i="4"/>
  <c r="B44" i="8"/>
  <c r="C59" i="4" l="1"/>
  <c r="D59" i="4" s="1"/>
  <c r="C34" i="4"/>
  <c r="G59" i="4"/>
  <c r="B74" i="29"/>
  <c r="B89" i="29"/>
  <c r="B101" i="29" s="1"/>
  <c r="AD128" i="29" s="1"/>
  <c r="AD140" i="29" s="1"/>
  <c r="B78" i="29"/>
  <c r="B93" i="29"/>
  <c r="B105" i="29" s="1"/>
  <c r="G43" i="4"/>
  <c r="C171" i="4" s="1"/>
  <c r="G42" i="4"/>
  <c r="C172" i="4" s="1"/>
  <c r="E96" i="31"/>
  <c r="D24" i="31"/>
  <c r="E36" i="30"/>
  <c r="D25" i="31"/>
  <c r="D28" i="31"/>
  <c r="D26" i="31"/>
  <c r="D27" i="31"/>
  <c r="E95" i="31"/>
  <c r="E27" i="30"/>
  <c r="E37" i="30"/>
  <c r="E35" i="30"/>
  <c r="E24" i="30"/>
  <c r="E94" i="31"/>
  <c r="E97" i="31"/>
  <c r="E38" i="30"/>
  <c r="E39" i="30"/>
  <c r="E25" i="30"/>
  <c r="E26" i="30"/>
  <c r="D98" i="31"/>
  <c r="E26" i="31" s="1"/>
  <c r="E50" i="30"/>
  <c r="G118" i="30"/>
  <c r="E25" i="31"/>
  <c r="E93" i="31"/>
  <c r="C98" i="31"/>
  <c r="F131" i="30"/>
  <c r="C143" i="30"/>
  <c r="G94" i="4"/>
  <c r="G47" i="4"/>
  <c r="C176" i="4" s="1"/>
  <c r="E94" i="4"/>
  <c r="G46" i="4"/>
  <c r="C174" i="4" s="1"/>
  <c r="G50" i="4"/>
  <c r="C175" i="4" s="1"/>
  <c r="G49" i="4"/>
  <c r="C94" i="4"/>
  <c r="G58" i="4"/>
  <c r="G52" i="4"/>
  <c r="G44" i="4"/>
  <c r="C173" i="4" s="1"/>
  <c r="C65" i="4"/>
  <c r="G45" i="4"/>
  <c r="C119" i="4"/>
  <c r="D65" i="4" s="1"/>
  <c r="G48" i="4"/>
  <c r="C118" i="4"/>
  <c r="D94" i="4"/>
  <c r="C67" i="4"/>
  <c r="C106" i="4"/>
  <c r="C66" i="4"/>
  <c r="E105" i="4"/>
  <c r="E66" i="4" s="1"/>
  <c r="F94" i="4"/>
  <c r="D270" i="6"/>
  <c r="D278" i="6" s="1"/>
  <c r="D281" i="6"/>
  <c r="D279" i="6"/>
  <c r="I141" i="6"/>
  <c r="B25" i="6"/>
  <c r="D138" i="6"/>
  <c r="D128" i="6"/>
  <c r="C138" i="6"/>
  <c r="C128" i="6"/>
  <c r="C117" i="6"/>
  <c r="E152" i="6" s="1"/>
  <c r="D117" i="6"/>
  <c r="D65" i="6"/>
  <c r="C65" i="6"/>
  <c r="D152" i="6" s="1"/>
  <c r="D123" i="6"/>
  <c r="D122" i="6"/>
  <c r="D121" i="6"/>
  <c r="D89" i="6"/>
  <c r="D88" i="6"/>
  <c r="D87" i="6"/>
  <c r="D97" i="6" s="1"/>
  <c r="D106" i="6" s="1"/>
  <c r="C143" i="6"/>
  <c r="C142" i="6"/>
  <c r="C141" i="6"/>
  <c r="I154" i="6"/>
  <c r="I24" i="25" s="1"/>
  <c r="D101" i="25" s="1"/>
  <c r="I159" i="6"/>
  <c r="I29" i="25" s="1"/>
  <c r="D106" i="25" s="1"/>
  <c r="F163" i="6"/>
  <c r="H163" i="6"/>
  <c r="D56" i="6"/>
  <c r="D55" i="6"/>
  <c r="D51" i="6"/>
  <c r="D40" i="6"/>
  <c r="D508" i="6"/>
  <c r="D457" i="6"/>
  <c r="D393" i="6"/>
  <c r="G60" i="4" l="1"/>
  <c r="C177" i="4"/>
  <c r="C167" i="4"/>
  <c r="C168" i="4"/>
  <c r="C102" i="6"/>
  <c r="I153" i="6" s="1"/>
  <c r="I23" i="25" s="1"/>
  <c r="O23" i="25" s="1"/>
  <c r="U23" i="25" s="1"/>
  <c r="C93" i="6"/>
  <c r="G153" i="6" s="1"/>
  <c r="G23" i="25" s="1"/>
  <c r="D510" i="6"/>
  <c r="C83" i="6" s="1"/>
  <c r="C116" i="6" s="1"/>
  <c r="F152" i="6"/>
  <c r="O29" i="25"/>
  <c r="U29" i="25" s="1"/>
  <c r="D108" i="25"/>
  <c r="O28" i="25"/>
  <c r="U28" i="25" s="1"/>
  <c r="G51" i="4"/>
  <c r="E98" i="31"/>
  <c r="D143" i="30"/>
  <c r="C139" i="30"/>
  <c r="C26" i="30" s="1"/>
  <c r="C142" i="30"/>
  <c r="D142" i="30" s="1"/>
  <c r="C138" i="30"/>
  <c r="C25" i="30" s="1"/>
  <c r="C141" i="30"/>
  <c r="C28" i="30" s="1"/>
  <c r="C137" i="30"/>
  <c r="C24" i="30" s="1"/>
  <c r="C140" i="30"/>
  <c r="C27" i="30" s="1"/>
  <c r="D68" i="4"/>
  <c r="D67" i="4"/>
  <c r="D64" i="4"/>
  <c r="F66" i="4"/>
  <c r="F165" i="4" s="1"/>
  <c r="D103" i="4"/>
  <c r="D104" i="4"/>
  <c r="D105" i="4"/>
  <c r="D132" i="6"/>
  <c r="D142" i="6"/>
  <c r="D98" i="6"/>
  <c r="D133" i="6"/>
  <c r="C229" i="4" l="1"/>
  <c r="C166" i="4"/>
  <c r="C127" i="6"/>
  <c r="C137" i="6"/>
  <c r="M23" i="25"/>
  <c r="S23" i="25" s="1"/>
  <c r="E153" i="6"/>
  <c r="E23" i="25" s="1"/>
  <c r="K23" i="25" s="1"/>
  <c r="Q23" i="25" s="1"/>
  <c r="O24" i="25"/>
  <c r="U24" i="25" s="1"/>
  <c r="F108" i="25"/>
  <c r="G27" i="30"/>
  <c r="G28" i="30"/>
  <c r="G24" i="30"/>
  <c r="G25" i="30"/>
  <c r="G26" i="30"/>
  <c r="D140" i="30"/>
  <c r="D137" i="30"/>
  <c r="D141" i="30"/>
  <c r="D139" i="30"/>
  <c r="D138" i="30"/>
  <c r="D106" i="4"/>
  <c r="D107" i="6"/>
  <c r="D143" i="6"/>
  <c r="G29" i="30" l="1"/>
  <c r="B116" i="29" l="1"/>
  <c r="B119" i="29"/>
  <c r="B129" i="29"/>
  <c r="B120" i="29"/>
  <c r="B118" i="29"/>
  <c r="B127" i="29"/>
  <c r="B63" i="29"/>
  <c r="B61" i="29"/>
  <c r="B64" i="29"/>
  <c r="B77" i="29"/>
  <c r="B60" i="29"/>
  <c r="B130" i="29" l="1"/>
  <c r="B132" i="29"/>
  <c r="B131" i="29"/>
  <c r="B128" i="29"/>
  <c r="B72" i="29"/>
  <c r="B87" i="29"/>
  <c r="B99" i="29" s="1"/>
  <c r="B75" i="29"/>
  <c r="B90" i="29"/>
  <c r="B102" i="29" s="1"/>
  <c r="AD126" i="29" s="1"/>
  <c r="AD138" i="29" s="1"/>
  <c r="B76" i="29"/>
  <c r="B91" i="29"/>
  <c r="B103" i="29" s="1"/>
  <c r="AD127" i="29" s="1"/>
  <c r="AD139" i="29" s="1"/>
  <c r="B73" i="29"/>
  <c r="B88" i="29"/>
  <c r="B100" i="29" s="1"/>
  <c r="D70" i="6"/>
  <c r="D69" i="6"/>
  <c r="D45" i="6"/>
  <c r="D165" i="6" s="1"/>
  <c r="D44" i="6"/>
  <c r="D164" i="6" s="1"/>
  <c r="D34" i="25" s="1"/>
  <c r="F54" i="22"/>
  <c r="D54" i="22"/>
  <c r="E193" i="22"/>
  <c r="E192" i="22"/>
  <c r="E191" i="22"/>
  <c r="G184" i="22"/>
  <c r="G185" i="22"/>
  <c r="G183" i="22"/>
  <c r="E184" i="22"/>
  <c r="E185" i="22"/>
  <c r="E183" i="22"/>
  <c r="F56" i="22"/>
  <c r="C55" i="22"/>
  <c r="E58" i="22"/>
  <c r="E56" i="22"/>
  <c r="E54" i="22"/>
  <c r="D58" i="22"/>
  <c r="D56" i="22"/>
  <c r="D55" i="22"/>
  <c r="E55" i="22"/>
  <c r="C58" i="22"/>
  <c r="C56" i="22"/>
  <c r="C54" i="22"/>
  <c r="L201" i="22" l="1"/>
  <c r="F200" i="22"/>
  <c r="J202" i="22"/>
  <c r="D201" i="22"/>
  <c r="L203" i="22"/>
  <c r="F202" i="22"/>
  <c r="J203" i="22"/>
  <c r="D202" i="22"/>
  <c r="K202" i="22"/>
  <c r="E201" i="22"/>
  <c r="J201" i="22"/>
  <c r="D200" i="22"/>
  <c r="J205" i="22"/>
  <c r="D204" i="22"/>
  <c r="K201" i="22"/>
  <c r="E200" i="22"/>
  <c r="I201" i="22"/>
  <c r="C200" i="22"/>
  <c r="K203" i="22"/>
  <c r="E202" i="22"/>
  <c r="I203" i="22"/>
  <c r="C202" i="22"/>
  <c r="K205" i="22"/>
  <c r="E204" i="22"/>
  <c r="I205" i="22"/>
  <c r="C204" i="22"/>
  <c r="I202" i="22"/>
  <c r="C201" i="22"/>
  <c r="T35" i="25"/>
  <c r="D35" i="25"/>
  <c r="R35" i="25"/>
  <c r="P35" i="25"/>
  <c r="N35" i="25"/>
  <c r="L35" i="25"/>
  <c r="J35" i="25"/>
  <c r="H35" i="25"/>
  <c r="F35" i="25"/>
  <c r="P34" i="25"/>
  <c r="J34" i="25"/>
  <c r="E24" i="25"/>
  <c r="C120" i="6"/>
  <c r="F164" i="6"/>
  <c r="F34" i="25" s="1"/>
  <c r="H164" i="6"/>
  <c r="H34" i="25" s="1"/>
  <c r="H165" i="6"/>
  <c r="F165" i="6"/>
  <c r="C8" i="3"/>
  <c r="C7" i="3"/>
  <c r="E168" i="6"/>
  <c r="E166" i="6"/>
  <c r="E167" i="6"/>
  <c r="G70" i="7"/>
  <c r="F70" i="7"/>
  <c r="E70" i="7"/>
  <c r="D70" i="7"/>
  <c r="B180" i="7"/>
  <c r="B179" i="7"/>
  <c r="B178" i="7"/>
  <c r="B177" i="7"/>
  <c r="D151" i="7"/>
  <c r="D150" i="7"/>
  <c r="D149" i="7"/>
  <c r="D148" i="7"/>
  <c r="G151" i="7"/>
  <c r="D133" i="7"/>
  <c r="E132" i="7" s="1"/>
  <c r="D172" i="7" s="1"/>
  <c r="D63" i="7" s="1"/>
  <c r="G75" i="7" s="1"/>
  <c r="G150" i="7"/>
  <c r="D129" i="7"/>
  <c r="E126" i="7" s="1"/>
  <c r="D167" i="7" s="1"/>
  <c r="D58" i="7" s="1"/>
  <c r="F74" i="7" s="1"/>
  <c r="G149" i="7"/>
  <c r="D124" i="7"/>
  <c r="E123" i="7" s="1"/>
  <c r="D165" i="7" s="1"/>
  <c r="D56" i="7" s="1"/>
  <c r="E76" i="7" s="1"/>
  <c r="F119" i="7"/>
  <c r="D119" i="7"/>
  <c r="E117" i="7" s="1"/>
  <c r="D160" i="7" s="1"/>
  <c r="D51" i="7" s="1"/>
  <c r="C106" i="7"/>
  <c r="H100" i="7"/>
  <c r="C97" i="7" s="1"/>
  <c r="E78" i="7" s="1"/>
  <c r="G80" i="7"/>
  <c r="F80" i="7"/>
  <c r="E80" i="7"/>
  <c r="D80" i="7"/>
  <c r="G79" i="7"/>
  <c r="F79" i="7"/>
  <c r="E79" i="7"/>
  <c r="D79" i="7"/>
  <c r="F63" i="7"/>
  <c r="F60" i="7"/>
  <c r="F59" i="7"/>
  <c r="F56" i="7"/>
  <c r="F55" i="7"/>
  <c r="F52" i="7"/>
  <c r="F51" i="7"/>
  <c r="D72" i="7"/>
  <c r="D59" i="25" l="1"/>
  <c r="N34" i="25"/>
  <c r="T34" i="25"/>
  <c r="L34" i="25"/>
  <c r="R34" i="25"/>
  <c r="D73" i="7"/>
  <c r="G148" i="7"/>
  <c r="G166" i="6"/>
  <c r="E36" i="25"/>
  <c r="G168" i="6"/>
  <c r="E38" i="25"/>
  <c r="G167" i="6"/>
  <c r="E37" i="25"/>
  <c r="G154" i="6"/>
  <c r="G24" i="25" s="1"/>
  <c r="D80" i="25" s="1"/>
  <c r="C131" i="6"/>
  <c r="C121" i="6"/>
  <c r="C122" i="6"/>
  <c r="C123" i="6"/>
  <c r="F78" i="7"/>
  <c r="G62" i="7"/>
  <c r="G52" i="7"/>
  <c r="F58" i="7"/>
  <c r="G57" i="7"/>
  <c r="F62" i="7"/>
  <c r="E127" i="7"/>
  <c r="D168" i="7" s="1"/>
  <c r="D59" i="7" s="1"/>
  <c r="F75" i="7" s="1"/>
  <c r="G54" i="7"/>
  <c r="G53" i="7"/>
  <c r="E121" i="7"/>
  <c r="D163" i="7" s="1"/>
  <c r="D54" i="7" s="1"/>
  <c r="E74" i="7" s="1"/>
  <c r="F54" i="7"/>
  <c r="G73" i="7"/>
  <c r="G49" i="7"/>
  <c r="G58" i="7"/>
  <c r="G50" i="7"/>
  <c r="G59" i="7"/>
  <c r="G51" i="7"/>
  <c r="G60" i="7"/>
  <c r="E73" i="7"/>
  <c r="E116" i="7"/>
  <c r="D159" i="7" s="1"/>
  <c r="D50" i="7" s="1"/>
  <c r="D74" i="7" s="1"/>
  <c r="E128" i="7"/>
  <c r="D169" i="7" s="1"/>
  <c r="D60" i="7" s="1"/>
  <c r="F50" i="7"/>
  <c r="G63" i="7"/>
  <c r="G55" i="7"/>
  <c r="E115" i="7"/>
  <c r="D158" i="7" s="1"/>
  <c r="D49" i="7" s="1"/>
  <c r="G56" i="7"/>
  <c r="G61" i="7"/>
  <c r="F73" i="7"/>
  <c r="E118" i="7"/>
  <c r="D161" i="7" s="1"/>
  <c r="D52" i="7" s="1"/>
  <c r="D76" i="7" s="1"/>
  <c r="D75" i="7"/>
  <c r="G72" i="7"/>
  <c r="C146" i="7"/>
  <c r="E72" i="7"/>
  <c r="E130" i="7"/>
  <c r="D152" i="7"/>
  <c r="E149" i="7" s="1"/>
  <c r="F72" i="7"/>
  <c r="G78" i="7"/>
  <c r="E125" i="7"/>
  <c r="E131" i="7"/>
  <c r="D171" i="7" s="1"/>
  <c r="D62" i="7" s="1"/>
  <c r="G74" i="7" s="1"/>
  <c r="E120" i="7"/>
  <c r="E122" i="7"/>
  <c r="D164" i="7" s="1"/>
  <c r="D55" i="7" s="1"/>
  <c r="E75" i="7" s="1"/>
  <c r="D78" i="7"/>
  <c r="D77" i="7"/>
  <c r="K24" i="25" l="1"/>
  <c r="Q24" i="25" s="1"/>
  <c r="K28" i="25"/>
  <c r="Q28" i="25" s="1"/>
  <c r="K37" i="25"/>
  <c r="Q37" i="25"/>
  <c r="K38" i="25"/>
  <c r="Q38" i="25"/>
  <c r="K36" i="25"/>
  <c r="Q36" i="25"/>
  <c r="M24" i="25"/>
  <c r="D66" i="25"/>
  <c r="I167" i="6"/>
  <c r="G37" i="25"/>
  <c r="I168" i="6"/>
  <c r="I38" i="25" s="1"/>
  <c r="G38" i="25"/>
  <c r="I166" i="6"/>
  <c r="I36" i="25" s="1"/>
  <c r="G36" i="25"/>
  <c r="G158" i="6"/>
  <c r="G28" i="25" s="1"/>
  <c r="D84" i="25" s="1"/>
  <c r="C133" i="6"/>
  <c r="G159" i="6"/>
  <c r="G29" i="25" s="1"/>
  <c r="D85" i="25" s="1"/>
  <c r="M29" i="25" s="1"/>
  <c r="S29" i="25" s="1"/>
  <c r="C132" i="6"/>
  <c r="F149" i="7"/>
  <c r="E163" i="7" s="1"/>
  <c r="E54" i="7" s="1"/>
  <c r="H54" i="7" s="1"/>
  <c r="E119" i="7"/>
  <c r="F76" i="7"/>
  <c r="C40" i="7"/>
  <c r="D40" i="7" s="1"/>
  <c r="E151" i="7"/>
  <c r="F151" i="7" s="1"/>
  <c r="E172" i="7" s="1"/>
  <c r="E63" i="7" s="1"/>
  <c r="H63" i="7" s="1"/>
  <c r="E148" i="7"/>
  <c r="D170" i="7"/>
  <c r="D61" i="7" s="1"/>
  <c r="G77" i="7" s="1"/>
  <c r="E133" i="7"/>
  <c r="E150" i="7"/>
  <c r="F150" i="7" s="1"/>
  <c r="E124" i="7"/>
  <c r="D162" i="7"/>
  <c r="D53" i="7" s="1"/>
  <c r="E77" i="7" s="1"/>
  <c r="E129" i="7"/>
  <c r="D166" i="7"/>
  <c r="D57" i="7" s="1"/>
  <c r="F77" i="7" s="1"/>
  <c r="I37" i="25" l="1"/>
  <c r="O37" i="25" s="1"/>
  <c r="M28" i="25"/>
  <c r="S28" i="25" s="1"/>
  <c r="O36" i="25"/>
  <c r="U36" i="25"/>
  <c r="U38" i="25"/>
  <c r="O38" i="25"/>
  <c r="S37" i="25"/>
  <c r="M37" i="25"/>
  <c r="M38" i="25"/>
  <c r="S38" i="25"/>
  <c r="S36" i="25"/>
  <c r="M36" i="25"/>
  <c r="S24" i="25"/>
  <c r="D87" i="25"/>
  <c r="F66" i="25"/>
  <c r="E162" i="7"/>
  <c r="E53" i="7" s="1"/>
  <c r="H53" i="7" s="1"/>
  <c r="E164" i="7"/>
  <c r="E55" i="7" s="1"/>
  <c r="H55" i="7" s="1"/>
  <c r="E165" i="7"/>
  <c r="E56" i="7" s="1"/>
  <c r="H56" i="7" s="1"/>
  <c r="E171" i="7"/>
  <c r="E62" i="7" s="1"/>
  <c r="H62" i="7" s="1"/>
  <c r="E170" i="7"/>
  <c r="E61" i="7" s="1"/>
  <c r="H61" i="7" s="1"/>
  <c r="E169" i="7"/>
  <c r="E60" i="7" s="1"/>
  <c r="H60" i="7" s="1"/>
  <c r="E168" i="7"/>
  <c r="E59" i="7" s="1"/>
  <c r="H59" i="7" s="1"/>
  <c r="E167" i="7"/>
  <c r="E166" i="7"/>
  <c r="F148" i="7"/>
  <c r="E152" i="7"/>
  <c r="U37" i="25" l="1"/>
  <c r="E58" i="7"/>
  <c r="H58" i="7" s="1"/>
  <c r="F87" i="25"/>
  <c r="E71" i="7"/>
  <c r="E82" i="7" s="1"/>
  <c r="G71" i="7"/>
  <c r="G82" i="7" s="1"/>
  <c r="G153" i="7"/>
  <c r="F152" i="7"/>
  <c r="E161" i="7"/>
  <c r="E160" i="7"/>
  <c r="E159" i="7"/>
  <c r="C177" i="7" s="1"/>
  <c r="E158" i="7"/>
  <c r="E57" i="7"/>
  <c r="H57" i="7" s="1"/>
  <c r="F71" i="7"/>
  <c r="F82" i="7" l="1"/>
  <c r="C64" i="6"/>
  <c r="C39" i="6"/>
  <c r="D153" i="6" s="1"/>
  <c r="E49" i="7"/>
  <c r="H49" i="7" s="1"/>
  <c r="D71" i="7"/>
  <c r="F179" i="7" s="1"/>
  <c r="C180" i="7"/>
  <c r="E50" i="7"/>
  <c r="H50" i="7" s="1"/>
  <c r="C178" i="7"/>
  <c r="E51" i="7"/>
  <c r="H51" i="7" s="1"/>
  <c r="C179" i="7"/>
  <c r="E52" i="7"/>
  <c r="H52" i="7" s="1"/>
  <c r="F177" i="7" l="1"/>
  <c r="F180" i="7"/>
  <c r="F178" i="7"/>
  <c r="D82" i="7"/>
  <c r="D83" i="7" s="1"/>
  <c r="C86" i="7" s="1"/>
  <c r="D743" i="6"/>
  <c r="D742" i="6"/>
  <c r="D733" i="6"/>
  <c r="D744" i="6"/>
  <c r="C50" i="6"/>
  <c r="F153" i="6"/>
  <c r="H153" i="6"/>
  <c r="H23" i="25" s="1"/>
  <c r="N23" i="25" s="1"/>
  <c r="T23" i="25" s="1"/>
  <c r="C181" i="7"/>
  <c r="H64" i="7"/>
  <c r="F181" i="7" l="1"/>
  <c r="E177" i="7" s="1"/>
  <c r="D745" i="6"/>
  <c r="C5" i="7"/>
  <c r="C19" i="29" s="1"/>
  <c r="D734" i="6"/>
  <c r="D735" i="6" s="1"/>
  <c r="D181" i="7"/>
  <c r="D177" i="7"/>
  <c r="D23" i="25"/>
  <c r="J23" i="25" s="1"/>
  <c r="P23" i="25" s="1"/>
  <c r="F23" i="25"/>
  <c r="L23" i="25" s="1"/>
  <c r="R23" i="25" s="1"/>
  <c r="D178" i="7"/>
  <c r="D179" i="7"/>
  <c r="D180" i="7"/>
  <c r="C24" i="17"/>
  <c r="E178" i="7" l="1"/>
  <c r="E179" i="7"/>
  <c r="E180" i="7"/>
  <c r="C191" i="29"/>
  <c r="C115" i="29"/>
  <c r="C60" i="29"/>
  <c r="C87" i="29" s="1"/>
  <c r="D86" i="17"/>
  <c r="G86" i="17" s="1"/>
  <c r="D125" i="17"/>
  <c r="G125" i="17" s="1"/>
  <c r="D104" i="17"/>
  <c r="D111" i="17"/>
  <c r="G111" i="17" s="1"/>
  <c r="D103" i="17"/>
  <c r="E181" i="7"/>
  <c r="D113" i="17"/>
  <c r="G113" i="17" s="1"/>
  <c r="D118" i="17"/>
  <c r="G118" i="17" s="1"/>
  <c r="D90" i="17"/>
  <c r="G90" i="17" s="1"/>
  <c r="D119" i="17"/>
  <c r="G119" i="17" s="1"/>
  <c r="D122" i="17"/>
  <c r="G122" i="17" s="1"/>
  <c r="D94" i="17"/>
  <c r="G94" i="17" s="1"/>
  <c r="D117" i="17"/>
  <c r="G117" i="17" s="1"/>
  <c r="D91" i="17"/>
  <c r="G91" i="17" s="1"/>
  <c r="D123" i="17"/>
  <c r="G123" i="17" s="1"/>
  <c r="D95" i="17"/>
  <c r="G95" i="17" s="1"/>
  <c r="D88" i="17"/>
  <c r="G88" i="17" s="1"/>
  <c r="D114" i="17"/>
  <c r="G114" i="17" s="1"/>
  <c r="D121" i="17"/>
  <c r="G121" i="17" s="1"/>
  <c r="D124" i="17"/>
  <c r="G124" i="17" s="1"/>
  <c r="D112" i="17"/>
  <c r="G112" i="17" s="1"/>
  <c r="D89" i="17"/>
  <c r="G89" i="17" s="1"/>
  <c r="D92" i="17"/>
  <c r="G92" i="17" s="1"/>
  <c r="D87" i="17"/>
  <c r="D93" i="17"/>
  <c r="G93" i="17" s="1"/>
  <c r="D102" i="17"/>
  <c r="D120" i="17"/>
  <c r="G120" i="17" s="1"/>
  <c r="C71" i="6"/>
  <c r="C57" i="6"/>
  <c r="C46" i="6"/>
  <c r="D155" i="6" s="1"/>
  <c r="C70" i="6"/>
  <c r="C56" i="6"/>
  <c r="C45" i="6"/>
  <c r="D157" i="6" s="1"/>
  <c r="C69" i="6"/>
  <c r="C55" i="6"/>
  <c r="C44" i="6"/>
  <c r="D156" i="6" s="1"/>
  <c r="C43" i="6"/>
  <c r="D154" i="6" s="1"/>
  <c r="C54" i="6"/>
  <c r="C68" i="6"/>
  <c r="G102" i="17" l="1"/>
  <c r="F155" i="6"/>
  <c r="D25" i="25"/>
  <c r="C102" i="25" s="1"/>
  <c r="F154" i="6"/>
  <c r="D24" i="25"/>
  <c r="C101" i="25" s="1"/>
  <c r="F157" i="6"/>
  <c r="D27" i="25"/>
  <c r="C104" i="25" s="1"/>
  <c r="F156" i="6"/>
  <c r="D26" i="25"/>
  <c r="C103" i="25" s="1"/>
  <c r="C108" i="25" l="1"/>
  <c r="C80" i="25"/>
  <c r="C59" i="25"/>
  <c r="C82" i="25"/>
  <c r="C61" i="25"/>
  <c r="C83" i="25"/>
  <c r="C62" i="25"/>
  <c r="C81" i="25"/>
  <c r="C60" i="25"/>
  <c r="H157" i="6"/>
  <c r="H27" i="25" s="1"/>
  <c r="F27" i="25"/>
  <c r="H154" i="6"/>
  <c r="F24" i="25"/>
  <c r="H156" i="6"/>
  <c r="H26" i="25" s="1"/>
  <c r="F26" i="25"/>
  <c r="H155" i="6"/>
  <c r="H25" i="25" s="1"/>
  <c r="F25" i="25"/>
  <c r="I149" i="22"/>
  <c r="C140" i="22"/>
  <c r="F58" i="22"/>
  <c r="D43" i="22"/>
  <c r="D45" i="22"/>
  <c r="D46" i="22"/>
  <c r="D47" i="22"/>
  <c r="D44" i="22"/>
  <c r="E28" i="24"/>
  <c r="E29" i="24"/>
  <c r="E37" i="24"/>
  <c r="C70" i="24" s="1"/>
  <c r="E36" i="24"/>
  <c r="C69" i="24" s="1"/>
  <c r="C32" i="24"/>
  <c r="C31" i="24"/>
  <c r="C60" i="8"/>
  <c r="E47" i="8"/>
  <c r="E46" i="8"/>
  <c r="D32" i="24"/>
  <c r="C56" i="24" s="1"/>
  <c r="D67" i="8"/>
  <c r="D66" i="8"/>
  <c r="D63" i="8"/>
  <c r="D62" i="8"/>
  <c r="C63" i="8"/>
  <c r="C62" i="8"/>
  <c r="C61" i="8"/>
  <c r="C117" i="8"/>
  <c r="C116" i="8"/>
  <c r="H24" i="25" l="1"/>
  <c r="L205" i="22"/>
  <c r="F204" i="22"/>
  <c r="D34" i="24"/>
  <c r="E141" i="8"/>
  <c r="D35" i="24"/>
  <c r="E140" i="8"/>
  <c r="D26" i="24"/>
  <c r="C24" i="24"/>
  <c r="D27" i="24"/>
  <c r="C23" i="24"/>
  <c r="C66" i="25"/>
  <c r="C87" i="25"/>
  <c r="D112" i="8"/>
  <c r="D60" i="8" s="1"/>
  <c r="D113" i="8"/>
  <c r="D61" i="8" s="1"/>
  <c r="D24" i="24" l="1"/>
  <c r="D23" i="24"/>
  <c r="E23" i="21"/>
  <c r="C189" i="5"/>
  <c r="C188" i="5"/>
  <c r="C187" i="5"/>
  <c r="C186" i="5"/>
  <c r="C185" i="5"/>
  <c r="B230" i="5"/>
  <c r="B237" i="5"/>
  <c r="B240" i="5"/>
  <c r="I221" i="5"/>
  <c r="K221" i="5"/>
  <c r="B31" i="5"/>
  <c r="D31" i="5"/>
  <c r="D57" i="21"/>
  <c r="D58" i="21"/>
  <c r="D59" i="21"/>
  <c r="C67" i="21" s="1"/>
  <c r="B70" i="24"/>
  <c r="B69" i="24"/>
  <c r="C190" i="5" l="1"/>
  <c r="E188" i="5" l="1"/>
  <c r="C155" i="22" l="1"/>
  <c r="C157" i="22" s="1"/>
  <c r="B92" i="22"/>
  <c r="B93" i="22"/>
  <c r="B91" i="22"/>
  <c r="I152" i="22"/>
  <c r="C126" i="22"/>
  <c r="C128" i="22" s="1"/>
  <c r="C104" i="22"/>
  <c r="D173" i="22" s="1"/>
  <c r="G79" i="22" l="1"/>
  <c r="E79" i="22"/>
  <c r="I157" i="22"/>
  <c r="D65" i="22" l="1"/>
  <c r="D210" i="22" s="1"/>
  <c r="E65" i="22"/>
  <c r="E210" i="22" s="1"/>
  <c r="F65" i="22"/>
  <c r="F210" i="22" s="1"/>
  <c r="C65" i="22"/>
  <c r="C210" i="22" s="1"/>
  <c r="E30" i="22"/>
  <c r="I30" i="22" s="1"/>
  <c r="M30" i="22" s="1"/>
  <c r="F30" i="22"/>
  <c r="J30" i="22" s="1"/>
  <c r="N30" i="22" s="1"/>
  <c r="G30" i="22"/>
  <c r="K30" i="22" s="1"/>
  <c r="O30" i="22" s="1"/>
  <c r="D30" i="22"/>
  <c r="H30" i="22" s="1"/>
  <c r="L30" i="22" s="1"/>
  <c r="C24" i="22"/>
  <c r="C25" i="22"/>
  <c r="G25" i="22"/>
  <c r="F68" i="22" s="1"/>
  <c r="J68" i="22" s="1"/>
  <c r="C26" i="22"/>
  <c r="C23" i="22"/>
  <c r="J65" i="22" l="1"/>
  <c r="J210" i="22" s="1"/>
  <c r="F53" i="22"/>
  <c r="G65" i="22"/>
  <c r="G210" i="22" s="1"/>
  <c r="C53" i="22"/>
  <c r="I65" i="22"/>
  <c r="I210" i="22" s="1"/>
  <c r="E53" i="22"/>
  <c r="H65" i="22"/>
  <c r="H210" i="22" s="1"/>
  <c r="D53" i="22"/>
  <c r="G29" i="22"/>
  <c r="K29" i="22" s="1"/>
  <c r="D28" i="22"/>
  <c r="C78" i="22" s="1"/>
  <c r="D29" i="22"/>
  <c r="C79" i="22" s="1"/>
  <c r="F79" i="22" s="1"/>
  <c r="F28" i="22"/>
  <c r="F29" i="22"/>
  <c r="N29" i="22" s="1"/>
  <c r="G28" i="22"/>
  <c r="K25" i="22"/>
  <c r="O25" i="22"/>
  <c r="J200" i="22" l="1"/>
  <c r="D199" i="22"/>
  <c r="I200" i="22"/>
  <c r="C199" i="22"/>
  <c r="K200" i="22"/>
  <c r="E199" i="22"/>
  <c r="L200" i="22"/>
  <c r="F199" i="22"/>
  <c r="D79" i="22"/>
  <c r="C92" i="22"/>
  <c r="C114" i="22" s="1"/>
  <c r="C115" i="22" s="1"/>
  <c r="O29" i="22"/>
  <c r="L29" i="22"/>
  <c r="H29" i="22"/>
  <c r="J29" i="22"/>
  <c r="C93" i="22"/>
  <c r="E29" i="22"/>
  <c r="I29" i="22" s="1"/>
  <c r="E28" i="22"/>
  <c r="C132" i="22" l="1"/>
  <c r="C174" i="22" s="1"/>
  <c r="I132" i="22"/>
  <c r="D174" i="22" s="1"/>
  <c r="M29" i="22"/>
  <c r="G78" i="22" l="1"/>
  <c r="F78" i="22" s="1"/>
  <c r="E78" i="22"/>
  <c r="D78" i="22" s="1"/>
  <c r="E22" i="22"/>
  <c r="M22" i="22" s="1"/>
  <c r="F22" i="22"/>
  <c r="N22" i="22" s="1"/>
  <c r="D22" i="22"/>
  <c r="L22" i="22" s="1"/>
  <c r="G22" i="22"/>
  <c r="O22" i="22" s="1"/>
  <c r="O28" i="22"/>
  <c r="L28" i="22"/>
  <c r="M28" i="22"/>
  <c r="N28" i="22"/>
  <c r="K28" i="22" l="1"/>
  <c r="J28" i="22"/>
  <c r="I28" i="22"/>
  <c r="H28" i="22"/>
  <c r="K22" i="22"/>
  <c r="I22" i="22"/>
  <c r="J22" i="22"/>
  <c r="H22" i="22"/>
  <c r="F25" i="22"/>
  <c r="E68" i="22" s="1"/>
  <c r="I68" i="22" l="1"/>
  <c r="J25" i="22" s="1"/>
  <c r="E26" i="22"/>
  <c r="D69" i="22" s="1"/>
  <c r="D213" i="22" s="1"/>
  <c r="D26" i="22"/>
  <c r="C69" i="22" s="1"/>
  <c r="C213" i="22" s="1"/>
  <c r="E25" i="22"/>
  <c r="D68" i="22" s="1"/>
  <c r="E23" i="22"/>
  <c r="D66" i="22" s="1"/>
  <c r="F23" i="22"/>
  <c r="E66" i="22" s="1"/>
  <c r="F26" i="22"/>
  <c r="E69" i="22" s="1"/>
  <c r="E213" i="22" s="1"/>
  <c r="F24" i="22"/>
  <c r="E67" i="22" s="1"/>
  <c r="E212" i="22" s="1"/>
  <c r="G26" i="22"/>
  <c r="F69" i="22" s="1"/>
  <c r="F213" i="22" s="1"/>
  <c r="G24" i="22"/>
  <c r="F67" i="22" s="1"/>
  <c r="G23" i="22"/>
  <c r="F66" i="22" s="1"/>
  <c r="H66" i="22" l="1"/>
  <c r="H211" i="22" s="1"/>
  <c r="D211" i="22"/>
  <c r="I66" i="22"/>
  <c r="I211" i="22" s="1"/>
  <c r="E211" i="22"/>
  <c r="J66" i="22"/>
  <c r="J211" i="22" s="1"/>
  <c r="F211" i="22"/>
  <c r="J67" i="22"/>
  <c r="J212" i="22" s="1"/>
  <c r="F212" i="22"/>
  <c r="N25" i="22"/>
  <c r="H68" i="22"/>
  <c r="M25" i="22" s="1"/>
  <c r="I67" i="22"/>
  <c r="E70" i="22"/>
  <c r="D23" i="22"/>
  <c r="C66" i="22" s="1"/>
  <c r="D25" i="22"/>
  <c r="C68" i="22" s="1"/>
  <c r="G68" i="22" s="1"/>
  <c r="F70" i="22"/>
  <c r="D24" i="22"/>
  <c r="C67" i="22" s="1"/>
  <c r="E24" i="22"/>
  <c r="D67" i="22" s="1"/>
  <c r="D212" i="22" s="1"/>
  <c r="B140" i="21"/>
  <c r="B141" i="21"/>
  <c r="B142" i="21"/>
  <c r="B143" i="21"/>
  <c r="B139" i="21"/>
  <c r="B93" i="21"/>
  <c r="B106" i="21" s="1"/>
  <c r="B94" i="21"/>
  <c r="B107" i="21" s="1"/>
  <c r="B91" i="21"/>
  <c r="B104" i="21" s="1"/>
  <c r="B92" i="21"/>
  <c r="B105" i="21" s="1"/>
  <c r="B90" i="21"/>
  <c r="B103" i="21" s="1"/>
  <c r="I23" i="22" l="1"/>
  <c r="M23" i="22"/>
  <c r="K23" i="22"/>
  <c r="J23" i="22"/>
  <c r="N23" i="22"/>
  <c r="O23" i="22"/>
  <c r="K24" i="22"/>
  <c r="G66" i="22"/>
  <c r="G211" i="22" s="1"/>
  <c r="C211" i="22"/>
  <c r="N24" i="22"/>
  <c r="I212" i="22"/>
  <c r="G67" i="22"/>
  <c r="G212" i="22" s="1"/>
  <c r="C212" i="22"/>
  <c r="I25" i="22"/>
  <c r="I69" i="22"/>
  <c r="J69" i="22"/>
  <c r="H67" i="22"/>
  <c r="O24" i="22"/>
  <c r="J24" i="22"/>
  <c r="H25" i="22"/>
  <c r="L25" i="22"/>
  <c r="D70" i="22"/>
  <c r="C70" i="22"/>
  <c r="H23" i="22" l="1"/>
  <c r="H24" i="22"/>
  <c r="L24" i="22"/>
  <c r="H69" i="22"/>
  <c r="M26" i="22" s="1"/>
  <c r="H212" i="22"/>
  <c r="O26" i="22"/>
  <c r="J71" i="22"/>
  <c r="J72" i="22" s="1"/>
  <c r="F57" i="22" s="1"/>
  <c r="J213" i="22"/>
  <c r="J26" i="22"/>
  <c r="I71" i="22"/>
  <c r="I72" i="22" s="1"/>
  <c r="E57" i="22" s="1"/>
  <c r="I213" i="22"/>
  <c r="L23" i="22"/>
  <c r="G69" i="22"/>
  <c r="G70" i="22"/>
  <c r="N26" i="22"/>
  <c r="J70" i="22"/>
  <c r="M24" i="22"/>
  <c r="K26" i="22"/>
  <c r="I24" i="22"/>
  <c r="I70" i="22"/>
  <c r="H70" i="22"/>
  <c r="L26" i="22"/>
  <c r="F203" i="22" l="1"/>
  <c r="L204" i="22"/>
  <c r="K204" i="22"/>
  <c r="E203" i="22"/>
  <c r="H26" i="22"/>
  <c r="G213" i="22"/>
  <c r="G71" i="22"/>
  <c r="G72" i="22" s="1"/>
  <c r="C57" i="22" s="1"/>
  <c r="I26" i="22"/>
  <c r="H71" i="22"/>
  <c r="H72" i="22" s="1"/>
  <c r="D57" i="22" s="1"/>
  <c r="H213" i="22"/>
  <c r="C76" i="21"/>
  <c r="C66" i="21"/>
  <c r="D60" i="21"/>
  <c r="C68" i="21" s="1"/>
  <c r="C65" i="21"/>
  <c r="C74" i="21" s="1"/>
  <c r="E20" i="21" s="1"/>
  <c r="C203" i="22" l="1"/>
  <c r="I204" i="22"/>
  <c r="J204" i="22"/>
  <c r="D203" i="22"/>
  <c r="C78" i="21"/>
  <c r="E24" i="21" s="1"/>
  <c r="C75" i="21"/>
  <c r="E22" i="21" s="1"/>
  <c r="E21" i="21"/>
  <c r="B236" i="5" l="1"/>
  <c r="B238" i="5"/>
  <c r="B239" i="5"/>
  <c r="B241" i="5"/>
  <c r="B235" i="5"/>
  <c r="C235" i="5"/>
  <c r="B229" i="5" l="1"/>
  <c r="B226" i="5"/>
  <c r="B228" i="5"/>
  <c r="B227" i="5"/>
  <c r="B231" i="5"/>
  <c r="C225" i="5"/>
  <c r="B225" i="5"/>
  <c r="I218" i="5"/>
  <c r="K218" i="5"/>
  <c r="I219" i="5"/>
  <c r="K219" i="5"/>
  <c r="I220" i="5"/>
  <c r="K220" i="5"/>
  <c r="I222" i="5"/>
  <c r="K222" i="5"/>
  <c r="I223" i="5"/>
  <c r="K223" i="5"/>
  <c r="I217" i="5"/>
  <c r="C221" i="5"/>
  <c r="D221" i="5"/>
  <c r="E221" i="5"/>
  <c r="F221" i="5"/>
  <c r="G221" i="5"/>
  <c r="C222" i="5"/>
  <c r="D222" i="5"/>
  <c r="E222" i="5"/>
  <c r="F222" i="5"/>
  <c r="G222" i="5"/>
  <c r="B218" i="5"/>
  <c r="C218" i="5"/>
  <c r="D218" i="5"/>
  <c r="E218" i="5"/>
  <c r="F218" i="5"/>
  <c r="G218" i="5"/>
  <c r="B220" i="5"/>
  <c r="G217" i="5"/>
  <c r="C217" i="5"/>
  <c r="D217" i="5"/>
  <c r="E217" i="5"/>
  <c r="F217" i="5"/>
  <c r="B217" i="5"/>
  <c r="H184" i="6" l="1"/>
  <c r="C181" i="6" s="1"/>
  <c r="D54" i="6" s="1"/>
  <c r="H190" i="6"/>
  <c r="D28" i="5"/>
  <c r="D29" i="5"/>
  <c r="D30" i="5"/>
  <c r="D32" i="5"/>
  <c r="D33" i="5"/>
  <c r="B33" i="5"/>
  <c r="B32" i="5"/>
  <c r="B28" i="5"/>
  <c r="B29" i="5"/>
  <c r="B30" i="5"/>
  <c r="D27" i="5"/>
  <c r="B27" i="5"/>
  <c r="D86" i="6" l="1"/>
  <c r="D120" i="6"/>
  <c r="D43" i="6"/>
  <c r="D68" i="6"/>
  <c r="C182" i="6"/>
  <c r="C644" i="6" s="1"/>
  <c r="D181" i="5"/>
  <c r="F150" i="5" s="1"/>
  <c r="D161" i="6" l="1"/>
  <c r="D31" i="25" s="1"/>
  <c r="D131" i="6"/>
  <c r="D96" i="6"/>
  <c r="E162" i="6"/>
  <c r="F161" i="6"/>
  <c r="F31" i="25" s="1"/>
  <c r="H161" i="6"/>
  <c r="H31" i="25" s="1"/>
  <c r="E185" i="5"/>
  <c r="F151" i="5"/>
  <c r="F162" i="5"/>
  <c r="F177" i="5"/>
  <c r="F173" i="5"/>
  <c r="F175" i="5"/>
  <c r="F164" i="5"/>
  <c r="F163" i="5"/>
  <c r="F172" i="5"/>
  <c r="F161" i="5"/>
  <c r="F181" i="5"/>
  <c r="F171" i="5"/>
  <c r="F157" i="5"/>
  <c r="F180" i="5"/>
  <c r="F170" i="5"/>
  <c r="F156" i="5"/>
  <c r="F179" i="5"/>
  <c r="F169" i="5"/>
  <c r="F155" i="5"/>
  <c r="F178" i="5"/>
  <c r="F165" i="5"/>
  <c r="F154" i="5"/>
  <c r="F176" i="5"/>
  <c r="F168" i="5"/>
  <c r="F160" i="5"/>
  <c r="F153" i="5"/>
  <c r="F149" i="5"/>
  <c r="F167" i="5"/>
  <c r="F159" i="5"/>
  <c r="F152" i="5"/>
  <c r="F174" i="5"/>
  <c r="F166" i="5"/>
  <c r="F158" i="5"/>
  <c r="J31" i="25" l="1"/>
  <c r="P31" i="25"/>
  <c r="T31" i="25"/>
  <c r="N31" i="25"/>
  <c r="L31" i="25"/>
  <c r="R31" i="25"/>
  <c r="G162" i="6"/>
  <c r="E32" i="25"/>
  <c r="D141" i="6"/>
  <c r="D105" i="6"/>
  <c r="E189" i="5"/>
  <c r="E187" i="5"/>
  <c r="E186" i="5"/>
  <c r="Q32" i="25" l="1"/>
  <c r="K32" i="25"/>
  <c r="I162" i="6"/>
  <c r="I32" i="25" s="1"/>
  <c r="G32" i="25"/>
  <c r="E190" i="5"/>
  <c r="G117" i="5"/>
  <c r="G137" i="5" s="1"/>
  <c r="F117" i="5"/>
  <c r="F137" i="5" s="1"/>
  <c r="E117" i="5"/>
  <c r="E137" i="5" s="1"/>
  <c r="D117" i="5"/>
  <c r="D137" i="5" s="1"/>
  <c r="C117" i="5"/>
  <c r="C137" i="5" s="1"/>
  <c r="S32" i="25" l="1"/>
  <c r="M32" i="25"/>
  <c r="U32" i="25"/>
  <c r="O32" i="25"/>
  <c r="D22" i="25"/>
  <c r="J22" i="25" s="1"/>
  <c r="P22" i="25" s="1"/>
  <c r="E22" i="25"/>
  <c r="K22" i="25" s="1"/>
  <c r="Q22" i="25" s="1"/>
  <c r="C40" i="6"/>
  <c r="C281" i="6"/>
  <c r="C219" i="5"/>
  <c r="G219" i="5"/>
  <c r="D219" i="5"/>
  <c r="F219" i="5"/>
  <c r="E219" i="5"/>
  <c r="E21" i="22"/>
  <c r="I21" i="22" s="1"/>
  <c r="M21" i="22" s="1"/>
  <c r="G21" i="22"/>
  <c r="K21" i="22" s="1"/>
  <c r="O21" i="22" s="1"/>
  <c r="F21" i="22"/>
  <c r="J21" i="22" s="1"/>
  <c r="N21" i="22" s="1"/>
  <c r="D21" i="22"/>
  <c r="H21" i="22" s="1"/>
  <c r="L21" i="22" s="1"/>
  <c r="F22" i="25" l="1"/>
  <c r="L22" i="25" s="1"/>
  <c r="R22" i="25" s="1"/>
  <c r="G152" i="6"/>
  <c r="G22" i="25" s="1"/>
  <c r="M22" i="25" s="1"/>
  <c r="S22" i="25" s="1"/>
  <c r="C282" i="6"/>
  <c r="C134" i="5"/>
  <c r="D134" i="5"/>
  <c r="E134" i="5"/>
  <c r="F134" i="5"/>
  <c r="G134" i="5"/>
  <c r="D135" i="5"/>
  <c r="E135" i="5"/>
  <c r="F135" i="5"/>
  <c r="G135" i="5"/>
  <c r="D136" i="5"/>
  <c r="E136" i="5"/>
  <c r="F136" i="5"/>
  <c r="G136" i="5"/>
  <c r="D138" i="5"/>
  <c r="E138" i="5"/>
  <c r="F138" i="5"/>
  <c r="G138" i="5"/>
  <c r="C136" i="5"/>
  <c r="C138" i="5"/>
  <c r="C135" i="5"/>
  <c r="D118" i="5"/>
  <c r="D220" i="5" s="1"/>
  <c r="E118" i="5"/>
  <c r="E220" i="5" s="1"/>
  <c r="F118" i="5"/>
  <c r="F220" i="5" s="1"/>
  <c r="G118" i="5"/>
  <c r="G220" i="5" s="1"/>
  <c r="C118" i="5"/>
  <c r="C220" i="5" s="1"/>
  <c r="H152" i="6" l="1"/>
  <c r="H22" i="25" s="1"/>
  <c r="N22" i="25" s="1"/>
  <c r="T22" i="25" s="1"/>
  <c r="I152" i="6"/>
  <c r="I22" i="25" s="1"/>
  <c r="O22" i="25" s="1"/>
  <c r="U22" i="25" s="1"/>
  <c r="C51" i="6"/>
  <c r="B144" i="5"/>
  <c r="B195" i="5" s="1"/>
  <c r="F139" i="5"/>
  <c r="E139" i="5"/>
  <c r="D139" i="5"/>
  <c r="G139" i="5"/>
  <c r="C139" i="5"/>
  <c r="C201" i="5" l="1"/>
  <c r="E144" i="5"/>
  <c r="C42" i="5" l="1"/>
  <c r="C210" i="5"/>
  <c r="C31" i="5"/>
  <c r="J221" i="5"/>
  <c r="C198" i="5"/>
  <c r="J218" i="5" s="1"/>
  <c r="C200" i="5"/>
  <c r="C202" i="5"/>
  <c r="C199" i="5"/>
  <c r="C51" i="5" l="1"/>
  <c r="C29" i="5"/>
  <c r="J219" i="5"/>
  <c r="C32" i="5"/>
  <c r="J222" i="5"/>
  <c r="C30" i="5"/>
  <c r="J220" i="5"/>
  <c r="C39" i="5"/>
  <c r="C28" i="5"/>
  <c r="C208" i="5"/>
  <c r="C40" i="5"/>
  <c r="C211" i="5"/>
  <c r="C43" i="5"/>
  <c r="C209" i="5"/>
  <c r="C41" i="5"/>
  <c r="C207" i="5"/>
  <c r="C203" i="5"/>
  <c r="C50" i="5" l="1"/>
  <c r="C52" i="5"/>
  <c r="C49" i="5"/>
  <c r="C48" i="5"/>
  <c r="C212" i="5"/>
  <c r="C33" i="5"/>
  <c r="J223" i="5"/>
  <c r="C44" i="5"/>
  <c r="E72" i="5" s="1"/>
  <c r="D30" i="21" s="1"/>
  <c r="C32" i="3"/>
  <c r="C26" i="3"/>
  <c r="C154" i="21" l="1"/>
  <c r="E70" i="5"/>
  <c r="E68" i="5"/>
  <c r="E67" i="5"/>
  <c r="E71" i="5"/>
  <c r="E69" i="5"/>
  <c r="D28" i="21"/>
  <c r="D26" i="21"/>
  <c r="D27" i="21"/>
  <c r="D25" i="21"/>
  <c r="T32" i="21" s="1"/>
  <c r="D29" i="21"/>
  <c r="C94" i="21" s="1"/>
  <c r="C10" i="3"/>
  <c r="C9" i="3"/>
  <c r="C11" i="3" s="1"/>
  <c r="C23" i="17"/>
  <c r="E212" i="5"/>
  <c r="E210" i="5"/>
  <c r="C230" i="5" s="1"/>
  <c r="E208" i="5"/>
  <c r="C226" i="5" s="1"/>
  <c r="E207" i="5"/>
  <c r="C227" i="5" s="1"/>
  <c r="E209" i="5"/>
  <c r="C228" i="5" s="1"/>
  <c r="E211" i="5"/>
  <c r="C229" i="5" s="1"/>
  <c r="C53" i="5"/>
  <c r="E73" i="5" l="1"/>
  <c r="C5" i="5" s="1"/>
  <c r="C24" i="29" s="1"/>
  <c r="C196" i="29" s="1"/>
  <c r="C207" i="29" s="1"/>
  <c r="C93" i="21"/>
  <c r="T35" i="21"/>
  <c r="C92" i="21"/>
  <c r="T34" i="21"/>
  <c r="C91" i="21"/>
  <c r="T33" i="21"/>
  <c r="D42" i="17"/>
  <c r="G42" i="17" s="1"/>
  <c r="D68" i="17"/>
  <c r="D73" i="17"/>
  <c r="G73" i="17" s="1"/>
  <c r="G103" i="17"/>
  <c r="G104" i="17"/>
  <c r="D34" i="17"/>
  <c r="D54" i="17"/>
  <c r="D63" i="17"/>
  <c r="D72" i="17"/>
  <c r="G72" i="17" s="1"/>
  <c r="D64" i="17"/>
  <c r="G64" i="17" s="1"/>
  <c r="D65" i="17"/>
  <c r="G65" i="17" s="1"/>
  <c r="D70" i="17"/>
  <c r="G70" i="17" s="1"/>
  <c r="D77" i="17"/>
  <c r="G77" i="17" s="1"/>
  <c r="D76" i="17"/>
  <c r="G76" i="17" s="1"/>
  <c r="D71" i="17"/>
  <c r="G71" i="17" s="1"/>
  <c r="D67" i="17"/>
  <c r="G67" i="17" s="1"/>
  <c r="D75" i="17"/>
  <c r="G75" i="17" s="1"/>
  <c r="D66" i="17"/>
  <c r="G66" i="17" s="1"/>
  <c r="D74" i="17"/>
  <c r="G74" i="17" s="1"/>
  <c r="D56" i="17"/>
  <c r="G56" i="17" s="1"/>
  <c r="D55" i="17"/>
  <c r="G55" i="17" s="1"/>
  <c r="D38" i="17"/>
  <c r="G38" i="17" s="1"/>
  <c r="D43" i="17"/>
  <c r="G43" i="17" s="1"/>
  <c r="D41" i="17"/>
  <c r="G41" i="17" s="1"/>
  <c r="D47" i="17"/>
  <c r="G47" i="17" s="1"/>
  <c r="D40" i="17"/>
  <c r="C240" i="17" s="1"/>
  <c r="D46" i="17"/>
  <c r="G46" i="17" s="1"/>
  <c r="D44" i="17"/>
  <c r="G44" i="17" s="1"/>
  <c r="D39" i="17"/>
  <c r="D36" i="17"/>
  <c r="C239" i="17" s="1"/>
  <c r="D45" i="17"/>
  <c r="G45" i="17" s="1"/>
  <c r="D37" i="17"/>
  <c r="G37" i="17" s="1"/>
  <c r="D35" i="17"/>
  <c r="D19" i="29"/>
  <c r="C22" i="17"/>
  <c r="C43" i="3"/>
  <c r="D31" i="21"/>
  <c r="I21" i="21" s="1"/>
  <c r="E51" i="5"/>
  <c r="C240" i="5" s="1"/>
  <c r="C90" i="21"/>
  <c r="C165" i="21"/>
  <c r="E30" i="21" s="1"/>
  <c r="C99" i="21"/>
  <c r="C231" i="5"/>
  <c r="E53" i="5"/>
  <c r="C241" i="5" s="1"/>
  <c r="E52" i="5"/>
  <c r="C239" i="5" s="1"/>
  <c r="E49" i="5"/>
  <c r="C236" i="5" s="1"/>
  <c r="E50" i="5"/>
  <c r="C238" i="5" s="1"/>
  <c r="E48" i="5"/>
  <c r="C237" i="5" s="1"/>
  <c r="C241" i="17" l="1"/>
  <c r="G54" i="17"/>
  <c r="C237" i="17"/>
  <c r="C38" i="26"/>
  <c r="D38" i="26" s="1"/>
  <c r="E38" i="26" s="1"/>
  <c r="C238" i="17"/>
  <c r="C43" i="29"/>
  <c r="C31" i="29"/>
  <c r="G39" i="17"/>
  <c r="D241" i="17" s="1"/>
  <c r="C28" i="26" s="1"/>
  <c r="D28" i="26" s="1"/>
  <c r="E28" i="26" s="1"/>
  <c r="G34" i="17"/>
  <c r="D237" i="17" s="1"/>
  <c r="G40" i="17"/>
  <c r="D240" i="17" s="1"/>
  <c r="C27" i="26" s="1"/>
  <c r="D27" i="26" s="1"/>
  <c r="E27" i="26" s="1"/>
  <c r="G36" i="17"/>
  <c r="D239" i="17" s="1"/>
  <c r="C26" i="26" s="1"/>
  <c r="D26" i="26" s="1"/>
  <c r="E26" i="26" s="1"/>
  <c r="G105" i="17"/>
  <c r="G63" i="17"/>
  <c r="G57" i="17"/>
  <c r="C303" i="17" s="1"/>
  <c r="D24" i="29"/>
  <c r="C245" i="6"/>
  <c r="C277" i="6" s="1"/>
  <c r="C14" i="3"/>
  <c r="C64" i="29"/>
  <c r="C91" i="29" s="1"/>
  <c r="C119" i="29"/>
  <c r="C103" i="21"/>
  <c r="C106" i="21"/>
  <c r="C129" i="21" s="1"/>
  <c r="C107" i="21"/>
  <c r="C6" i="21"/>
  <c r="C104" i="21"/>
  <c r="C130" i="21" s="1"/>
  <c r="C105" i="21"/>
  <c r="C242" i="17" l="1"/>
  <c r="C24" i="26"/>
  <c r="C54" i="26"/>
  <c r="D54" i="26" s="1"/>
  <c r="F38" i="26"/>
  <c r="D31" i="29"/>
  <c r="C36" i="29"/>
  <c r="D36" i="29" s="1"/>
  <c r="C48" i="29"/>
  <c r="D43" i="29"/>
  <c r="C279" i="6"/>
  <c r="E239" i="17"/>
  <c r="E237" i="17"/>
  <c r="E240" i="17"/>
  <c r="E238" i="17"/>
  <c r="E241" i="17"/>
  <c r="C38" i="6"/>
  <c r="D151" i="6" s="1"/>
  <c r="C278" i="6"/>
  <c r="C280" i="6" s="1"/>
  <c r="C6" i="29"/>
  <c r="C11" i="29"/>
  <c r="E104" i="4"/>
  <c r="E65" i="4" s="1"/>
  <c r="F65" i="4" s="1"/>
  <c r="E103" i="4"/>
  <c r="F104" i="4"/>
  <c r="E68" i="4" s="1"/>
  <c r="F68" i="4" s="1"/>
  <c r="F103" i="4"/>
  <c r="C126" i="21"/>
  <c r="B667" i="6" l="1"/>
  <c r="D24" i="26"/>
  <c r="E242" i="17"/>
  <c r="D48" i="29"/>
  <c r="E314" i="6"/>
  <c r="E315" i="6"/>
  <c r="C101" i="6" s="1"/>
  <c r="C136" i="6" s="1"/>
  <c r="C316" i="6"/>
  <c r="E106" i="4"/>
  <c r="E64" i="4"/>
  <c r="F64" i="4" s="1"/>
  <c r="F106" i="4"/>
  <c r="E67" i="4"/>
  <c r="F67" i="4" s="1"/>
  <c r="E165" i="4"/>
  <c r="C134" i="21"/>
  <c r="E24" i="26" l="1"/>
  <c r="F69" i="4"/>
  <c r="C82" i="6"/>
  <c r="C115" i="6" s="1"/>
  <c r="E122" i="6" s="1"/>
  <c r="F122" i="6" s="1"/>
  <c r="G122" i="6" s="1"/>
  <c r="C49" i="6"/>
  <c r="C63" i="6" s="1"/>
  <c r="C92" i="6"/>
  <c r="C126" i="6" s="1"/>
  <c r="H151" i="6"/>
  <c r="E316" i="6"/>
  <c r="D316" i="6"/>
  <c r="D165" i="4"/>
  <c r="E142" i="6"/>
  <c r="F142" i="6" s="1"/>
  <c r="G142" i="6" s="1"/>
  <c r="E141" i="6"/>
  <c r="F141" i="6" s="1"/>
  <c r="G141" i="6" s="1"/>
  <c r="E143" i="6"/>
  <c r="F143" i="6" s="1"/>
  <c r="G143" i="6" s="1"/>
  <c r="E151" i="6"/>
  <c r="I151" i="6"/>
  <c r="G667" i="6" s="1"/>
  <c r="F151" i="6"/>
  <c r="E107" i="6"/>
  <c r="F107" i="6" s="1"/>
  <c r="G107" i="6" s="1"/>
  <c r="C140" i="21"/>
  <c r="E26" i="21" s="1"/>
  <c r="U33" i="21" s="1"/>
  <c r="C141" i="21"/>
  <c r="E27" i="21" s="1"/>
  <c r="U34" i="21" s="1"/>
  <c r="C142" i="21"/>
  <c r="E28" i="21" s="1"/>
  <c r="C139" i="21"/>
  <c r="E25" i="21" s="1"/>
  <c r="C143" i="21"/>
  <c r="E29" i="21" s="1"/>
  <c r="E106" i="6"/>
  <c r="F106" i="6" s="1"/>
  <c r="G106" i="6" s="1"/>
  <c r="E105" i="6"/>
  <c r="F105" i="6" s="1"/>
  <c r="G105" i="6" s="1"/>
  <c r="E55" i="6" l="1"/>
  <c r="F55" i="6" s="1"/>
  <c r="G55" i="6" s="1"/>
  <c r="C741" i="6"/>
  <c r="C228" i="4"/>
  <c r="C230" i="4" s="1"/>
  <c r="D229" i="4" s="1"/>
  <c r="C82" i="4"/>
  <c r="C5" i="4" s="1"/>
  <c r="C6" i="27" s="1"/>
  <c r="C7" i="27" s="1"/>
  <c r="C732" i="6"/>
  <c r="E732" i="6" s="1"/>
  <c r="E169" i="6"/>
  <c r="E706" i="6" s="1"/>
  <c r="E120" i="6"/>
  <c r="F120" i="6" s="1"/>
  <c r="G120" i="6" s="1"/>
  <c r="G53" i="4"/>
  <c r="F70" i="4"/>
  <c r="D228" i="4" s="1"/>
  <c r="G61" i="4"/>
  <c r="U32" i="21"/>
  <c r="I22" i="21"/>
  <c r="J22" i="21" s="1"/>
  <c r="I24" i="21"/>
  <c r="J24" i="21" s="1"/>
  <c r="I23" i="21"/>
  <c r="J23" i="21" s="1"/>
  <c r="U35" i="21"/>
  <c r="C35" i="4"/>
  <c r="E123" i="6"/>
  <c r="F123" i="6" s="1"/>
  <c r="G123" i="6" s="1"/>
  <c r="E121" i="6"/>
  <c r="F121" i="6" s="1"/>
  <c r="G121" i="6" s="1"/>
  <c r="E97" i="6"/>
  <c r="F97" i="6" s="1"/>
  <c r="G97" i="6" s="1"/>
  <c r="E98" i="6"/>
  <c r="F98" i="6" s="1"/>
  <c r="G98" i="6" s="1"/>
  <c r="E96" i="6"/>
  <c r="F96" i="6" s="1"/>
  <c r="G96" i="6" s="1"/>
  <c r="C667" i="6"/>
  <c r="H169" i="6"/>
  <c r="F667" i="6"/>
  <c r="F169" i="6"/>
  <c r="D667" i="6"/>
  <c r="H21" i="25"/>
  <c r="H39" i="25" s="1"/>
  <c r="C165" i="4"/>
  <c r="G151" i="6"/>
  <c r="G169" i="6" s="1"/>
  <c r="D706" i="6" s="1"/>
  <c r="E133" i="6"/>
  <c r="F133" i="6" s="1"/>
  <c r="G133" i="6" s="1"/>
  <c r="E131" i="6"/>
  <c r="F131" i="6" s="1"/>
  <c r="G131" i="6" s="1"/>
  <c r="E132" i="6"/>
  <c r="F132" i="6" s="1"/>
  <c r="G132" i="6" s="1"/>
  <c r="D169" i="6"/>
  <c r="E31" i="21"/>
  <c r="I25" i="21" s="1"/>
  <c r="F21" i="25"/>
  <c r="I169" i="6"/>
  <c r="C706" i="6" s="1"/>
  <c r="I21" i="25"/>
  <c r="I39" i="25" s="1"/>
  <c r="E21" i="25"/>
  <c r="E39" i="25" s="1"/>
  <c r="G144" i="6"/>
  <c r="E57" i="6"/>
  <c r="F57" i="6" s="1"/>
  <c r="G57" i="6" s="1"/>
  <c r="E56" i="6"/>
  <c r="F56" i="6" s="1"/>
  <c r="G56" i="6" s="1"/>
  <c r="E54" i="6"/>
  <c r="F54" i="6" s="1"/>
  <c r="G54" i="6" s="1"/>
  <c r="G108" i="6"/>
  <c r="F27" i="22"/>
  <c r="G27" i="22"/>
  <c r="D27" i="22"/>
  <c r="C77" i="22" s="1"/>
  <c r="E27" i="22"/>
  <c r="G124" i="6" l="1"/>
  <c r="C743" i="6"/>
  <c r="E743" i="6" s="1"/>
  <c r="C744" i="6"/>
  <c r="E744" i="6" s="1"/>
  <c r="C742" i="6"/>
  <c r="E742" i="6" s="1"/>
  <c r="E741" i="6"/>
  <c r="H22" i="21"/>
  <c r="C733" i="6"/>
  <c r="E733" i="6" s="1"/>
  <c r="F39" i="25"/>
  <c r="G99" i="6"/>
  <c r="F664" i="6"/>
  <c r="E664" i="6"/>
  <c r="F666" i="6"/>
  <c r="B664" i="6"/>
  <c r="D664" i="6"/>
  <c r="C666" i="6"/>
  <c r="B666" i="6"/>
  <c r="G664" i="6"/>
  <c r="C664" i="6"/>
  <c r="G666" i="6"/>
  <c r="T21" i="25"/>
  <c r="G21" i="25"/>
  <c r="G39" i="25" s="1"/>
  <c r="E667" i="6"/>
  <c r="G668" i="6" s="1"/>
  <c r="N21" i="25"/>
  <c r="D170" i="6"/>
  <c r="G134" i="6"/>
  <c r="C26" i="8"/>
  <c r="D21" i="25"/>
  <c r="D39" i="25" s="1"/>
  <c r="C29" i="8"/>
  <c r="Q21" i="25"/>
  <c r="Q39" i="25" s="1"/>
  <c r="K21" i="25"/>
  <c r="K39" i="25" s="1"/>
  <c r="L21" i="25"/>
  <c r="R21" i="25"/>
  <c r="O21" i="25"/>
  <c r="O39" i="25" s="1"/>
  <c r="U21" i="25"/>
  <c r="U39" i="25" s="1"/>
  <c r="C22" i="29"/>
  <c r="C194" i="29" s="1"/>
  <c r="C205" i="29" s="1"/>
  <c r="G58" i="6"/>
  <c r="F20" i="22"/>
  <c r="J20" i="22" s="1"/>
  <c r="E20" i="22"/>
  <c r="E31" i="22" s="1"/>
  <c r="C91" i="22"/>
  <c r="D20" i="22"/>
  <c r="G20" i="22"/>
  <c r="C7" i="21"/>
  <c r="H23" i="21"/>
  <c r="H24" i="21" s="1"/>
  <c r="D90" i="8"/>
  <c r="D91" i="8"/>
  <c r="D92" i="8"/>
  <c r="D93" i="8"/>
  <c r="D94" i="8"/>
  <c r="D95" i="8"/>
  <c r="D96" i="8"/>
  <c r="D89" i="8"/>
  <c r="D83" i="8"/>
  <c r="D84" i="8"/>
  <c r="D85" i="8"/>
  <c r="D86" i="8"/>
  <c r="D82" i="8"/>
  <c r="C745" i="6" l="1"/>
  <c r="E745" i="6"/>
  <c r="F741" i="6" s="1"/>
  <c r="F743" i="6"/>
  <c r="D228" i="22"/>
  <c r="D229" i="22"/>
  <c r="C665" i="6"/>
  <c r="C734" i="6"/>
  <c r="E734" i="6" s="1"/>
  <c r="D31" i="22"/>
  <c r="B668" i="6"/>
  <c r="C668" i="6"/>
  <c r="F668" i="6"/>
  <c r="E666" i="6"/>
  <c r="E668" i="6"/>
  <c r="D668" i="6"/>
  <c r="F665" i="6"/>
  <c r="G665" i="6"/>
  <c r="B665" i="6"/>
  <c r="E665" i="6"/>
  <c r="D665" i="6"/>
  <c r="M21" i="25"/>
  <c r="M39" i="25" s="1"/>
  <c r="S21" i="25"/>
  <c r="S39" i="25" s="1"/>
  <c r="D666" i="6"/>
  <c r="D40" i="25"/>
  <c r="C39" i="30"/>
  <c r="G39" i="30" s="1"/>
  <c r="C38" i="30"/>
  <c r="C49" i="30" s="1"/>
  <c r="C37" i="30"/>
  <c r="C48" i="30" s="1"/>
  <c r="P21" i="25"/>
  <c r="J21" i="25"/>
  <c r="C36" i="30"/>
  <c r="C47" i="30" s="1"/>
  <c r="C35" i="30"/>
  <c r="G35" i="30" s="1"/>
  <c r="D22" i="29"/>
  <c r="C9" i="29"/>
  <c r="C63" i="29"/>
  <c r="C90" i="29" s="1"/>
  <c r="C118" i="29"/>
  <c r="D118" i="29"/>
  <c r="D63" i="29"/>
  <c r="D90" i="29" s="1"/>
  <c r="C8" i="21"/>
  <c r="D119" i="29"/>
  <c r="D64" i="29"/>
  <c r="I150" i="22"/>
  <c r="I162" i="22" s="1"/>
  <c r="I168" i="22" s="1"/>
  <c r="D175" i="22" s="1"/>
  <c r="C141" i="22"/>
  <c r="C143" i="22" s="1"/>
  <c r="C161" i="22" s="1"/>
  <c r="F31" i="22"/>
  <c r="I20" i="22"/>
  <c r="M20" i="22" s="1"/>
  <c r="K20" i="22"/>
  <c r="G31" i="22"/>
  <c r="H20" i="22"/>
  <c r="N20" i="22"/>
  <c r="F744" i="6" l="1"/>
  <c r="F742" i="6"/>
  <c r="F745" i="6"/>
  <c r="E229" i="22"/>
  <c r="D102" i="29"/>
  <c r="AF126" i="29"/>
  <c r="AF138" i="29" s="1"/>
  <c r="C735" i="6"/>
  <c r="E735" i="6" s="1"/>
  <c r="F734" i="6" s="1"/>
  <c r="C46" i="29"/>
  <c r="D46" i="29" s="1"/>
  <c r="C34" i="29"/>
  <c r="D34" i="29" s="1"/>
  <c r="E90" i="29"/>
  <c r="AG138" i="29" s="1"/>
  <c r="D76" i="29"/>
  <c r="D91" i="29"/>
  <c r="D130" i="29"/>
  <c r="E119" i="29"/>
  <c r="AG139" i="29" s="1"/>
  <c r="D131" i="29"/>
  <c r="E118" i="29"/>
  <c r="C50" i="30"/>
  <c r="G50" i="30" s="1"/>
  <c r="E61" i="25"/>
  <c r="G38" i="30"/>
  <c r="G37" i="30"/>
  <c r="G36" i="30"/>
  <c r="C46" i="30"/>
  <c r="E62" i="25"/>
  <c r="E60" i="25"/>
  <c r="E59" i="25"/>
  <c r="G49" i="30"/>
  <c r="G48" i="30"/>
  <c r="G47" i="30"/>
  <c r="D75" i="29"/>
  <c r="E64" i="29"/>
  <c r="E63" i="29"/>
  <c r="I161" i="22"/>
  <c r="I153" i="22"/>
  <c r="C162" i="22"/>
  <c r="C168" i="22" s="1"/>
  <c r="C175" i="22" s="1"/>
  <c r="E77" i="22"/>
  <c r="D77" i="22" s="1"/>
  <c r="E32" i="22"/>
  <c r="C6" i="22" s="1"/>
  <c r="D227" i="22" s="1"/>
  <c r="L20" i="22"/>
  <c r="O20" i="22"/>
  <c r="E228" i="22" l="1"/>
  <c r="B228" i="22" s="1"/>
  <c r="B229" i="22"/>
  <c r="D103" i="29"/>
  <c r="AF127" i="29"/>
  <c r="AF139" i="29" s="1"/>
  <c r="F732" i="6"/>
  <c r="F733" i="6"/>
  <c r="E91" i="29"/>
  <c r="D18" i="31"/>
  <c r="D21" i="31" s="1"/>
  <c r="D115" i="31" s="1"/>
  <c r="G46" i="30"/>
  <c r="G51" i="30" s="1"/>
  <c r="C54" i="30" s="1"/>
  <c r="C5" i="30" s="1"/>
  <c r="C25" i="29" s="1"/>
  <c r="D115" i="17"/>
  <c r="G115" i="17" s="1"/>
  <c r="G68" i="17"/>
  <c r="D116" i="17"/>
  <c r="G116" i="17" s="1"/>
  <c r="D69" i="17"/>
  <c r="E66" i="25"/>
  <c r="J27" i="22"/>
  <c r="J31" i="22" s="1"/>
  <c r="I27" i="22"/>
  <c r="I31" i="22" s="1"/>
  <c r="K27" i="22"/>
  <c r="K31" i="22" s="1"/>
  <c r="H27" i="22"/>
  <c r="H31" i="22" s="1"/>
  <c r="L27" i="22"/>
  <c r="G40" i="30"/>
  <c r="J24" i="25"/>
  <c r="E80" i="25"/>
  <c r="J25" i="25"/>
  <c r="P25" i="25" s="1"/>
  <c r="E81" i="25"/>
  <c r="J26" i="25"/>
  <c r="P26" i="25" s="1"/>
  <c r="E82" i="25"/>
  <c r="J27" i="25"/>
  <c r="P27" i="25" s="1"/>
  <c r="E83" i="25"/>
  <c r="G77" i="22"/>
  <c r="F77" i="22" s="1"/>
  <c r="D31" i="24"/>
  <c r="C43" i="26" l="1"/>
  <c r="D43" i="26" s="1"/>
  <c r="E43" i="26" s="1"/>
  <c r="G69" i="17"/>
  <c r="C310" i="17"/>
  <c r="F735" i="6"/>
  <c r="D23" i="31"/>
  <c r="D117" i="31" s="1"/>
  <c r="D22" i="31"/>
  <c r="D116" i="31" s="1"/>
  <c r="D19" i="31"/>
  <c r="D113" i="31" s="1"/>
  <c r="D20" i="31"/>
  <c r="D114" i="31" s="1"/>
  <c r="C121" i="29"/>
  <c r="C197" i="29"/>
  <c r="C208" i="29" s="1"/>
  <c r="L31" i="22"/>
  <c r="G78" i="17"/>
  <c r="G126" i="17"/>
  <c r="I32" i="22"/>
  <c r="C8" i="22" s="1"/>
  <c r="C9" i="22" s="1"/>
  <c r="N27" i="22"/>
  <c r="N31" i="22" s="1"/>
  <c r="M27" i="22"/>
  <c r="M31" i="22" s="1"/>
  <c r="O27" i="22"/>
  <c r="O31" i="22" s="1"/>
  <c r="E87" i="25"/>
  <c r="L27" i="25"/>
  <c r="R27" i="25" s="1"/>
  <c r="E104" i="25"/>
  <c r="N27" i="25" s="1"/>
  <c r="T27" i="25" s="1"/>
  <c r="L26" i="25"/>
  <c r="R26" i="25" s="1"/>
  <c r="E103" i="25"/>
  <c r="N26" i="25" s="1"/>
  <c r="T26" i="25" s="1"/>
  <c r="L25" i="25"/>
  <c r="R25" i="25" s="1"/>
  <c r="E102" i="25"/>
  <c r="N25" i="25" s="1"/>
  <c r="T25" i="25" s="1"/>
  <c r="L24" i="25"/>
  <c r="E101" i="25"/>
  <c r="P24" i="25"/>
  <c r="P39" i="25" s="1"/>
  <c r="J39" i="25"/>
  <c r="D25" i="29"/>
  <c r="C66" i="29"/>
  <c r="C12" i="29"/>
  <c r="D230" i="22" l="1"/>
  <c r="E230" i="22" s="1"/>
  <c r="B230" i="22" s="1"/>
  <c r="C312" i="17"/>
  <c r="C311" i="17"/>
  <c r="C313" i="17" s="1"/>
  <c r="C304" i="17"/>
  <c r="F43" i="26"/>
  <c r="C55" i="26"/>
  <c r="D55" i="26" s="1"/>
  <c r="C37" i="29"/>
  <c r="D37" i="29" s="1"/>
  <c r="C49" i="29"/>
  <c r="C93" i="29"/>
  <c r="D29" i="31"/>
  <c r="C6" i="31" s="1"/>
  <c r="D60" i="29"/>
  <c r="D72" i="29" s="1"/>
  <c r="M32" i="22"/>
  <c r="E8" i="22" s="1"/>
  <c r="N24" i="25"/>
  <c r="N39" i="25" s="1"/>
  <c r="E108" i="25"/>
  <c r="R24" i="25"/>
  <c r="R39" i="25" s="1"/>
  <c r="L39" i="25"/>
  <c r="D87" i="29" l="1"/>
  <c r="D115" i="29"/>
  <c r="D127" i="29" s="1"/>
  <c r="D49" i="29"/>
  <c r="D169" i="25"/>
  <c r="D171" i="25"/>
  <c r="D172" i="25" s="1"/>
  <c r="D170" i="25"/>
  <c r="D231" i="22"/>
  <c r="E115" i="29"/>
  <c r="T24" i="25"/>
  <c r="T39" i="25" s="1"/>
  <c r="Q40" i="25" s="1"/>
  <c r="E8" i="25" s="1"/>
  <c r="E60" i="29"/>
  <c r="E9" i="22"/>
  <c r="K40" i="25"/>
  <c r="C8" i="25" s="1"/>
  <c r="D61" i="29" s="1"/>
  <c r="D99" i="29" l="1"/>
  <c r="E87" i="29"/>
  <c r="E171" i="25"/>
  <c r="E170" i="25"/>
  <c r="D88" i="29"/>
  <c r="D116" i="29"/>
  <c r="E69" i="6"/>
  <c r="F69" i="6" s="1"/>
  <c r="G69" i="6" s="1"/>
  <c r="E87" i="6"/>
  <c r="F87" i="6" s="1"/>
  <c r="G87" i="6" s="1"/>
  <c r="E86" i="6"/>
  <c r="F86" i="6" s="1"/>
  <c r="G86" i="6" s="1"/>
  <c r="E88" i="6"/>
  <c r="F88" i="6" s="1"/>
  <c r="G88" i="6" s="1"/>
  <c r="E89" i="6"/>
  <c r="F89" i="6" s="1"/>
  <c r="G89" i="6" s="1"/>
  <c r="E70" i="6" l="1"/>
  <c r="F70" i="6" s="1"/>
  <c r="G70" i="6" s="1"/>
  <c r="E68" i="6"/>
  <c r="F68" i="6" s="1"/>
  <c r="G68" i="6" s="1"/>
  <c r="E71" i="6"/>
  <c r="F71" i="6" s="1"/>
  <c r="G71" i="6" s="1"/>
  <c r="C5" i="6"/>
  <c r="C6" i="25" s="1"/>
  <c r="D168" i="25" s="1"/>
  <c r="E45" i="6"/>
  <c r="F45" i="6" s="1"/>
  <c r="G45" i="6" s="1"/>
  <c r="E43" i="6"/>
  <c r="F43" i="6" s="1"/>
  <c r="G43" i="6" s="1"/>
  <c r="E46" i="6"/>
  <c r="F46" i="6" s="1"/>
  <c r="G46" i="6" s="1"/>
  <c r="E44" i="6"/>
  <c r="F44" i="6" s="1"/>
  <c r="G44" i="6" s="1"/>
  <c r="G90" i="6"/>
  <c r="E169" i="25" l="1"/>
  <c r="B169" i="25" s="1"/>
  <c r="B170" i="25"/>
  <c r="B171" i="25"/>
  <c r="C9" i="25"/>
  <c r="E9" i="25"/>
  <c r="C20" i="29"/>
  <c r="G72" i="6"/>
  <c r="C27" i="8"/>
  <c r="C38" i="8" s="1"/>
  <c r="D38" i="8" s="1"/>
  <c r="C28" i="8"/>
  <c r="G47" i="6"/>
  <c r="C192" i="29" l="1"/>
  <c r="D20" i="29"/>
  <c r="C209" i="7" s="1"/>
  <c r="C7" i="29"/>
  <c r="C61" i="29"/>
  <c r="C88" i="29" s="1"/>
  <c r="C116" i="29"/>
  <c r="AG143" i="29" s="1"/>
  <c r="C47" i="8"/>
  <c r="D47" i="8" s="1"/>
  <c r="C46" i="8"/>
  <c r="D46" i="8" s="1"/>
  <c r="C39" i="8"/>
  <c r="D39" i="8" s="1"/>
  <c r="D100" i="29" l="1"/>
  <c r="AF131" i="29"/>
  <c r="AF143" i="29" s="1"/>
  <c r="C203" i="29"/>
  <c r="D203" i="29"/>
  <c r="E203" i="29"/>
  <c r="C44" i="29"/>
  <c r="C32" i="29"/>
  <c r="D73" i="29"/>
  <c r="D128" i="29"/>
  <c r="E116" i="29"/>
  <c r="E61" i="29"/>
  <c r="D58" i="8"/>
  <c r="F38" i="8"/>
  <c r="F39" i="8"/>
  <c r="F46" i="8"/>
  <c r="D59" i="8"/>
  <c r="F47" i="8"/>
  <c r="D44" i="29" l="1"/>
  <c r="D32" i="29"/>
  <c r="E88" i="29"/>
  <c r="F139" i="8"/>
  <c r="F138" i="8"/>
  <c r="F141" i="8"/>
  <c r="F140" i="8"/>
  <c r="C139" i="8"/>
  <c r="C138" i="8"/>
  <c r="D21" i="24"/>
  <c r="C141" i="8"/>
  <c r="D141" i="8" s="1"/>
  <c r="C140" i="8"/>
  <c r="F48" i="8"/>
  <c r="D68" i="8"/>
  <c r="D20" i="24"/>
  <c r="F40" i="8"/>
  <c r="D38" i="24" l="1"/>
  <c r="I21" i="24" s="1"/>
  <c r="I23" i="24"/>
  <c r="I22" i="24"/>
  <c r="D138" i="8"/>
  <c r="G140" i="8"/>
  <c r="G141" i="8"/>
  <c r="G138" i="8"/>
  <c r="E21" i="24"/>
  <c r="C66" i="24" s="1"/>
  <c r="C71" i="24" s="1"/>
  <c r="D140" i="8"/>
  <c r="G139" i="8"/>
  <c r="D139" i="8"/>
  <c r="C51" i="8"/>
  <c r="C6" i="8" s="1"/>
  <c r="C23" i="29" s="1"/>
  <c r="C195" i="29" s="1"/>
  <c r="C206" i="29" s="1"/>
  <c r="E20" i="24"/>
  <c r="C53" i="24"/>
  <c r="C58" i="24" s="1"/>
  <c r="J23" i="24" l="1"/>
  <c r="K23" i="24" s="1"/>
  <c r="I24" i="24"/>
  <c r="J24" i="24" s="1"/>
  <c r="J22" i="24"/>
  <c r="K22" i="24" s="1"/>
  <c r="C74" i="24"/>
  <c r="E38" i="24"/>
  <c r="C65" i="29"/>
  <c r="C92" i="29" s="1"/>
  <c r="D23" i="29"/>
  <c r="C10" i="29"/>
  <c r="C6" i="24"/>
  <c r="C120" i="29"/>
  <c r="C35" i="29" l="1"/>
  <c r="C47" i="29"/>
  <c r="C7" i="24"/>
  <c r="D120" i="29" s="1"/>
  <c r="E120" i="29" s="1"/>
  <c r="D65" i="29" l="1"/>
  <c r="D77" i="29" s="1"/>
  <c r="D47" i="29"/>
  <c r="D35" i="29"/>
  <c r="C8" i="24"/>
  <c r="D92" i="29"/>
  <c r="D132" i="29"/>
  <c r="E65" i="29"/>
  <c r="AF129" i="29" l="1"/>
  <c r="AF141" i="29" s="1"/>
  <c r="D104" i="29"/>
  <c r="E92" i="29"/>
  <c r="AG141" i="29" s="1"/>
  <c r="B114" i="31"/>
  <c r="B115" i="31"/>
  <c r="B116" i="31"/>
  <c r="B113" i="31"/>
  <c r="C113" i="31" l="1"/>
  <c r="C116" i="31" l="1"/>
  <c r="C115" i="31"/>
  <c r="C114" i="31"/>
  <c r="C117" i="31"/>
  <c r="C118" i="31" l="1"/>
  <c r="D118" i="31"/>
  <c r="E18" i="31" l="1"/>
  <c r="E113" i="31"/>
  <c r="E19" i="31" s="1"/>
  <c r="E116" i="31"/>
  <c r="E22" i="31" s="1"/>
  <c r="E115" i="31"/>
  <c r="E21" i="31" s="1"/>
  <c r="E114" i="31"/>
  <c r="E20" i="31" s="1"/>
  <c r="E117" i="31"/>
  <c r="E23" i="31" s="1"/>
  <c r="E118" i="31" l="1"/>
  <c r="E29" i="31"/>
  <c r="C7" i="31" s="1"/>
  <c r="D121" i="29" s="1"/>
  <c r="E121" i="29" l="1"/>
  <c r="D133" i="29"/>
  <c r="C8" i="31"/>
  <c r="D66" i="29"/>
  <c r="D93" i="29" l="1"/>
  <c r="D78" i="29"/>
  <c r="E66" i="29"/>
  <c r="AG142" i="29" s="1"/>
  <c r="E93" i="29" l="1"/>
  <c r="D105" i="29"/>
  <c r="AF130" i="29"/>
  <c r="AF142" i="29" s="1"/>
  <c r="C159" i="17"/>
  <c r="C156" i="17"/>
  <c r="C157" i="17"/>
  <c r="C158" i="17"/>
  <c r="C160" i="17"/>
  <c r="G35" i="17" l="1"/>
  <c r="G87" i="17"/>
  <c r="G96" i="17" s="1"/>
  <c r="C296" i="17" l="1"/>
  <c r="G97" i="17"/>
  <c r="C45" i="29"/>
  <c r="G106" i="17"/>
  <c r="G48" i="17"/>
  <c r="D238" i="17"/>
  <c r="C25" i="26" l="1"/>
  <c r="D242" i="17"/>
  <c r="C302" i="17"/>
  <c r="C33" i="29"/>
  <c r="C295" i="17"/>
  <c r="C129" i="17"/>
  <c r="C5" i="17" s="1"/>
  <c r="F238" i="17"/>
  <c r="F241" i="17"/>
  <c r="F237" i="17"/>
  <c r="F239" i="17"/>
  <c r="F240" i="17"/>
  <c r="C21" i="29" l="1"/>
  <c r="C6" i="26"/>
  <c r="D33" i="29"/>
  <c r="C38" i="29"/>
  <c r="C305" i="17"/>
  <c r="D302" i="17" s="1"/>
  <c r="F242" i="17"/>
  <c r="D25" i="26"/>
  <c r="C29" i="26"/>
  <c r="C193" i="29"/>
  <c r="C204" i="29" s="1"/>
  <c r="C209" i="29" s="1"/>
  <c r="C62" i="29"/>
  <c r="C89" i="29" s="1"/>
  <c r="D21" i="29"/>
  <c r="D26" i="29" s="1"/>
  <c r="C117" i="29"/>
  <c r="C26" i="29"/>
  <c r="C8" i="29"/>
  <c r="C13" i="29" s="1"/>
  <c r="D10" i="29" s="1"/>
  <c r="C50" i="29"/>
  <c r="E25" i="26" l="1"/>
  <c r="E29" i="26" s="1"/>
  <c r="D29" i="26"/>
  <c r="D303" i="17"/>
  <c r="D304" i="17"/>
  <c r="D102" i="26"/>
  <c r="C64" i="26"/>
  <c r="D105" i="26" s="1"/>
  <c r="D106" i="26" s="1"/>
  <c r="C7" i="26" s="1"/>
  <c r="D62" i="29" s="1"/>
  <c r="D212" i="29"/>
  <c r="C212" i="29"/>
  <c r="C213" i="29"/>
  <c r="E45" i="29"/>
  <c r="C94" i="29"/>
  <c r="D98" i="29" s="1"/>
  <c r="C67" i="29"/>
  <c r="D71" i="29" s="1"/>
  <c r="C72" i="29" s="1"/>
  <c r="C216" i="29"/>
  <c r="C214" i="29"/>
  <c r="C217" i="29"/>
  <c r="E212" i="29"/>
  <c r="C215" i="29"/>
  <c r="E25" i="29"/>
  <c r="C198" i="29"/>
  <c r="E48" i="29"/>
  <c r="E46" i="29"/>
  <c r="C122" i="29"/>
  <c r="E23" i="29"/>
  <c r="D11" i="29"/>
  <c r="E49" i="29"/>
  <c r="E19" i="29"/>
  <c r="D8" i="29"/>
  <c r="D12" i="29"/>
  <c r="D9" i="29"/>
  <c r="E24" i="29"/>
  <c r="E20" i="29"/>
  <c r="E47" i="29"/>
  <c r="E22" i="29"/>
  <c r="D6" i="29"/>
  <c r="E44" i="29"/>
  <c r="D117" i="29"/>
  <c r="D7" i="29"/>
  <c r="D45" i="29"/>
  <c r="D50" i="29" s="1"/>
  <c r="E43" i="29"/>
  <c r="E21" i="29"/>
  <c r="D38" i="29"/>
  <c r="D103" i="26" l="1"/>
  <c r="F29" i="26"/>
  <c r="C53" i="26"/>
  <c r="D53" i="26" s="1"/>
  <c r="AF125" i="29"/>
  <c r="C99" i="29"/>
  <c r="C100" i="29" s="1"/>
  <c r="C218" i="29"/>
  <c r="D74" i="29"/>
  <c r="D89" i="29"/>
  <c r="C142" i="29"/>
  <c r="C73" i="29"/>
  <c r="E50" i="29"/>
  <c r="C144" i="29"/>
  <c r="N145" i="29" s="1"/>
  <c r="I19" i="29"/>
  <c r="D191" i="29"/>
  <c r="I23" i="29"/>
  <c r="D196" i="29"/>
  <c r="D13" i="29"/>
  <c r="I21" i="29"/>
  <c r="D194" i="29"/>
  <c r="I20" i="29"/>
  <c r="D193" i="29"/>
  <c r="J19" i="29"/>
  <c r="D192" i="29"/>
  <c r="I22" i="29"/>
  <c r="D195" i="29"/>
  <c r="I24" i="29"/>
  <c r="D197" i="29"/>
  <c r="E117" i="29"/>
  <c r="AG140" i="29" s="1"/>
  <c r="D122" i="29"/>
  <c r="D129" i="29"/>
  <c r="C143" i="29"/>
  <c r="D126" i="29"/>
  <c r="Q144" i="29"/>
  <c r="E26" i="29"/>
  <c r="D198" i="29" s="1"/>
  <c r="E33" i="29"/>
  <c r="E35" i="29"/>
  <c r="E31" i="29"/>
  <c r="E34" i="29"/>
  <c r="E36" i="29"/>
  <c r="E32" i="29"/>
  <c r="E37" i="29"/>
  <c r="D104" i="26" l="1"/>
  <c r="E105" i="26" s="1"/>
  <c r="B105" i="26" s="1"/>
  <c r="C67" i="26"/>
  <c r="C68" i="26" s="1"/>
  <c r="C70" i="26" s="1"/>
  <c r="E103" i="26"/>
  <c r="B103" i="26" s="1"/>
  <c r="D101" i="29"/>
  <c r="D106" i="29" s="1"/>
  <c r="AF128" i="29"/>
  <c r="AF140" i="29" s="1"/>
  <c r="AE126" i="29"/>
  <c r="AF137" i="29"/>
  <c r="AF145" i="29" s="1"/>
  <c r="C127" i="29"/>
  <c r="C128" i="29" s="1"/>
  <c r="C129" i="29" s="1"/>
  <c r="C130" i="29" s="1"/>
  <c r="C131" i="29" s="1"/>
  <c r="C132" i="29" s="1"/>
  <c r="C133" i="29" s="1"/>
  <c r="E129" i="29"/>
  <c r="E130" i="29"/>
  <c r="E131" i="29"/>
  <c r="E127" i="29"/>
  <c r="E128" i="29"/>
  <c r="E132" i="29"/>
  <c r="E133" i="29"/>
  <c r="O144" i="29"/>
  <c r="C74" i="29"/>
  <c r="C75" i="29" s="1"/>
  <c r="C76" i="29" s="1"/>
  <c r="C77" i="29" s="1"/>
  <c r="C78" i="29" s="1"/>
  <c r="E89" i="29"/>
  <c r="D94" i="29"/>
  <c r="E94" i="29" s="1"/>
  <c r="E145" i="29"/>
  <c r="D145" i="29"/>
  <c r="K145" i="29"/>
  <c r="Q145" i="29"/>
  <c r="M145" i="29"/>
  <c r="P145" i="29"/>
  <c r="I145" i="29"/>
  <c r="H145" i="29"/>
  <c r="O145" i="29"/>
  <c r="L145" i="29"/>
  <c r="G145" i="29"/>
  <c r="C145" i="29"/>
  <c r="F145" i="29"/>
  <c r="J145" i="29"/>
  <c r="K144" i="29"/>
  <c r="P144" i="29"/>
  <c r="H144" i="29"/>
  <c r="G144" i="29"/>
  <c r="F144" i="29"/>
  <c r="L144" i="29"/>
  <c r="N144" i="29"/>
  <c r="J144" i="29"/>
  <c r="E144" i="29"/>
  <c r="E122" i="29"/>
  <c r="Q143" i="29"/>
  <c r="D144" i="29"/>
  <c r="I144" i="29"/>
  <c r="M144" i="29"/>
  <c r="E38" i="29"/>
  <c r="E104" i="26" l="1"/>
  <c r="B104" i="26" s="1"/>
  <c r="AF132" i="29"/>
  <c r="AE127" i="29"/>
  <c r="AE138" i="29"/>
  <c r="C101" i="29"/>
  <c r="C102" i="29" s="1"/>
  <c r="C103" i="29" s="1"/>
  <c r="C104" i="29" s="1"/>
  <c r="C105" i="29" s="1"/>
  <c r="D134" i="29"/>
  <c r="E134" i="29" s="1"/>
  <c r="AF144" i="29"/>
  <c r="R143" i="29"/>
  <c r="I143" i="29"/>
  <c r="E143" i="29"/>
  <c r="M143" i="29"/>
  <c r="H143" i="29"/>
  <c r="P143" i="29"/>
  <c r="F143" i="29"/>
  <c r="L143" i="29"/>
  <c r="J143" i="29"/>
  <c r="N143" i="29"/>
  <c r="G143" i="29"/>
  <c r="O143" i="29"/>
  <c r="K143" i="29"/>
  <c r="D143" i="29"/>
  <c r="AE128" i="29" l="1"/>
  <c r="AE139" i="29"/>
  <c r="F106" i="29"/>
  <c r="C8" i="26"/>
  <c r="AE129" i="29" l="1"/>
  <c r="AE140" i="29"/>
  <c r="E62" i="29"/>
  <c r="AE130" i="29" l="1"/>
  <c r="AE141" i="29"/>
  <c r="D67" i="29"/>
  <c r="AE131" i="29" l="1"/>
  <c r="AE143" i="29" s="1"/>
  <c r="AE144" i="29" s="1"/>
  <c r="AE142" i="29"/>
  <c r="E67" i="29"/>
  <c r="R142" i="29" s="1"/>
  <c r="Q142" i="29"/>
  <c r="D79" i="29"/>
  <c r="F79" i="29" s="1"/>
  <c r="D135" i="29" l="1"/>
  <c r="F135" i="29" s="1"/>
  <c r="C134" i="29"/>
  <c r="D142" i="29"/>
  <c r="L142" i="29"/>
  <c r="P142" i="29"/>
  <c r="O142" i="29"/>
  <c r="J142" i="29"/>
  <c r="G142" i="29"/>
  <c r="H142" i="29"/>
  <c r="E142" i="29"/>
  <c r="M142" i="29"/>
  <c r="F142" i="29"/>
  <c r="N142" i="29"/>
  <c r="K142" i="29"/>
  <c r="I14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tc={DDF497CF-F362-B94E-AD70-F7990A0DF1A3}</author>
    <author>tc={577F91F5-0702-344C-8886-3A87C0F5FD92}</author>
  </authors>
  <commentList>
    <comment ref="E151" authorId="0" shapeId="0" xr:uid="{DDF497CF-F362-B94E-AD70-F7990A0DF1A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Aurélie L. : Part plus faible pour les jeunes</t>
      </text>
    </comment>
    <comment ref="E159" authorId="1" shapeId="0" xr:uid="{577F91F5-0702-344C-8886-3A87C0F5FD9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Idem.</t>
      </text>
    </comment>
  </commentList>
</comments>
</file>

<file path=xl/sharedStrings.xml><?xml version="1.0" encoding="utf-8"?>
<sst xmlns="http://schemas.openxmlformats.org/spreadsheetml/2006/main" count="4055" uniqueCount="1830">
  <si>
    <t>Total</t>
  </si>
  <si>
    <t>Electricité</t>
  </si>
  <si>
    <t>Tableau de bord du poste</t>
  </si>
  <si>
    <t>tCO2e/an</t>
  </si>
  <si>
    <t>Version</t>
  </si>
  <si>
    <t>Satisfaction</t>
  </si>
  <si>
    <t>Carte d'identité de la version</t>
  </si>
  <si>
    <t>Hypothèses</t>
  </si>
  <si>
    <t>Données et sources</t>
  </si>
  <si>
    <t>Méthodologie</t>
  </si>
  <si>
    <t>Données manquantes</t>
  </si>
  <si>
    <t>Limites, pistes d'amélioration</t>
  </si>
  <si>
    <t>Entités du périmètre concernées</t>
  </si>
  <si>
    <t>Commentaires généraux</t>
  </si>
  <si>
    <t xml:space="preserve">Type </t>
  </si>
  <si>
    <t>2. Energie</t>
  </si>
  <si>
    <t>Élément</t>
  </si>
  <si>
    <t>Valeur</t>
  </si>
  <si>
    <t>Unité</t>
  </si>
  <si>
    <t>Source</t>
  </si>
  <si>
    <t>Electricité/2022 - mix moyen/consommation</t>
  </si>
  <si>
    <t>kg éq. CO2/kWh</t>
  </si>
  <si>
    <t>Base empreinte</t>
  </si>
  <si>
    <t xml:space="preserve">Voiture </t>
  </si>
  <si>
    <t xml:space="preserve">Mobilité douce </t>
  </si>
  <si>
    <t>Données :</t>
  </si>
  <si>
    <t>Commentaire</t>
  </si>
  <si>
    <t>Alimentation</t>
  </si>
  <si>
    <t>Béton armé</t>
  </si>
  <si>
    <t>kgCO2e/tonne</t>
  </si>
  <si>
    <t>Base empreinte - ADEME</t>
  </si>
  <si>
    <t>Béton/(C25/30CEM II)</t>
  </si>
  <si>
    <t>Acier</t>
  </si>
  <si>
    <t>Acier ou fer blanc/recyclé</t>
  </si>
  <si>
    <t>Parking, classique - bitume</t>
  </si>
  <si>
    <t>kgCO2e/m²</t>
  </si>
  <si>
    <t>Centre de loisir, structure en béton</t>
  </si>
  <si>
    <t>Centre de loisir, structure métallique</t>
  </si>
  <si>
    <t>Gaz</t>
  </si>
  <si>
    <t>kg éq. CO2</t>
  </si>
  <si>
    <t>Calculateur écotable bon pour le climat</t>
  </si>
  <si>
    <t>Gaz naturel (MWh/an)</t>
  </si>
  <si>
    <t>Electricité (MWh/an)</t>
  </si>
  <si>
    <t>Fioul (MWh/an)</t>
  </si>
  <si>
    <t>Autobus</t>
  </si>
  <si>
    <t>Emissions totales du poste par an</t>
  </si>
  <si>
    <t>kg CO₂e / kWh</t>
  </si>
  <si>
    <t>licenciés</t>
  </si>
  <si>
    <t>kg éq. CO₂/unité</t>
  </si>
  <si>
    <t>Base empreinte ADEME</t>
  </si>
  <si>
    <t>Gaz naturel</t>
  </si>
  <si>
    <t>kgCO2e/kWh PCI</t>
  </si>
  <si>
    <t xml:space="preserve">Commentaire / hypothèse </t>
  </si>
  <si>
    <t>FE en kgCO2e/m²</t>
  </si>
  <si>
    <t>t éq.CO2/an</t>
  </si>
  <si>
    <t>Amortissement de l'impact de la construction du stade, des parkings et des infrastructures connexes.</t>
  </si>
  <si>
    <t>Mode</t>
  </si>
  <si>
    <t>Parts modales</t>
  </si>
  <si>
    <t>TER/2021/Traction moyenne</t>
  </si>
  <si>
    <t>*1 - Calcul courte distance</t>
  </si>
  <si>
    <t>Voiture moyenne/Courte distance</t>
  </si>
  <si>
    <t>kg éq. CO2/peq.km</t>
  </si>
  <si>
    <t>*1</t>
  </si>
  <si>
    <t>FE (kgCO2e/p.km)</t>
  </si>
  <si>
    <t>Sources</t>
  </si>
  <si>
    <t>*2</t>
  </si>
  <si>
    <t>FE Voiture (par km)</t>
  </si>
  <si>
    <t>Voiture/Motorisation moyenne/2018, Base Empreinte</t>
  </si>
  <si>
    <t>Autobus moyen - agglomération moins de 100 000 habitants</t>
  </si>
  <si>
    <t>Taux d'occupation moyen des voitures</t>
  </si>
  <si>
    <t>Enquête « Mobilité des personnes », Ministère de la Transition Ecologique et la Cohésion des Territoires : https://www.statistiques.developpement-durable.gouv.fr/resultats-detailles-de-lenquete-mobilite-des-personnes-de-2019</t>
  </si>
  <si>
    <t>Autobus moyen - agglomération de 100 000 à 250 000 habitants</t>
  </si>
  <si>
    <t>FE Voiture (par p.km)</t>
  </si>
  <si>
    <t>Autobus moyen - agglomération plus de 250 000 habitants</t>
  </si>
  <si>
    <t>Autocar/gazole</t>
  </si>
  <si>
    <t>Avion passagers/Court courrier, 2018/AVEC trainées</t>
  </si>
  <si>
    <t>Avion passagers/Moyen courrier, 2018/AVEC trainées</t>
  </si>
  <si>
    <t>Avion passagers/Long courrier, 2018/AVEC trainées</t>
  </si>
  <si>
    <t>TGV/2021</t>
  </si>
  <si>
    <t>TER</t>
  </si>
  <si>
    <t>kg éq. CO2/passager.km</t>
  </si>
  <si>
    <t>5. Alimentation</t>
  </si>
  <si>
    <t>Empreinte carbone</t>
  </si>
  <si>
    <t>Boissons</t>
  </si>
  <si>
    <t>Bières (0,5L)</t>
  </si>
  <si>
    <t>Jus de fruits (0,33L)</t>
  </si>
  <si>
    <t>Soda (0,33L)</t>
  </si>
  <si>
    <t>Eau en bouteille (0,5L)</t>
  </si>
  <si>
    <t>Vin et autres alcools (0,75L)</t>
  </si>
  <si>
    <t>%</t>
  </si>
  <si>
    <t>Hot dog</t>
  </si>
  <si>
    <t>Crepes</t>
  </si>
  <si>
    <t>Churros</t>
  </si>
  <si>
    <t>Frites</t>
  </si>
  <si>
    <t>Entrées diverses</t>
  </si>
  <si>
    <t>Repas complet</t>
  </si>
  <si>
    <t>Plats/snacking</t>
  </si>
  <si>
    <t>Quantité</t>
  </si>
  <si>
    <t>FE Soda industriel, 33 cl</t>
  </si>
  <si>
    <t>FE Soda bio circuit court, 33 cl</t>
  </si>
  <si>
    <t>FE bière blonde industrielle européenne, 25 cl</t>
  </si>
  <si>
    <t>FE bière bio et locale, 25 cl</t>
  </si>
  <si>
    <t>FE vin français non local, 12 cl</t>
  </si>
  <si>
    <t>FE vin bio et local, 12 cl</t>
  </si>
  <si>
    <t>Total consommation annuelle</t>
  </si>
  <si>
    <t>Empreinte carbone en tCO2e</t>
  </si>
  <si>
    <t>Empreinte totale du poste</t>
  </si>
  <si>
    <t>Base Empreinte</t>
  </si>
  <si>
    <t xml:space="preserve">Nombre d'entrainements par semaine </t>
  </si>
  <si>
    <t xml:space="preserve">Nombre de semaines d'entrainement dans l'année </t>
  </si>
  <si>
    <t>Polyéthylène téréphthalate, bouteille (PET), RER</t>
  </si>
  <si>
    <t>kg éq. CO2/kg</t>
  </si>
  <si>
    <t>Commentaire / hypothèse</t>
  </si>
  <si>
    <t>Pourcentage</t>
  </si>
  <si>
    <t>Train</t>
  </si>
  <si>
    <t>Sandwich jambon-beurre</t>
  </si>
  <si>
    <t>Snacking en pièce par personne</t>
  </si>
  <si>
    <t>Boissons par personne</t>
  </si>
  <si>
    <t>Nombre de stades par catégorie</t>
  </si>
  <si>
    <t xml:space="preserve">Données DATA ES </t>
  </si>
  <si>
    <t xml:space="preserve">Nombre de stades </t>
  </si>
  <si>
    <t xml:space="preserve">FE moyen place assise </t>
  </si>
  <si>
    <t xml:space="preserve">Nombre total places assises </t>
  </si>
  <si>
    <t>tCO2e</t>
  </si>
  <si>
    <t>Amortissement en année</t>
  </si>
  <si>
    <t>Vestiaires arbitres</t>
  </si>
  <si>
    <t xml:space="preserve">Nombre </t>
  </si>
  <si>
    <t>Hypothèse de taille moyenne de l'infrastructure en m2</t>
  </si>
  <si>
    <t>Stades sans tribunes</t>
  </si>
  <si>
    <t>Stades avec tribunes</t>
  </si>
  <si>
    <t>Nombre de place de parking</t>
  </si>
  <si>
    <t>Surface en m2</t>
  </si>
  <si>
    <t>Amortissement en nombre d'années</t>
  </si>
  <si>
    <t>Pratiquants</t>
  </si>
  <si>
    <t>Dirigeant</t>
  </si>
  <si>
    <t>Arbitre</t>
  </si>
  <si>
    <t>Technique</t>
  </si>
  <si>
    <t>Autres (Ayant droits…)</t>
  </si>
  <si>
    <t>Volontaire</t>
  </si>
  <si>
    <t>TOTAL</t>
  </si>
  <si>
    <t>Rugby</t>
  </si>
  <si>
    <t>Santé</t>
  </si>
  <si>
    <t>Officiels</t>
  </si>
  <si>
    <t>Educateurs</t>
  </si>
  <si>
    <t>Total licenciés</t>
  </si>
  <si>
    <t>Total clubs</t>
  </si>
  <si>
    <t>dont pratiquants</t>
  </si>
  <si>
    <t>Nombre de sportifs mobilisés les jours de match</t>
  </si>
  <si>
    <t>Catégorie ERP</t>
  </si>
  <si>
    <t>&gt;1500 personnes</t>
  </si>
  <si>
    <t>701 à 1500 personnes</t>
  </si>
  <si>
    <t>301 à 700 personnes</t>
  </si>
  <si>
    <t>Jusqu'à 300 personnes</t>
  </si>
  <si>
    <t>Inférieur aux seuils fixés pour la 5e catégorie</t>
  </si>
  <si>
    <t>Effectif admissible</t>
  </si>
  <si>
    <t>Football</t>
  </si>
  <si>
    <t>Emissions totales du poste</t>
  </si>
  <si>
    <t>Moyenne</t>
  </si>
  <si>
    <t>d) Taille vestiaire : extrait de https://www.fff.fr/691-les-reglements-des-terrains-et-installations-sportives.html</t>
  </si>
  <si>
    <t>Source : https://entreprendre.service-public.fr/vosdroits/F32351</t>
  </si>
  <si>
    <t>ENR (MWh/an)</t>
  </si>
  <si>
    <t>Chauffage urbain (MWh/an)</t>
  </si>
  <si>
    <t>Nombre de vestiaires arbitres/enseignants (total)</t>
  </si>
  <si>
    <t>Nombre de vestiaires sportifs (total)</t>
  </si>
  <si>
    <t>Types de locaux complémentaires et nombres par types (choix multiples)</t>
  </si>
  <si>
    <t>Autre</t>
  </si>
  <si>
    <t>Bureau(x) club(s)</t>
  </si>
  <si>
    <t>Centre médico-sportif</t>
  </si>
  <si>
    <t>Club(s) house</t>
  </si>
  <si>
    <t>Infirmierie</t>
  </si>
  <si>
    <t>Local contrôle anti-dopage</t>
  </si>
  <si>
    <t>Reception/accueil</t>
  </si>
  <si>
    <t>Salle(s) de réunion/cours</t>
  </si>
  <si>
    <t xml:space="preserve">Type de chauffage, sourece d'énergie (choix multiple) </t>
  </si>
  <si>
    <t>Fuel</t>
  </si>
  <si>
    <t>Solaire</t>
  </si>
  <si>
    <t>Type de sol</t>
  </si>
  <si>
    <t>Béton</t>
  </si>
  <si>
    <t>Bitume</t>
  </si>
  <si>
    <t>Gazon naturel</t>
  </si>
  <si>
    <t>Gazon synthétique</t>
  </si>
  <si>
    <t>Hybride</t>
  </si>
  <si>
    <t>Stabilisé/cendrée</t>
  </si>
  <si>
    <t>Densité</t>
  </si>
  <si>
    <t>Grands centres urbains</t>
  </si>
  <si>
    <t>Bourgs ruraux</t>
  </si>
  <si>
    <t>Centres urbains intermédiaires</t>
  </si>
  <si>
    <t>Ceintures urbaines</t>
  </si>
  <si>
    <t>Rural à habitat dispersé</t>
  </si>
  <si>
    <t>Rural à habitat très dispersé</t>
  </si>
  <si>
    <t>Petites villes</t>
  </si>
  <si>
    <t>ERP</t>
  </si>
  <si>
    <t xml:space="preserve">Type d'infrastructure </t>
  </si>
  <si>
    <t>Découvert</t>
  </si>
  <si>
    <t>Extérieur couvert</t>
  </si>
  <si>
    <t>Découvrable</t>
  </si>
  <si>
    <t>Site naturel aménagé</t>
  </si>
  <si>
    <t>Site naturel</t>
  </si>
  <si>
    <t>Site artificiel</t>
  </si>
  <si>
    <t>Acessibilité en transport en commun</t>
  </si>
  <si>
    <t>Non</t>
  </si>
  <si>
    <t>Bus</t>
  </si>
  <si>
    <t>Bateau</t>
  </si>
  <si>
    <t>Métro</t>
  </si>
  <si>
    <t>Tramway</t>
  </si>
  <si>
    <t>Vestiaires sportifs</t>
  </si>
  <si>
    <t>Total (MWh/an)</t>
  </si>
  <si>
    <t xml:space="preserve">Emissions totales du poste par an </t>
  </si>
  <si>
    <t>Nombre de matchs en moyenne sur une saison</t>
  </si>
  <si>
    <t xml:space="preserve">Nombre de pratiquants </t>
  </si>
  <si>
    <t xml:space="preserve">Nombre total de clubs </t>
  </si>
  <si>
    <t>Nombre d'équipements sportifs (terrain/stade)</t>
  </si>
  <si>
    <t>Nombre de places assises en tribunes (total)</t>
  </si>
  <si>
    <t>dont sans tribunes</t>
  </si>
  <si>
    <t>dont sans tribune(s)</t>
  </si>
  <si>
    <t xml:space="preserve">Nombre de locaux : </t>
  </si>
  <si>
    <t xml:space="preserve">Nombre de visiteurs : </t>
  </si>
  <si>
    <t>Distance moyenne domicile - stade estimée (AR) locaux</t>
  </si>
  <si>
    <t>Nombre de spectateurs pour un entraînement</t>
  </si>
  <si>
    <t>Nombre de personnes les jours de match</t>
  </si>
  <si>
    <t>dont consommant un snack/plat</t>
  </si>
  <si>
    <t>dont consommant une boisson</t>
  </si>
  <si>
    <t>Consommation sur un match</t>
  </si>
  <si>
    <t>Snack</t>
  </si>
  <si>
    <t>Boisson</t>
  </si>
  <si>
    <t>kW/m2/an</t>
  </si>
  <si>
    <t>Énergie consommée</t>
  </si>
  <si>
    <t>Usages</t>
  </si>
  <si>
    <t>Unités</t>
  </si>
  <si>
    <t>Électricité</t>
  </si>
  <si>
    <t>Chauffage</t>
  </si>
  <si>
    <t>GWh</t>
  </si>
  <si>
    <t>Chaleur tirée des pompes à chaleur*</t>
  </si>
  <si>
    <t>Eau chaude sanitaire</t>
  </si>
  <si>
    <t>Cuisson</t>
  </si>
  <si>
    <t xml:space="preserve">Refroidissement/climatisation </t>
  </si>
  <si>
    <t>Spécifique</t>
  </si>
  <si>
    <t>Autres usages</t>
  </si>
  <si>
    <t>GWh PCS</t>
  </si>
  <si>
    <t>Refroidissement/climatisation</t>
  </si>
  <si>
    <t>GPL</t>
  </si>
  <si>
    <t>GWh PCI</t>
  </si>
  <si>
    <t>Fioul</t>
  </si>
  <si>
    <t>Énergies renouvelables</t>
  </si>
  <si>
    <t>Chaleur</t>
  </si>
  <si>
    <t xml:space="preserve">Libellé activité : Activités sportives, récréatives et de loisirs </t>
  </si>
  <si>
    <t>Année 2020</t>
  </si>
  <si>
    <t>kWh/m2/an</t>
  </si>
  <si>
    <t>MWh</t>
  </si>
  <si>
    <t>A titre de comparaison, une maison individuelle = environ 200 kW/m2/an en moyenne et un batiment tertiaire etre 200 et 300. Etant donné que l'utilisation de nos batiments sont moins intense, l'ordre de grandeur nous semble correcte.</t>
  </si>
  <si>
    <t>kWh/an</t>
  </si>
  <si>
    <t>soit la consommation de</t>
  </si>
  <si>
    <t>Pour estimer la consommation des autres vecteurs énergétiques, on utilise les données du Ceren ci-dessous (source : https://www.statistiques.developpement-durable.gouv.fr/consommation-denergie-par-usage-du-tertiaire) :</t>
  </si>
  <si>
    <t>i) Catégorisation des infrastructures</t>
  </si>
  <si>
    <t>ii) Hypothèse sur les consommations par catégorie</t>
  </si>
  <si>
    <t>iii) Quantités d'énergies consommées</t>
  </si>
  <si>
    <t xml:space="preserve">iv) Estimation de la consommation </t>
  </si>
  <si>
    <t>Fioul domestique</t>
  </si>
  <si>
    <t>Chauffage urbain</t>
  </si>
  <si>
    <t xml:space="preserve">GPL </t>
  </si>
  <si>
    <t>ENR</t>
  </si>
  <si>
    <t>Consommation en 2020</t>
  </si>
  <si>
    <t>Part sur le total ayant répondu (données foot et rugby)</t>
  </si>
  <si>
    <t>Voiture moyenne/Déplacement à l'extérieur match</t>
  </si>
  <si>
    <t>Voiture moyenne/Courte distance - domicile-club</t>
  </si>
  <si>
    <t xml:space="preserve">Commentaire : </t>
  </si>
  <si>
    <t>Commentaire / source</t>
  </si>
  <si>
    <t>Source : extraction base Data ES (ANNEXE A - DataES)</t>
  </si>
  <si>
    <t xml:space="preserve">Commentaire </t>
  </si>
  <si>
    <t>*2 - Calcul déplacement à l'extérieur</t>
  </si>
  <si>
    <t>dont à l'extérieur OU à domicile</t>
  </si>
  <si>
    <t>Bon ordre de grandeur.</t>
  </si>
  <si>
    <t>Etape 1 : On comptabilise le nombre de pratiquants, le nombre de spectateurs pour les entrainements, les employés ETP du club/collectivité et les bénévoles. 
Etape 2 : On leur attribue des parts modales (cf. H7) qu'on muliplie par la distance moyenne parcoure (H6) x le nombre de personnes calculées en étape 1 x les FE par mode de transport.</t>
  </si>
  <si>
    <t>Alimentation et boisson les jours de match. On comprend également les plats apportés par les joueurs ou autres et préparés au domicile ou achetés à l'extérieur.</t>
  </si>
  <si>
    <t>Poste</t>
  </si>
  <si>
    <t>Pelouse naturelle</t>
  </si>
  <si>
    <t>Pelouse synthétique</t>
  </si>
  <si>
    <t>i) Catégories ERP</t>
  </si>
  <si>
    <t>Surface de pelouse d'un stade</t>
  </si>
  <si>
    <t>Longueur du terrain (m)</t>
  </si>
  <si>
    <t>Largeur du terrain (m)</t>
  </si>
  <si>
    <t>Largeur des couloir latéraux (m)</t>
  </si>
  <si>
    <t>Profondeur de l'en-but (m)</t>
  </si>
  <si>
    <t>Surface (m²)</t>
  </si>
  <si>
    <t>ii) Calcul empreinte pelouse</t>
  </si>
  <si>
    <t>Estimation basée sur une série d'articles scientifiques (Russo et al. (2022), PWC (2013), Cheng et al. (2014)) : 55 kg CO₂e  en moyenne par terrain de football et pour 10 ans.</t>
  </si>
  <si>
    <t>Estimation basée sur un d'article scientifique (Russo et al. (2022)) : 80 kg CO₂e par terrain de football et pour 10 ans</t>
  </si>
  <si>
    <t>Gazon naturel (football)</t>
  </si>
  <si>
    <t>Gazon naturel (rugby)</t>
  </si>
  <si>
    <t>Gazon synthétique (football)</t>
  </si>
  <si>
    <t>Gazon synthétique (rugby)</t>
  </si>
  <si>
    <t>Surface stabilisée (football)</t>
  </si>
  <si>
    <t>Hypothèse de taille moyenne en m2</t>
  </si>
  <si>
    <t>Réglements généraux FFF</t>
  </si>
  <si>
    <t>Réglements généraux FFR</t>
  </si>
  <si>
    <t>Pourcentage foot et rugby</t>
  </si>
  <si>
    <t>iii) Nombre pelouses</t>
  </si>
  <si>
    <t>Part</t>
  </si>
  <si>
    <t>Type de pelouse</t>
  </si>
  <si>
    <t>Nombre pour le football</t>
  </si>
  <si>
    <t>Nombre total</t>
  </si>
  <si>
    <t>Nombre pour le rugby</t>
  </si>
  <si>
    <t>Voir annexe pour plus de détails sur les hypotèses.</t>
  </si>
  <si>
    <t>Empreinte carbone des immobilisations, secteur professionnel :</t>
  </si>
  <si>
    <t>3) Graphiques</t>
  </si>
  <si>
    <t>Club house</t>
  </si>
  <si>
    <t>Bureau club</t>
  </si>
  <si>
    <t>Salle de réunion/cours</t>
  </si>
  <si>
    <t xml:space="preserve">Foot et rugby </t>
  </si>
  <si>
    <t>Granulats/sortie carrière</t>
  </si>
  <si>
    <t>Nombre de structures par catégorie (Base DataES)</t>
  </si>
  <si>
    <t>Consommation de gaz naturel en MWh/an (pour une infrastructure)</t>
  </si>
  <si>
    <t>Consommation d'électricité en MWh/an (pour une infrastructure)</t>
  </si>
  <si>
    <t>Consommation d'une structure moyenne sur une année</t>
  </si>
  <si>
    <t>Mix énergétique</t>
  </si>
  <si>
    <t>Émissions de GES</t>
  </si>
  <si>
    <t>FE parking en kgCO2e/m²</t>
  </si>
  <si>
    <t>Surface de jeu</t>
  </si>
  <si>
    <t>Nombre de structures par catégorie</t>
  </si>
  <si>
    <r>
      <t xml:space="preserve">- Étape 1 : On catégorise les infrastructures de football et de rugby en fonction de leur catégorie ERP grâce à la base de données DataES
- Étape 2 : Grâce aux données de l’étude de la FFF et d’Utopies qui pose des hypothèses de consommation en fonction de la taille et de l’emplacement géographique (zone urbaine, périurbaine, rurale) des clubs (et en ne considérant que la taille de la structure), on attribue des valeurs de consommation en fonction de la catégorie ERP. Cela nous donne les consommations suivantes : 
</t>
    </r>
    <r>
      <rPr>
        <i/>
        <sz val="11"/>
        <rFont val="Arial"/>
        <family val="2"/>
      </rPr>
      <t xml:space="preserve">Catégorie ERP 1 : 120 MWh/an de gaz naturel et 60 MWh/an d’électricité pour les infrastructures pouvant accueillir de 701 à 1500 personnes.
Catégorie ERP 2 : 120 MWh/an de gaz naturel et 60 MWh/an d’électricité pour les infrastructures pouvant accueillir de 701 à 1500 personnes.
Catégorie EPR 3 : 45 MWh/an de gaz naturel et 30 MWh/an d’électricité pour les infrastructures pouvant accueillir de 301 à 700 personnes.
Catégorie ERP 4 : 15 MWh/an de gaz naturel et 10 MWh/an d’électricité pour les infrastructures pouvant accueillir jusqu'à 300 personnes.
Catégorie ERP 5 : 5 MWh/an de gaz naturel et 5 MWh/an d’électricité pour les infrastructures aux seuils inférieurs à la précédente catégorie
</t>
    </r>
    <r>
      <rPr>
        <sz val="11"/>
        <rFont val="Arial"/>
        <family val="2"/>
      </rPr>
      <t>- Étape 3 : On calcule le volume consommé sur cette base qu'on ramène en kWh/m2/an en divisant le volume par la surface totale calculée sur le post “immobilisation”. On a cependant ici que les données de consommation de gaz et d’électricité.
- Étape 4 : Pour estimer la consommation énergétique totale (avec fioul, ENR, chauffage urbain etc.), on utilise les données du CEREN qui donne des consommations énergétiques pour les bâtiments de la catégorie "Activités sportives, récréatives et de loisirs". On considère le mix énergétique de cette base comme représentative de notre périmètre.
- Étape 5 : D'après le Ceren, 89% de la consommation énergétique repose sur le gaz et l'électricité pour les bâtiments de notre périmètre. On impute donc les 11% restants à notre calcul en prenant le mix énergétique du CEREN. On obtient une consommation en kWh/m2/an de nos structures par vecteur énergétique.
- Étape 6 : On multiplie la valeur obtenue en étape 5 par les surfaces de l'onglet “Immobilisation” pour avoir la consommation énergétique totale puis par les facteurs d'émissions des vecteurs énergétiques correspondants. On obtient l’empreinte de la consommation énergétique dans les stades et clubs amateurs.</t>
    </r>
  </si>
  <si>
    <t>Autres</t>
  </si>
  <si>
    <t>Tribunes</t>
  </si>
  <si>
    <t>Infrastructures diverses (vestiaires, salles de réunion etc.)</t>
  </si>
  <si>
    <t>Parking</t>
  </si>
  <si>
    <t>EC en tCO2e</t>
  </si>
  <si>
    <t>Naturelle</t>
  </si>
  <si>
    <t>Synthétique</t>
  </si>
  <si>
    <t>Stabilisée</t>
  </si>
  <si>
    <t>Sufaces de jeu (pelouses et surfaces stabilisées)</t>
  </si>
  <si>
    <t>Surface stabilisée</t>
  </si>
  <si>
    <t>Ballon</t>
  </si>
  <si>
    <t>Chaussures de sport</t>
  </si>
  <si>
    <t>Bières</t>
  </si>
  <si>
    <t>Sodas</t>
  </si>
  <si>
    <t>Volume consommé</t>
  </si>
  <si>
    <t>Emissions totales du poste avant transformation</t>
  </si>
  <si>
    <t>Emissions totales du poste après transformation</t>
  </si>
  <si>
    <t>Pourcentage de réduction</t>
  </si>
  <si>
    <t>I) Equation de Kaya liée au poste d'émissions</t>
  </si>
  <si>
    <t xml:space="preserve">Empreinte carbone </t>
  </si>
  <si>
    <t>=</t>
  </si>
  <si>
    <t>X</t>
  </si>
  <si>
    <t>II) Synthèse de l'évolution des émissions</t>
  </si>
  <si>
    <t>Nombre de passagers</t>
  </si>
  <si>
    <t>Distance parcourue</t>
  </si>
  <si>
    <t>Voiture</t>
  </si>
  <si>
    <t>Facteur d'émissions</t>
  </si>
  <si>
    <t>Emissions totales (tCO2e)</t>
  </si>
  <si>
    <t>III - Détail de l'évolution des émissions</t>
  </si>
  <si>
    <t>1) Changement de la répartition des parts modales</t>
  </si>
  <si>
    <t>Evolution 2020-2050</t>
  </si>
  <si>
    <t>Mobilité douce (marche + vélo)</t>
  </si>
  <si>
    <t xml:space="preserve">Ainsi : </t>
  </si>
  <si>
    <t>Changements de parts modales</t>
  </si>
  <si>
    <t xml:space="preserve">Evolution des facteur d'émission des : </t>
  </si>
  <si>
    <t>voitures</t>
  </si>
  <si>
    <t>LEVIERS : ÉMISSIONS DIRECTES ET INDIRECTES D'ÉNERGIE</t>
  </si>
  <si>
    <t xml:space="preserve">Tableau de bord du poste </t>
  </si>
  <si>
    <t xml:space="preserve">Intensité carbone de l’énergie                </t>
  </si>
  <si>
    <t xml:space="preserve">Répartition par vecteur énergétique                </t>
  </si>
  <si>
    <t xml:space="preserve">Volumes consommés </t>
  </si>
  <si>
    <t>II) Évolution des émissions</t>
  </si>
  <si>
    <t>A. Tableau récapitulatif</t>
  </si>
  <si>
    <t>B. Décomposition de la trajectoire 2022-2050</t>
  </si>
  <si>
    <t>Décomposition par paramètre de l'équation de Kaya entre 2022 et 2050</t>
  </si>
  <si>
    <t xml:space="preserve">Intensité carbone de l'énergie </t>
  </si>
  <si>
    <t>Facteur d'émission électricité (kgCO2e/kWh)</t>
  </si>
  <si>
    <t>Pourcentage de baisse</t>
  </si>
  <si>
    <t>Facteur d'émission fioul (kgCO2e/kWh)</t>
  </si>
  <si>
    <t>Émissions annuelles en 2022</t>
  </si>
  <si>
    <t>Sortie des énergies fossiles (remplacement des groupes électrogènes, chaudières fioul et gaz)</t>
  </si>
  <si>
    <t>Facteur d'émission des réseaux de chaleur (kgCO2e/kWh)</t>
  </si>
  <si>
    <t>Baisse de la consommation d'énergie (rénovation, optimisation, sobriété)</t>
  </si>
  <si>
    <t xml:space="preserve">Électricité </t>
  </si>
  <si>
    <t>Baisse de l'intensité carbone de l'énergie (électricité, chauffage urbain)</t>
  </si>
  <si>
    <t>Émissions annuelles en 2050 après transformation</t>
  </si>
  <si>
    <t xml:space="preserve">Gaz </t>
  </si>
  <si>
    <t>Quantité d'énergie consommée par an en MWh</t>
  </si>
  <si>
    <t>Émissions en tCO2e</t>
  </si>
  <si>
    <t>III) Détail des calculs</t>
  </si>
  <si>
    <t xml:space="preserve">A. Intensité carbone </t>
  </si>
  <si>
    <r>
      <rPr>
        <b/>
        <sz val="11"/>
        <color rgb="FF7030A0"/>
        <rFont val="Arial"/>
        <family val="2"/>
      </rPr>
      <t>Hyp 1 :</t>
    </r>
    <r>
      <rPr>
        <sz val="11"/>
        <color theme="1"/>
        <rFont val="Arial"/>
        <family val="2"/>
      </rPr>
      <t xml:space="preserve"> La variation de l'intensité carbone de l'énergie étant exogène au secteur du sport et des stades, nous faisons l'hypothèse que les baisses d'intensité carbone au niveau national s'appliquent uniformément dans le secteur du sport et des stades. 
</t>
    </r>
  </si>
  <si>
    <t xml:space="preserve">Pour estimer l’évolution des facteurs d’émission des différents vecteurs énergétiques (gaz, fioul, électricité, chaleur) dans le secteur du sport, nous : 
(i) utilisons les données de la source (1) qui nous donnent une estimation de l’évolution de facteurs d’émission des vecteurs énergétiques entre 2018 et 2050
(ii) utilisons ces données pour connaitre l'évolution (en %) des différents facteurs d’émission entre 2022 (année du point de départ de notre analyse) et 2050, 
(iii) répartissons les données obtenues selon la nomenclature souhaitée pour retrouver celle utilisée dans ce tableur </t>
  </si>
  <si>
    <t>Etape de calcul : On précise les données utilisées sur l'évolution des facteurs d'émission de l'énergie</t>
  </si>
  <si>
    <t xml:space="preserve">La source (1), dans sa version optimiste, nous donne les donnée suivantes </t>
  </si>
  <si>
    <t>Évolution des facteurs d'émissions (en gCO2e/kWh)</t>
  </si>
  <si>
    <t>Electricité Moyen</t>
  </si>
  <si>
    <t>Gaz de réseau</t>
  </si>
  <si>
    <t>Etape de calcul : On estime l'évolution des intensités carbones (en %) entre 2022 et 2050</t>
  </si>
  <si>
    <t>A partir des données précédentes, nous en déduisons les évolutions annuelles suivantes entre 2022 et 2050</t>
  </si>
  <si>
    <t>Evolution des intensités carbone des différents vecteurs énergétiques (%)</t>
  </si>
  <si>
    <t>-</t>
  </si>
  <si>
    <t xml:space="preserve">Etape de calcul : Nous réorganisons les données obtenues pour qu'elles correspondent à la nomenclature utilisée dans notre rapport </t>
  </si>
  <si>
    <r>
      <t>Nous en déduisons les résultats suivants pour le secteur du sport et du stade en prenant l</t>
    </r>
    <r>
      <rPr>
        <b/>
        <sz val="11"/>
        <color rgb="FF7030A0"/>
        <rFont val="Arial"/>
        <family val="2"/>
      </rPr>
      <t xml:space="preserve">'Hyp 1. </t>
    </r>
  </si>
  <si>
    <t>Etape de calcul : Nous en déduisons les facteurs d'émissions en 2050</t>
  </si>
  <si>
    <t xml:space="preserve">B. Répartition par vecteur énergétique </t>
  </si>
  <si>
    <t xml:space="preserve">Pour simplifier la lecture, dans cette partie de l'annexe, les hypothèses sont précisées au fil de l'analyse. </t>
  </si>
  <si>
    <t xml:space="preserve">Etape de calcul : On rappelle les données utilisées sur les répartitions par vecteur énegétique en 2022 </t>
  </si>
  <si>
    <t xml:space="preserve">Etape de calcul : On en déduit les quantités d'énergie consommées par vecteur énergétique </t>
  </si>
  <si>
    <t xml:space="preserve">Etape de calcul : On précise les différentes hypothèses faites sur chaque vecteur énergétique </t>
  </si>
  <si>
    <r>
      <rPr>
        <b/>
        <sz val="11"/>
        <rFont val="Arial"/>
        <family val="2"/>
      </rPr>
      <t>Remarque préliminaire :</t>
    </r>
    <r>
      <rPr>
        <sz val="11"/>
        <rFont val="Arial"/>
        <family val="2"/>
      </rPr>
      <t xml:space="preserve"> les hypothèses formulées ici servent principalement à aboutir à un ordre de grandeur du potentiel de décarbonation associé aux leviers proposés dans ce rapport. </t>
    </r>
  </si>
  <si>
    <t>Rappelons ici que le levier de décarbonation que nous cherchons à quantifier est le suivant : remplacement des systèmes énergétiques pour sortir des énergies fossiles (remplacement des chaudières fioul et gaz par des pompes à chaleur, ENR, etc.)</t>
  </si>
  <si>
    <t xml:space="preserve">Vecteur énergétique </t>
  </si>
  <si>
    <t xml:space="preserve">Hypothèses </t>
  </si>
  <si>
    <t>Hypothèses énergétiques</t>
  </si>
  <si>
    <t>Sans mesures de sobriétés et d'efficacités, nous avons une augmentation du volume consommé en raison des hypothèses faites sur le gaz et le fioul.</t>
  </si>
  <si>
    <t>- Nous prenons un rendement de 100% pour les chaudières électriques
- Nous prenons un coefficient de performancede 4 pour les pompes à chaleur (Cela signifie que pour chaque unité d'énergie électrique consommée, la pompe à chaleur produit 4 unités de chaleur.).</t>
  </si>
  <si>
    <t>- Nous prenons un rendement de 70% pour les chaudières fioul</t>
  </si>
  <si>
    <t>Nous considérons que le gaz consommés en 2022 sert au chauffage et à l'eau chaude sanitaire. Aussi, nous considérons un passage au 1/4 à des chaudières électriques, 1/2 à des pompes à chaleur et au quart restant à des réseaux de chaleur. Dans notre calcul, nous tenons compte du fait que le rendement des pompes à chaleur est meilleur que celui des chaudières au gaz.</t>
  </si>
  <si>
    <t xml:space="preserve">Nous faisons l'hypothèse d'un rendement de 95% pour les chaudières gaz. </t>
  </si>
  <si>
    <t>Sans mesures de sobriétés et d'efficacités, nous avons une augmentation du volume consommé en raison des hypothèses faites sur le gaz.</t>
  </si>
  <si>
    <t xml:space="preserve">Etape de calcul : On en déduit l'évolution des consommations annuelles d'énergie par vecteur énergétique par stade </t>
  </si>
  <si>
    <t xml:space="preserve">Sur la base des hypothèses formulées dans le tableau précédent, nous en déduisons les évolutions dans les consommations d'énergie d'ici 2050 </t>
  </si>
  <si>
    <t xml:space="preserve">Etape de calcul : On en déduit le résultat souhaité, à savoir la répartition de l'énergie consommée par vecteur énergétique </t>
  </si>
  <si>
    <t>C. Volume d'énergie consommée</t>
  </si>
  <si>
    <r>
      <rPr>
        <b/>
        <sz val="11"/>
        <color rgb="FF7030A0"/>
        <rFont val="Arial"/>
        <family val="2"/>
      </rPr>
      <t>H1 :</t>
    </r>
    <r>
      <rPr>
        <sz val="11"/>
        <color theme="1"/>
        <rFont val="Arial"/>
        <family val="2"/>
      </rPr>
      <t xml:space="preserve"> L'année de référence pour le décret tertiaire est 2022. Aussi, la baisse de 60% de la consommation d'énergie en 2050 se fait par rapport à cette année de référence</t>
    </r>
  </si>
  <si>
    <t>(1) Éco Énergie Tertiaire (EET), https://www.ecologie.gouv.fr/eco-energie-tertiaire-eet</t>
  </si>
  <si>
    <t>Pour estimer l'évolution de la consommation d'énergie (en volume) anuelle dans un stade, nous adoptons une méthode par objectif. Plus précisément : nous prenons l'objectif affiché de baisse de 60% de la consommation issu du décret tertiaire (auquel sont soumis les stades). Il s'agit là d'un chiffrage par objectif et non d'un chiffrage qui évalue le potentiel réel de baisse de la consommation d'énergie. Dans l'idéal, pour le rapport final, il faudrait connaitre avec précision la répartition de la consommation d'énergie par usage (quelle part pour le chauffage ? l'eau chaude sanitaire ? la luminothérapie ? l'éclairage ? Quelle part pour les périodes de "veille" ? Pour les périodes de match ? etc) puis se servir de la littérature existante sur le sujet pour en déduire avec précision l'évolution possible de la consommation d'énergie (qui pourrait être inférieure ou supérieure à 60%).
Aussi, pour ce rapport intermédiaire, nous :
(i) Partons de l'énergie consommée en 2022
(ii) Appliquons une baisse de 60% au volume d'énergie consommé en 2022
(iii) en déduisons la consommation d'énergie dans un stade en 2050</t>
  </si>
  <si>
    <t>Etape de calcul : On rappelle les données utilisées sur la consommation énergétique en 2022</t>
  </si>
  <si>
    <t>Etape de calcul : On en déduit la consommation énergétique en 2050</t>
  </si>
  <si>
    <r>
      <t>Pour cela nous prenons l'</t>
    </r>
    <r>
      <rPr>
        <b/>
        <sz val="11"/>
        <color rgb="FF7030A0"/>
        <rFont val="Arial"/>
        <family val="2"/>
      </rPr>
      <t>H1</t>
    </r>
    <r>
      <rPr>
        <sz val="11"/>
        <rFont val="Arial"/>
        <family val="2"/>
      </rPr>
      <t xml:space="preserve"> et la source (1). Sur cette base, nous avons l'évolution suivante entre 2022 et 2050 concernant la consommation d'énergie.</t>
    </r>
  </si>
  <si>
    <t>Variation en (%)</t>
  </si>
  <si>
    <t>Évolution de la consommation d'énergie entre 2022 et 2050</t>
  </si>
  <si>
    <t xml:space="preserve">Cela nous donne la consommation annuelle par stade suivante </t>
  </si>
  <si>
    <t xml:space="preserve">1. ÉVALUATION </t>
  </si>
  <si>
    <t>Etape 1 : Nous estimons la consommation énergétique unitaire (d'une structure)</t>
  </si>
  <si>
    <t>Commentaire :</t>
  </si>
  <si>
    <t>Détails du calcul en annexe.</t>
  </si>
  <si>
    <t xml:space="preserve">Etape 2 : Nous estimons la consommation énergétique totale </t>
  </si>
  <si>
    <t>Etape 3 : Nous estimons l'empreinte carbone de la consommation énergétique des bâtiments</t>
  </si>
  <si>
    <t>MWh/an</t>
  </si>
  <si>
    <t xml:space="preserve">2. ANNEXES </t>
  </si>
  <si>
    <t>ANNEXE 1 : Facteurs d'émissions</t>
  </si>
  <si>
    <t xml:space="preserve"> kgCO2e/kWh</t>
  </si>
  <si>
    <t>FEDENE, https://www.connaissancedesenergies.org/sites/connaissancedesenergies.org/files/pdf-actualites/Enquête%20des%20réseaux.pdf</t>
  </si>
  <si>
    <t>ANNEXE 2 : Données de consommation énergétique de clubs de football amateur - Source : FFF et Utopies</t>
  </si>
  <si>
    <t>ANNEXE 3 : Estimation de la consommation énergétique totale des infrastructures dans les stades</t>
  </si>
  <si>
    <t>Facteur d'émission gaz (kgCO2e/kWh)</t>
  </si>
  <si>
    <t>Facteur d'émission énergies renouvelables (kgCO2e/kWh)</t>
  </si>
  <si>
    <t>Energies renouvelables</t>
  </si>
  <si>
    <t xml:space="preserve">Pour estimer l'évolution de la répartition de l'énergie consommée par vecteur énergétique nous : 
(i) utilisons les données des onglets '2. Energie' dont les valeurs ont été rappelées plus haut pour passer de la répartiiton en pourcentage à la répartition en quantité d'énergie
(ii) Prenons des hypothèses éclairées par les sources précisées plus haut sur l'évolution de la consommation de chaque vecteur énergétique (en gardant en tête que l'objectif est que le secteur du sport ne dépendent plus d'énergie fossile d'ici 2050). Les rendements énergétiques n'étant pas identiques entre chaque vecteur énergétique, cela fait évoluer les volumes d'énergie consommés.
(iii) en déduisons la répartition en quantité d'énergie par vecteur énergétique en 2050
(iv) en déduisons la répartition par vecteur énergétique en 2050 en pourcentage </t>
  </si>
  <si>
    <t xml:space="preserve">Si physiquement elles s'alignent avec le levier qui consiste à cesser toutes consommations d'énergie fossile d'ici 2050 dans le secteur, elles n'ont pas vocation à décrire exactement ce qui sera mis en place d'ici 2050 (il s'agit de scénario). </t>
  </si>
  <si>
    <t>Nous considérons que les 8% de fioul consommés en 2022 le sont pour le chauffage et l'eau chaude sanitaire. Aussi, pour ces 8%, nous considérons un passage à des pompes à chaleur. Dans notre calcul, nous tenons compte du fait que le rendement des pompes à chaleur est meilleur que celui des chaudières au fioul</t>
  </si>
  <si>
    <t xml:space="preserve">Quantité d'énergie consommée (MWh) par vecteur énergétique </t>
  </si>
  <si>
    <t>Quantité totale d'énergie consommée (MWh)</t>
  </si>
  <si>
    <t>Quantité d'énergie consommée (MWh)</t>
  </si>
  <si>
    <t>Facteur d'émission voiture (kg éq. CO2/peq.km)</t>
  </si>
  <si>
    <t>Facteur d'émission bus (kg éq. CO2/peq.km)</t>
  </si>
  <si>
    <t>Facteur d'émission mobilités douces (kg éq. CO2/peq.km)</t>
  </si>
  <si>
    <t>A) Diminution de l'intensité carbone des déplacements</t>
  </si>
  <si>
    <t>Mobilités douces (marche, vélo)</t>
  </si>
  <si>
    <t xml:space="preserve">Distance parcourue </t>
  </si>
  <si>
    <t xml:space="preserve">Parts modales </t>
  </si>
  <si>
    <t>Nombre de pratiquants effectuant le déplacement</t>
  </si>
  <si>
    <t>Sur une semaine</t>
  </si>
  <si>
    <t>Nombre de personnes autres faisant le déplacement</t>
  </si>
  <si>
    <t xml:space="preserve">Etape 2 : Calcul de l'empreinte carbone </t>
  </si>
  <si>
    <t>Émissions sur une saison en tCO2e</t>
  </si>
  <si>
    <t>Nombre de passagers par an par mode</t>
  </si>
  <si>
    <t>Etape 1 : Données et hypothèses</t>
  </si>
  <si>
    <t>Source : (1) The Shift Project, Plan de transformation de l'économie française : la mobilité quotidienne, 2020.</t>
  </si>
  <si>
    <t>1 : Communes densément peuplées</t>
  </si>
  <si>
    <t>2 : Communes de densité intermédiaire</t>
  </si>
  <si>
    <t>3 : Communes peu denses</t>
  </si>
  <si>
    <t>4 : Communes très peu denses</t>
  </si>
  <si>
    <t>Mode de transport</t>
  </si>
  <si>
    <t>Nombre</t>
  </si>
  <si>
    <t>Mobilités douces</t>
  </si>
  <si>
    <t>Automobile</t>
  </si>
  <si>
    <t>Autocar</t>
  </si>
  <si>
    <t>Communes densément peuplées</t>
  </si>
  <si>
    <t>Communes de densité intermédiaire</t>
  </si>
  <si>
    <t>Communes peu denses</t>
  </si>
  <si>
    <t>Communes très peu denses</t>
  </si>
  <si>
    <t>Nombre terrains</t>
  </si>
  <si>
    <t>Nombre licenciés par densité</t>
  </si>
  <si>
    <t>Metro / tramway / TER</t>
  </si>
  <si>
    <t>FE kgCO2e/km/passager</t>
  </si>
  <si>
    <t>FE Transport en commun ferroviaire</t>
  </si>
  <si>
    <t>Métro, tramway, trolleybus/2018/Agglomération de 100 000 à 250 000 habitants, Base Empreinte</t>
  </si>
  <si>
    <t>Répartition par parts modales</t>
  </si>
  <si>
    <t>Type de densité de commune</t>
  </si>
  <si>
    <t xml:space="preserve">Pour calquer le précédent modèle sur les données de DataES (source : 1.Immobilisation), on fusionne les catégories suivantes : </t>
  </si>
  <si>
    <t xml:space="preserve">Pour simplifier le calcul, on considère que "Autres transports urbains et régionaux (sans précision)" et que "Autocar" sont des bus. Cela donne le tableau final suivant : </t>
  </si>
  <si>
    <t>Nombre de bénévoles</t>
  </si>
  <si>
    <t>Sur une saison</t>
  </si>
  <si>
    <t>Distance moyenne parcourue (en km AR)</t>
  </si>
  <si>
    <t>Distance moyenne parcourue AR</t>
  </si>
  <si>
    <t>Type</t>
  </si>
  <si>
    <t>Total 2022</t>
  </si>
  <si>
    <t xml:space="preserve">Etape 3 : Sytnhèse </t>
  </si>
  <si>
    <t>Facteur d'émission métro/tramway/TER (kg éq. CO2/peq.km)</t>
  </si>
  <si>
    <t>Nombre.passagers/mode</t>
  </si>
  <si>
    <t>Nombre de personnes concernées</t>
  </si>
  <si>
    <t>Distance parcourue moyenne</t>
  </si>
  <si>
    <t>Nombre de jours avec entrainement dans l'année</t>
  </si>
  <si>
    <t xml:space="preserve">Commentaire : on synthétise via le tableau suivant : </t>
  </si>
  <si>
    <t>Distance parcourue moyenne (en km AR)</t>
  </si>
  <si>
    <t>La source (1) nous donne l'évolution 2020-2050 des parts modales pour les déplacements des mobilités quotidiennes :</t>
  </si>
  <si>
    <t>Évolution des facteurs d'émission</t>
  </si>
  <si>
    <t>Facteur d'émission 2022</t>
  </si>
  <si>
    <t>Facteur d'émission 2050 - optimiste</t>
  </si>
  <si>
    <t>Diminution du FE entre 2022-2050 - optimiste</t>
  </si>
  <si>
    <t>Facteur d'émission 2050 - pessimiste</t>
  </si>
  <si>
    <t>Diminution du FE entre 2022-2050 - pessimiste</t>
  </si>
  <si>
    <t>Détail en Annexe 2 ci-dessous</t>
  </si>
  <si>
    <t>-- potentiel à évoluer --</t>
  </si>
  <si>
    <t>2) Diminution exogène des facteurs d'émission</t>
  </si>
  <si>
    <t>B) Evolution des distances pacourues</t>
  </si>
  <si>
    <t>Annexe 1 : Facteurs d'émissions 2022</t>
  </si>
  <si>
    <t>Voir calcul onglet "13"</t>
  </si>
  <si>
    <t>Annexe 2 : Evolution des facteurs d'émissions entre 2022 et 2050</t>
  </si>
  <si>
    <t>Source : The Shift Project, Plan de transformation de l'économie française : la mobilité quotidienne, 2020.</t>
  </si>
  <si>
    <t>II - Evolution du FE des cars d'ici 2050</t>
  </si>
  <si>
    <t>Sources : (1) Fondation pour la nature et l'homme, Quelle contribution du véhicule électrique à la transition énergétique ?, Décembre 2017. https://www.fnh.org/sites/default/files/vehicule_electrique_synthese.pdf
(2) ADEME, Base Empreinte. https://base-empreinte.ademe.fr/donnees/jeu-donnees</t>
  </si>
  <si>
    <t>Facteur d'émissions des autobus électriques</t>
  </si>
  <si>
    <t>(2), Autobus/Electrique</t>
  </si>
  <si>
    <t>Facteur d'émissions des autobus thermiques</t>
  </si>
  <si>
    <t>(2), Autobus/Gazole</t>
  </si>
  <si>
    <t>Ratio électrique / thermique</t>
  </si>
  <si>
    <t>Levier 2 : Décarbonation optimiste des industries automobiles</t>
  </si>
  <si>
    <t>La source (1) prend en compte divers éléments qui expliquent une baisse des facteurs d'émissions des véhicules électriques et thermiques.</t>
  </si>
  <si>
    <t>Elle prend notamment en compte le changement du mix électrique, l'efficacité des modes de production, l'évolution de la consommation unitaire, l'évolution des masses et des capacités des batteries, le recyclage des batteries ou le passage des véhicules thermiques en véhicules thermiques mid-hybrides.</t>
  </si>
  <si>
    <t xml:space="preserve">L'étude obtient alors: </t>
  </si>
  <si>
    <t>Potentiel de réduction global sur 100 ans de l'achat d'une citadine électrique</t>
  </si>
  <si>
    <t xml:space="preserve">On peut ainsi calculer un taux d'évolution annuel : </t>
  </si>
  <si>
    <t>Evolution annuel du facteur d'émission - VE</t>
  </si>
  <si>
    <t xml:space="preserve">Et ainsi : </t>
  </si>
  <si>
    <t>Evolution du facteur d'émission des VE</t>
  </si>
  <si>
    <t>Bilan :</t>
  </si>
  <si>
    <t>On obtient finalement :</t>
  </si>
  <si>
    <t>Evolution du facteur d'émission des autocars</t>
  </si>
  <si>
    <t>III - Evolution du FE des voitures d'ici 2050</t>
  </si>
  <si>
    <t>Levier 1 : Systèmatisation du recours à des voitures électriques d'ici 2050.</t>
  </si>
  <si>
    <t>Facteur d'émissions des voitures électriques légeres</t>
  </si>
  <si>
    <t>kg éq. CO2/km</t>
  </si>
  <si>
    <t>(2), Voiture particulière/Entrée de gamme - Véhicule léger/Electrique</t>
  </si>
  <si>
    <t>Facteur d'émissions des voitures thermiques</t>
  </si>
  <si>
    <t>Part VE parc</t>
  </si>
  <si>
    <t>Levier 2 : Décarbonation des industries automobiles</t>
  </si>
  <si>
    <t>Potentiel de réduction global sur 100 ans de l'achat d'une citadine thermique</t>
  </si>
  <si>
    <t>Evolution du facteur d'émission des voitures</t>
  </si>
  <si>
    <t>Evolution du facteur d'émissions entre 2050 et l'année de référence (2022)
Version optimiste</t>
  </si>
  <si>
    <t>Evolution du facteur d'émissions entre 2050 et l'année de référence (2022)
Version pessimiste</t>
  </si>
  <si>
    <t>Levier 2 : Décarbonation  pessimiste des industries automobiles - version pessimiste</t>
  </si>
  <si>
    <t>Dans le scénario d'une décarbonation pessimiste des industries automobiles, on considère que celles-ci ne décarbone qu'à 50% de leur potentiel d'ici 2050.</t>
  </si>
  <si>
    <t>(2), Voiture/Motorisation moyenne/2018</t>
  </si>
  <si>
    <t>Part VE parc 2050</t>
  </si>
  <si>
    <t>Part VT parc 2050</t>
  </si>
  <si>
    <t>FE après levier 1</t>
  </si>
  <si>
    <t>FE voitures 2050 (pessimiste)</t>
  </si>
  <si>
    <t>Métro/tramway/TER</t>
  </si>
  <si>
    <r>
      <rPr>
        <b/>
        <sz val="12"/>
        <color theme="1"/>
        <rFont val="Arial"/>
        <family val="2"/>
      </rPr>
      <t xml:space="preserve">Hypothèse 1 : </t>
    </r>
    <r>
      <rPr>
        <sz val="12"/>
        <color theme="1"/>
        <rFont val="Arial"/>
        <family val="2"/>
      </rPr>
      <t>Pour les TGV (12,9% des vkm), amélioration de 20% de la consommation unitaire par vkm et de 20% de la capacité d'ici 2050</t>
    </r>
  </si>
  <si>
    <t>I - Evolution du FE du métro/tramway/TER d'ici 2050</t>
  </si>
  <si>
    <r>
      <rPr>
        <b/>
        <sz val="12"/>
        <color theme="1"/>
        <rFont val="Arial"/>
        <family val="2"/>
      </rPr>
      <t>Hypothèse 2 :</t>
    </r>
    <r>
      <rPr>
        <sz val="12"/>
        <color theme="1"/>
        <rFont val="Arial"/>
        <family val="2"/>
      </rPr>
      <t xml:space="preserve"> Pour les métro/tramway, on fait l'hypothèse d'une évolution similaire aux trains, basée sur l'électrification plus importante du réseau et de la décarbonation de l'industrie.</t>
    </r>
  </si>
  <si>
    <t xml:space="preserve">Diminution du FE du métro/tramway/TER : </t>
  </si>
  <si>
    <r>
      <rPr>
        <b/>
        <sz val="12"/>
        <color theme="1"/>
        <rFont val="Arial"/>
        <family val="2"/>
      </rPr>
      <t xml:space="preserve">Hypothèse 1 : </t>
    </r>
    <r>
      <rPr>
        <sz val="12"/>
        <color theme="1"/>
        <rFont val="Arial"/>
        <family val="2"/>
      </rPr>
      <t>Pour les bus, on fait l'hypothèse d'une évolution similaire aux autocars, basée à la fois sur une électrification et sur une décarbonation de l'industrie automobile.</t>
    </r>
  </si>
  <si>
    <t>Levier 1 : Systèmatisation du recours à des bus électriques d'ici 2050.</t>
  </si>
  <si>
    <t xml:space="preserve">On fait l'hypothèse que les ratios entre autocars électriques et thermiques sont similaires aux ratios entre autobus électriques et thermiques. D'après (2) : </t>
  </si>
  <si>
    <t xml:space="preserve">D'après (2) et ramenant le calcul en passager.km : </t>
  </si>
  <si>
    <t>kg éq. CO2/passager/km</t>
  </si>
  <si>
    <t>IV - Bilan : évolution des facteurs d'émissions</t>
  </si>
  <si>
    <t>metro/tramway/TER</t>
  </si>
  <si>
    <t>bus</t>
  </si>
  <si>
    <t>2050 - version optimiste</t>
  </si>
  <si>
    <t>2050 - version pessimiste</t>
  </si>
  <si>
    <t>Variante optimiste pour la décarbonation de l'automobile</t>
  </si>
  <si>
    <t>Variante pessimiste pour la décarbonation de l'automobile</t>
  </si>
  <si>
    <t>LEVIERS : DÉPLACEMENT ENTRAINEMENT</t>
  </si>
  <si>
    <t>FE voitures 2050 (optimiste)</t>
  </si>
  <si>
    <t>Levier 3 : Systèmatisation du recours à des voitures électriques d'ici 2050.</t>
  </si>
  <si>
    <t>LEVIERS : ALIMENTATION ET BOISSON</t>
  </si>
  <si>
    <t>Quantités consommées</t>
  </si>
  <si>
    <t xml:space="preserve">Répartition par type de plat/boisson </t>
  </si>
  <si>
    <t xml:space="preserve">Intensité carbone d'un repas (kgCO2e/repas)                </t>
  </si>
  <si>
    <t xml:space="preserve">Quantités consommées </t>
  </si>
  <si>
    <t>Quantités consommées alimentation</t>
  </si>
  <si>
    <t>Quantités consommées boisson</t>
  </si>
  <si>
    <t>Répartition par type de plat/boisson</t>
  </si>
  <si>
    <t>Boissons : circuits courts et bio sans contenant à usage unique</t>
  </si>
  <si>
    <t>Végétalisation de l'offre, sans contenant à usage unique</t>
  </si>
  <si>
    <t>Émissions après transformation</t>
  </si>
  <si>
    <t>Bière industrielle non locale</t>
  </si>
  <si>
    <t>Soda industrielle non local</t>
  </si>
  <si>
    <t>Bière bio locale</t>
  </si>
  <si>
    <t>Soda bio local</t>
  </si>
  <si>
    <t>Intensité carbone des plats/boissons</t>
  </si>
  <si>
    <t>FE plats et snacks végétariens (kgCO2e/repas)</t>
  </si>
  <si>
    <t>Emissions totales (tCO2eq)</t>
  </si>
  <si>
    <t>A. Quantités consommées</t>
  </si>
  <si>
    <t>On considère comme inchangé ou équivalent les volumes consommés par les personnes durant les matchs.</t>
  </si>
  <si>
    <t>B. Intensité carbone des repas et répartition par type de boisson/repas</t>
  </si>
  <si>
    <t xml:space="preserve">i) Alimentation </t>
  </si>
  <si>
    <t>Nombre de plat/snacks</t>
  </si>
  <si>
    <t>kgCO2e/repas</t>
  </si>
  <si>
    <t>Emissions totales</t>
  </si>
  <si>
    <t>ii) Boissons</t>
  </si>
  <si>
    <t>Nombre de boissons servis sur un match</t>
  </si>
  <si>
    <t>Part de bière bio et locale</t>
  </si>
  <si>
    <t>Part de soda bio et local</t>
  </si>
  <si>
    <t>Total émissions du poste</t>
  </si>
  <si>
    <t xml:space="preserve">D'après le tableau et les hypothèses précédentes on obtient : </t>
  </si>
  <si>
    <t>Hypothèse distances parcourues</t>
  </si>
  <si>
    <t>Moyenne pondérée</t>
  </si>
  <si>
    <t>Source parts modales : 3.2 Déplacement entrainement</t>
  </si>
  <si>
    <t>i. Niveau national</t>
  </si>
  <si>
    <t>ii. Niveau régional</t>
  </si>
  <si>
    <t>iii. Niveau départemental</t>
  </si>
  <si>
    <t>a. Championnats</t>
  </si>
  <si>
    <t>On fait la conversion de PCS en PCI pour le gaz. Le taux de conversion est de 0,89 (source : https://www.observatoireclimat-hautsdefrance.org/Les-ressources/Unites-et-reperes#:~:text=Ainsi%2C%20on%20a%20l'expression,11%25%20de%20l'énergie.)</t>
  </si>
  <si>
    <t>(1) Calculs de The Shift Project dans le cadre d’approfondissement du PTEF Logement (non publiés à date) à partir de sources bibliographiques nouvelles (Méthode Quartier-Energie-Carbone : https://librairie.ademe.fr/urbanisme-et-batiment/5802-methode-quartier-energie-carbone.html, NZC réno : https://www.hqegbc.org/international-alliance-hqe-gbc/nzc-renovation/, étude PAC Nooco : https://www.nooco.com/blog/la-pompe-a-chaleur-equipement-bas-carbone-miracle-le-vrai-du-faux-en-6-points/) et retours d’expérience professionnels
(2) https://theshiftproject.org/wp-content/uploads/2022/02/Note-evaluation-energie-climat-PTEF-v1.1.pdf</t>
  </si>
  <si>
    <r>
      <t>Nous en déduisons les résultats suivants pour le secteur du sport en prenant l</t>
    </r>
    <r>
      <rPr>
        <b/>
        <sz val="11"/>
        <color rgb="FF7030A0"/>
        <rFont val="Arial"/>
        <family val="2"/>
      </rPr>
      <t xml:space="preserve">'Hyp 1 </t>
    </r>
    <r>
      <rPr>
        <sz val="11"/>
        <color theme="1"/>
        <rFont val="Arial"/>
        <family val="2"/>
      </rPr>
      <t>et en prenant la source 2 pour les ENR :</t>
    </r>
  </si>
  <si>
    <t>(1) Calculs de The Shift Project dans le cadre d’approfondissement du PTEF Logement (non publiés à date) à partir de sources bibliographiques nouvelles (Méthode Quartier-Energie-Carbone : https://librairie.ademe.fr/urbanisme-et-batiment/5802-methode-quartier-energie-carbone.html, NZC réno : https://www.hqegbc.org/international-alliance-hqe-gbc/nzc-renovation/, étude PAC Nooco : https://www.nooco.com/blog/la-pompe-a-chaleur-equipement-bas-carbone-miracle-le-vrai-du-faux-en-6-points/) et retours d’expérience professionnels
(2) RTE, https://www.rte-france.com/analyses-tendances-et-prospectives/bilan-previsionnel-2050-futurs-energetiques</t>
  </si>
  <si>
    <t>B.1. Implantations plus locales des clubs</t>
  </si>
  <si>
    <t>ANNEXE 1 : Données de consommation</t>
  </si>
  <si>
    <t>2. Simplification du calcul</t>
  </si>
  <si>
    <t>Sandwich merguez</t>
  </si>
  <si>
    <t>Plats et snacks végétariens</t>
  </si>
  <si>
    <t xml:space="preserve">D'après le tableau de l'annexe 1.1 et l'hypothèse précédente, on obtient les tableaus finaux suivants : </t>
  </si>
  <si>
    <t>ANNEXE 2 : Facteur d'émissions</t>
  </si>
  <si>
    <t>FE en kgCO2e/élément</t>
  </si>
  <si>
    <t>FE plats et snacks à dominante animale (kgCO2e/repas)</t>
  </si>
  <si>
    <t>Plats et snacks à dominante animale</t>
  </si>
  <si>
    <t xml:space="preserve">1. Ensemble de données </t>
  </si>
  <si>
    <t>Part de plats et snacks végétariens</t>
  </si>
  <si>
    <t>Part de plats et snacks à dominante végétale avec de la viande</t>
  </si>
  <si>
    <t>FE plats et snacks végétariens</t>
  </si>
  <si>
    <t>FE plats et snacks à dominante végétale avec de la viande</t>
  </si>
  <si>
    <t>On s'interesse ici à l'alimentation des personnes uniquement les jours de matchs. On vise pour ces acteurs un mix de repas composé de 80% de repas végétarien et 20% de repas à dominante végétale avec de la viande.</t>
  </si>
  <si>
    <t>Source : Base Empreinte, "FE repas à dominante végétale avec du poulet/porc", sans entrées et desserts.</t>
  </si>
  <si>
    <t>On s'interesse ici à la consommation des boissons uniquement les jours de matchs. On ne change pas le mix de boissons mais on passe à des boissons bios et locales.</t>
  </si>
  <si>
    <t>Soit une multiplication par</t>
  </si>
  <si>
    <t>Cf. paragraphe ci-dessus.</t>
  </si>
  <si>
    <t>(2), Moyenne du FE "Voiture particulière/Entrée de gamme - Véhicule léger/Electrique", du FE "Voiture particulière/Coeur de gamme - Véhicule compact/Electrique" et du FE "Voiture particulière/Haut de gamme - Berline/Electrique" dans le cas où le poids des véhicules resterait important. On ramène le calcul avec le même passager/km que le thermique.</t>
  </si>
  <si>
    <t>NB : À la date de publication du rapport, le Shift Project n'a pas publié de rapport spécifique sur le secteur textile. Ainsi, les évaluations ci-dessous n'ont pas vocation à fournir une analyse robuste des voies de décarbonation, mais à partager, grâce à la littérature existante, plusieurs leviers clés permettant au milieu du football et du rugby d'enclencher une réflexion plus approfondie sur le sujet. Des résultats plus détaillés et approfondis seront publiés lors du rapport spécifique sur le secteur textile, courant 2025-2026.</t>
  </si>
  <si>
    <t>Short</t>
  </si>
  <si>
    <t>Paire chaussettes</t>
  </si>
  <si>
    <t xml:space="preserve">Empreinte </t>
  </si>
  <si>
    <t>Matières premières</t>
  </si>
  <si>
    <t>Valeur unitaire</t>
  </si>
  <si>
    <t>Volume consommé / an</t>
  </si>
  <si>
    <t>dont football</t>
  </si>
  <si>
    <t xml:space="preserve">dont rugby </t>
  </si>
  <si>
    <t>Element</t>
  </si>
  <si>
    <t>Facteur d'émission</t>
  </si>
  <si>
    <t>ANNEXE 2 : Facteur d'émission</t>
  </si>
  <si>
    <t>ANNEXE 4 : Graphiques</t>
  </si>
  <si>
    <t>A MAJ</t>
  </si>
  <si>
    <t>FE Bière industrielle non locale (kgCO2e/unité)</t>
  </si>
  <si>
    <t>FE Soda industrielle non local (kgCO2e/unité)</t>
  </si>
  <si>
    <t xml:space="preserve">1. Niveau national </t>
  </si>
  <si>
    <t>1. Football</t>
  </si>
  <si>
    <t>2. Rugby</t>
  </si>
  <si>
    <t>Car</t>
  </si>
  <si>
    <t>Avion</t>
  </si>
  <si>
    <t xml:space="preserve">2. Niveau régional </t>
  </si>
  <si>
    <t xml:space="preserve">3. Niveau départemental </t>
  </si>
  <si>
    <t xml:space="preserve">Total </t>
  </si>
  <si>
    <t>Source : Wikipédia, https://fr.wikipedia.org/wiki/Structure_des_championnats_de_football_en_France</t>
  </si>
  <si>
    <t xml:space="preserve">Cela nous permet de préciser la répartition et nous donne l'hypothèse suivante : </t>
  </si>
  <si>
    <t xml:space="preserve">Etape de calcul : </t>
  </si>
  <si>
    <t>Total pratiquants</t>
  </si>
  <si>
    <t>Cf. Fiche d'identité</t>
  </si>
  <si>
    <t>Niveau départemental</t>
  </si>
  <si>
    <t>Niveau national</t>
  </si>
  <si>
    <t>Niveau régional</t>
  </si>
  <si>
    <t>National</t>
  </si>
  <si>
    <t>Locaux</t>
  </si>
  <si>
    <t>Visiteurs</t>
  </si>
  <si>
    <t>Régional</t>
  </si>
  <si>
    <t>Départemental</t>
  </si>
  <si>
    <t>Distance parcourue par match (en km)</t>
  </si>
  <si>
    <t>Distance parcourue saison (en km)</t>
  </si>
  <si>
    <t>b. Coupes et trophées</t>
  </si>
  <si>
    <t>Parts modales EMP</t>
  </si>
  <si>
    <t>Base Empreinte : Métro, tramway, trolleybus/2018/Agglomération de 100 000 à 250 000 habitants</t>
  </si>
  <si>
    <t>Transport en commun ferroviaire</t>
  </si>
  <si>
    <t>Cependant, la source (1) ne donne pas une répartition précise du report modal en fonction de la densité urbaine. Autrement dit, le tableau précédent ne nous permet pas de dire si l'accentuation des mobilités douces se fait majoritairement en zones ubraines, péri-urbaines ou rurales.Nous avons, grâce à plusieurs Plan de Développement Urbain (PDU) ci-dessous (ligne "source") et les conseils de Laura Foglia (cheffe de projet mobilité quotidienne, The Shift Project), affiner nos précaunisations. A notre connaissance, il n'existe pas de documents prospectifs qui permettent un niveau de détails</t>
  </si>
  <si>
    <t>Potentiel de réduction de la voiture encore plus important étant donné le niveau de densité. Le prolongement des courbes des objectifs PDU/PLM à horizon 2030 dans les sources ci-dessous donnent des objectifs compris entre -50% (bien que pour la métropole de Lyon, le niveau de densité varie entre "très dense" et "intermédiaire" suivant la localité) et -80% (pour Paris, avec un niveau de densité très important) pour les véhicules individuels. Nous faisons le choix d'une baisse de 70%. Pour les autres modes, nous gardons des variations identiques au PTEF.</t>
  </si>
  <si>
    <t>PDU Vannes Agglo (p13)</t>
  </si>
  <si>
    <t xml:space="preserve">TC </t>
  </si>
  <si>
    <t>Hypothèses/commentaires</t>
  </si>
  <si>
    <t xml:space="preserve">Ainsi, on obtient le tableau suivant : </t>
  </si>
  <si>
    <r>
      <t>Enfin, on fait également l'hypothèse que le reste des déplacements sont effectués en vélo (avec ou sans assistance) ou en marchant (</t>
    </r>
    <r>
      <rPr>
        <b/>
        <i/>
        <sz val="12"/>
        <color theme="1"/>
        <rFont val="Arial"/>
        <family val="2"/>
      </rPr>
      <t>H2</t>
    </r>
    <r>
      <rPr>
        <sz val="12"/>
        <color theme="1"/>
        <rFont val="Arial"/>
        <family val="2"/>
      </rPr>
      <t>).</t>
    </r>
  </si>
  <si>
    <r>
      <t>On fait l'hypothèse que la diminution de l'utilisation de la voiture est similaire pour les locaux et pour la mobilité quotidienne (</t>
    </r>
    <r>
      <rPr>
        <b/>
        <i/>
        <sz val="12"/>
        <color theme="1"/>
        <rFont val="Arial"/>
        <family val="2"/>
      </rPr>
      <t>H1</t>
    </r>
    <r>
      <rPr>
        <sz val="12"/>
        <color theme="1"/>
        <rFont val="Arial"/>
        <family val="2"/>
      </rPr>
      <t>).</t>
    </r>
  </si>
  <si>
    <t>Variation 2020-2030</t>
  </si>
  <si>
    <t>PDU Nancy</t>
  </si>
  <si>
    <t>Pour les communes très peu denses, l'effort se fera principalement par un essort du covoituage selon Laura Foglia (cheffe de projet mobilité, TSP), le bus n'étant pas adapté pour ce genre de territoire trop peu dense. On vise ainsi une faible baisse de la voiture, compensée par un essort relatif des modes doux pour les trajets à faible distance. On applique les taux du PTEF pour les autres modes.</t>
  </si>
  <si>
    <t>Source : https://www.grandnancy.eu/fileadmin/fichiers/CONSTRUIRE_L_AVENIR/Mobilites_2021/2021_11_P2Mv3.pdf</t>
  </si>
  <si>
    <t>PDU Vannes Agglo : https://www.golfedumorbihan-vannesagglomeration.bzh/sites/dev/files/inline-files/EPT230135_PDM%20GMVA_Diagnostic%20VF.pdf</t>
  </si>
  <si>
    <t>ANNEXE 2 : Données Bilan carbone FFF et Utopies</t>
  </si>
  <si>
    <t>Source parts modales : 3.2 Déplacement entrainement, moyenne des parts modales des différentes répartitions entre niveau de densité.</t>
  </si>
  <si>
    <t>Rencontres nationales</t>
  </si>
  <si>
    <t>Nombre de spectateurs en moyenne sur un match</t>
  </si>
  <si>
    <t>Dont voiture</t>
  </si>
  <si>
    <t>Dont mobilité douce</t>
  </si>
  <si>
    <t>Dont bus</t>
  </si>
  <si>
    <t>Dont métro/tramway</t>
  </si>
  <si>
    <t>Dont train</t>
  </si>
  <si>
    <t>Dont car</t>
  </si>
  <si>
    <t>Dont avion</t>
  </si>
  <si>
    <t>Facteur d'émissions voiture courte distance (kg éq. CO2/peq.km)</t>
  </si>
  <si>
    <t>Facteur d'émissions voiture longue distance (kg éq. CO2/peq.km)</t>
  </si>
  <si>
    <t>Facteur d'émissions mobilités douces (kg éq. CO2/peq.km)</t>
  </si>
  <si>
    <t>Facteur d'émissions bus (kg éq. CO2/peq.km)</t>
  </si>
  <si>
    <t>Facteur d'émissions métro/tramway (kg éq. CO2/peq.km)</t>
  </si>
  <si>
    <t>Facteur d'émissions train (kg éq. CO2/peq.km)</t>
  </si>
  <si>
    <t>Facteur d'émission car (kg éq. CO2/peq.km)</t>
  </si>
  <si>
    <t>Facteur d'émissions avion</t>
  </si>
  <si>
    <t>Total 2022-2023</t>
  </si>
  <si>
    <t>Rencontres régionales</t>
  </si>
  <si>
    <t>Rencontres départementales</t>
  </si>
  <si>
    <t>HX : On considère que les répartitions en parts modales, distances parcourues et autres hypothèses sont similaires entre les trophées et les championnats.</t>
  </si>
  <si>
    <t>Valeurs (tCO2e) en 2022</t>
  </si>
  <si>
    <t>1) Variante DROP - Déploiement technologique important, sobriété modérée</t>
  </si>
  <si>
    <t>Avant transformation</t>
  </si>
  <si>
    <t xml:space="preserve">Après transformation </t>
  </si>
  <si>
    <t>Valeurs (tCO2e) en 2050</t>
  </si>
  <si>
    <t xml:space="preserve">Négatif </t>
  </si>
  <si>
    <t>Émissions (ktCO2e)</t>
  </si>
  <si>
    <t xml:space="preserve">Émissions en 2022 </t>
  </si>
  <si>
    <t>Émissions 2050 après transformation</t>
  </si>
  <si>
    <t xml:space="preserve">Baisse </t>
  </si>
  <si>
    <t>Objectif SNBC</t>
  </si>
  <si>
    <t>Déplacements pour les entrainements</t>
  </si>
  <si>
    <t>Déplacements pour les matchs</t>
  </si>
  <si>
    <t>2) Empreinte carbone du périmètre total football-rugby amateur</t>
  </si>
  <si>
    <t>4. Empreinte carbone de la pelouse</t>
  </si>
  <si>
    <t>Amortissement</t>
  </si>
  <si>
    <t>ans</t>
  </si>
  <si>
    <t>tCO2e/place</t>
  </si>
  <si>
    <t>ANNEXE 1 : Infrastructures</t>
  </si>
  <si>
    <t>Stade</t>
  </si>
  <si>
    <t>Nice</t>
  </si>
  <si>
    <t>ACV construction - amortissement sur 50 ans</t>
  </si>
  <si>
    <t>Havre</t>
  </si>
  <si>
    <t>BC construction - amortissement sur 50 ans</t>
  </si>
  <si>
    <t>Clermont</t>
  </si>
  <si>
    <t>Stade australien</t>
  </si>
  <si>
    <t>tCO2e/place/an</t>
  </si>
  <si>
    <t>Un état des lieux d'ACV se focalisant sur la phase de construction de stades a été effectué dans le volet professionnel. Ci-dessous, un résumé des empreintes carbone / place pour une durée de vie de 50 ans est donné.</t>
  </si>
  <si>
    <t>Etant donné que les stades étudiés ci-dessus sont principalement des grandes structures (stades de plusieurs miliers de places), il est probable que ces émissions pour des structures plus modestes soient plus faibles. Des observations empiriques simples permettent de le constater : les tribunes des stades de niveau amateur sont en général plus sobre en matériaux. Afin de ne pas surévaluer l'estimation, nous prenons un chiffre conservateur d'un tiers plus faible que le chiffre moyen donné ci-dessus.</t>
  </si>
  <si>
    <t>ANNEXE 3 : Données sur les émissions de CO2e pour la construction des stades</t>
  </si>
  <si>
    <t>Calcul en Annexe X</t>
  </si>
  <si>
    <t xml:space="preserve">La base DataES nous donne le nombre de type de structure mais pas les surfaces. Nous faisons donc des hypothèses sur celles-ci (cf. onglet commentaire) et nous prenons l'hypothèse suivante pour calculer l'empreinet au m2 : </t>
  </si>
  <si>
    <t xml:space="preserve">Pour une surface totale en m2 : </t>
  </si>
  <si>
    <t>m2</t>
  </si>
  <si>
    <t>Etape 1 : Calcul des empreintes carbone</t>
  </si>
  <si>
    <t xml:space="preserve">1. Tribunes </t>
  </si>
  <si>
    <t>2. Infrastructures diverses</t>
  </si>
  <si>
    <t xml:space="preserve">3. Parking </t>
  </si>
  <si>
    <t>Pour calculer les émissions liées à la construction des tribunes, on multiplie le nombre de places assises par un FE moyen/place calculé en annexe.</t>
  </si>
  <si>
    <t>Le calcul ci-dessous prend en compte l'empreinte carbone liée au parking des infrastructures.</t>
  </si>
  <si>
    <t>LEVIERS : IMMOBILISATIONS</t>
  </si>
  <si>
    <t>÷</t>
  </si>
  <si>
    <t>Hypohèses de décarbonation</t>
  </si>
  <si>
    <t>Quantités de matériaux consommés</t>
  </si>
  <si>
    <t>Les évolutions sur les quantités de matériaux consommées lors de la construction n'ont pas été évaluées. Statuer sur ces quantités nécessiterait au moins de connaître le nombre de nouveaux stades construits dans les prochaines années, leur conception (les différences d'architecture faisant évoluer les quantités de matériaux consommés) ainsi que la part de stades rénovés et dans quelles proportions. Nous ne disposons pas de telles données. Quand bien même nous le saurions, une forte incertitude reposerait sur ces calculs. Nous nous contenterons ici de décrire qualitativement les leviers activables pour décarboner la construction et la rénovation des stades.</t>
  </si>
  <si>
    <t xml:space="preserve">Intensité carbone </t>
  </si>
  <si>
    <t>Baisse de l'intensité carbone de la construction : ciment et béton bas carbone, CCS, smart carbone, recyclage, etc.</t>
  </si>
  <si>
    <t>III) Description qualitative des leviers</t>
  </si>
  <si>
    <t>2. Si la construction est actée (dans un des deux cas évoqués précédemment) :</t>
  </si>
  <si>
    <t xml:space="preserve">Ex : Pour Nice, le choix du bois en structure a permis d’économiser environ 2800 tonnes de CO2 par rapport à une structure Acier et 5000 tonnes par rapport à une structure de couverture lourde. </t>
  </si>
  <si>
    <t>- Acter une stratégie de construction menant à une structure légère, un usage sobre en matériaux (notamment l'acier et le béton, responsable de plus de 70% des émissions) et une capacité raisonnable du stade (cf. cahier des charges des instances)</t>
  </si>
  <si>
    <t>Ex : Le recours à l’ETFE à Nice, matériaux particulièrement léger et réduisant la quantité de structure pour le supporter, a permis d'économiser X tCO2.</t>
  </si>
  <si>
    <t>IV) Détail des calculs</t>
  </si>
  <si>
    <t>Les évolutions des quantités de matériaux consommés lors de la construction n'ont pas été évaluées. Statuer sur ces quantités nécessiterait au minimum de connaître le nombre de nouveaux stades construits dans les prochaines années, leur conception (les différences d'architecture influençant les quantités de matériaux consommés), ainsi que la part de stades rénovés et dans quelle proportion. Nous ne disposons pas de telles données. Quand bien même nous les aurions, ces calculs comporteraient une forte incertitude. Les leviers décrits en III) 2.1 permettront cependant de réduire la quantité de matériaux consommés.</t>
  </si>
  <si>
    <t xml:space="preserve">B. Intensité carbone </t>
  </si>
  <si>
    <t>1. Intensité carbone des matériaux</t>
  </si>
  <si>
    <t>(1) The Shift Project, Décarboner l'industrie sans la saborder, https://theshiftproject.org/wp-content/uploads/2022/01/PTEF-Decarboner-lindustrie_-Rapport-final.pdf
(2) The Shift Project, Décarboner l'industrie du ciment, https://theshiftproject.org/wp-content/uploads/2022/01/PTEF-Decarboner-lindustrie_-Ciment_-Rapport-final.pdf</t>
  </si>
  <si>
    <t>Etape de calcul : On rappel les données utilisées</t>
  </si>
  <si>
    <t>Le tableau de répartition en annexe du calcul d'empreinte donne les chiffres suivants :</t>
  </si>
  <si>
    <t>Répartition de l'empreinte carbone de la construction de stade</t>
  </si>
  <si>
    <t xml:space="preserve">Etape de calcul : On précise les données utilisées </t>
  </si>
  <si>
    <t>1. Acier</t>
  </si>
  <si>
    <t>La source (1) donne pour l'activation de tous les leviers d’innovation aujourd’hui disponibles pour réduire l’impact unitaire de la production d’une tonne de matériau les donnée suivantes entre 2015 et 2050 :</t>
  </si>
  <si>
    <t>Baisse en pourcentage en kgCO2e/m2 2015-2050</t>
  </si>
  <si>
    <t xml:space="preserve">Soit au prorata de l'empreinte une part ramenée à </t>
  </si>
  <si>
    <t>2. Béton</t>
  </si>
  <si>
    <t>La source (2) soit l’activation de tous les leviers d’innovation aujourd’hui disponibles pour réduire l’impact unitaire de la production d’une tonne de matériau nous donne les donnée suivantes entre 2015 et 2050 :</t>
  </si>
  <si>
    <t>Baisse en pourcentage en kgCO2e/m3 2015-2050</t>
  </si>
  <si>
    <t>3. Autres (éléments techniques, parachèvement et autres)</t>
  </si>
  <si>
    <t>Ne disposant pas de données spécifiques pour cette très grande variété de matériaux, on prend le chiffre moyen de décarbonation entre l'acier et le béton.</t>
  </si>
  <si>
    <t>Potentiel de décarbonation des matériaux de construction</t>
  </si>
  <si>
    <t>2. Choix de la rénovation vs construction</t>
  </si>
  <si>
    <t>(1) Calculs de The Shift Project dans le cadre d’approfondissement du PTEF Logement (non publiés à date) à partir de sources bibliographiques nouvelles (Méthode Quartier-Energie-Carbone : https://librairie.ademe.fr/urbanisme-et-batiment/5802-methode-quartier-energie-carbone.html, NZC réno : https://www.hqegbc.org/international-alliance-hqe-gbc/nzc-renovation/, étude PAC Nooco : https://www.nooco.com/blog/la-pompe-a-chaleur-equipement-bas-carbone-miracle-le-vrai-du-faux-en-6-points/) et retours d’expérience professionnels
(2) Différence d'empreinte carbone entre la construction ou la rénovation du stade de La Beaujoire. Annexe 1, "Comparaison des émissions cumulées de CO2"</t>
  </si>
  <si>
    <t xml:space="preserve">D'après la source (1), nous avons : </t>
  </si>
  <si>
    <t>Impact de la construction en kgCO2e/m2</t>
  </si>
  <si>
    <t>Impact de la rénovation kgCO2e/m2</t>
  </si>
  <si>
    <t>Pourcentage de différence</t>
  </si>
  <si>
    <t>IV) Annexes</t>
  </si>
  <si>
    <t>ANNEXE 1 : La Beaujoire, comparaison des émissions cumulées de CO2 entre la construction et la rénovation</t>
  </si>
  <si>
    <t>Cf. "Fiche d'identité"</t>
  </si>
  <si>
    <t xml:space="preserve">Si on en fait la moyenne, on obtient : </t>
  </si>
  <si>
    <t>Annexe 3 : Plan de mobilité</t>
  </si>
  <si>
    <t>MONTAGNARDE US 3</t>
  </si>
  <si>
    <t>QUEVEN CERC S 2</t>
  </si>
  <si>
    <t>CAUDAN SP F</t>
  </si>
  <si>
    <t>PLOEMEUR FC 56 2</t>
  </si>
  <si>
    <t>LORIENT FOLCLO</t>
  </si>
  <si>
    <t>CALAN AS</t>
  </si>
  <si>
    <t>HENNEBONT STADE</t>
  </si>
  <si>
    <t>GUEMENE ST</t>
  </si>
  <si>
    <t>CLEGUER KERCHOPINE</t>
  </si>
  <si>
    <t>ARZANO JA</t>
  </si>
  <si>
    <t>LORIENT LA VIG FL</t>
  </si>
  <si>
    <t>INGUINIEL FOY LAIQ</t>
  </si>
  <si>
    <t>VAIGES AS</t>
  </si>
  <si>
    <t>ÉVRONNAIS CA 2</t>
  </si>
  <si>
    <t>ST DENIS D'ANJOU US</t>
  </si>
  <si>
    <t>ST GEORGES BUT. V</t>
  </si>
  <si>
    <t>CHANTRIGNÉ US</t>
  </si>
  <si>
    <t>CHATEAU GONTIER ANC 3</t>
  </si>
  <si>
    <t>CHANGÉ US 3</t>
  </si>
  <si>
    <t>FORCÉ US</t>
  </si>
  <si>
    <t>LAVAL BOURNY AS 2</t>
  </si>
  <si>
    <t>FC AISNE</t>
  </si>
  <si>
    <t>ST BERTHEVIN US 2</t>
  </si>
  <si>
    <t>LANDIVY PONTMAIN FC</t>
  </si>
  <si>
    <t>J.ST.O. GIVORS</t>
  </si>
  <si>
    <t>EV.S. GENAS AZIEU</t>
  </si>
  <si>
    <t>VAULX OLYMPIQ</t>
  </si>
  <si>
    <t>A.S. DES BUERS VILLE</t>
  </si>
  <si>
    <t>ST FONS CO</t>
  </si>
  <si>
    <t>HTE BREVENNE F.</t>
  </si>
  <si>
    <t>F.C. ST CYR - COLLON 2</t>
  </si>
  <si>
    <t>U.S. MILLERY VOURLES</t>
  </si>
  <si>
    <t>FC LAMURE POULE</t>
  </si>
  <si>
    <t>O. LYON SUD 2</t>
  </si>
  <si>
    <t>ET.S. LIERGUOISE</t>
  </si>
  <si>
    <t>LYON FOOTBALL FC 2</t>
  </si>
  <si>
    <t>Nom du club</t>
  </si>
  <si>
    <t>Ville</t>
  </si>
  <si>
    <t>Inzinzac-Lochrist</t>
  </si>
  <si>
    <t>Quéven</t>
  </si>
  <si>
    <t>Caudan</t>
  </si>
  <si>
    <t>Ploemeur</t>
  </si>
  <si>
    <t>Lorient</t>
  </si>
  <si>
    <t>Calan</t>
  </si>
  <si>
    <t>Hennebont</t>
  </si>
  <si>
    <t>Guémené-sur-Scorff</t>
  </si>
  <si>
    <t>Cléguer</t>
  </si>
  <si>
    <t>Arzano</t>
  </si>
  <si>
    <t>Inguiniel</t>
  </si>
  <si>
    <t>Vaiges</t>
  </si>
  <si>
    <t>Évron</t>
  </si>
  <si>
    <t>Saint-Denis-d'Anjou</t>
  </si>
  <si>
    <t>Saint-Georges-Buttavent</t>
  </si>
  <si>
    <t>Chantrigné</t>
  </si>
  <si>
    <t>Château-Gontier</t>
  </si>
  <si>
    <t>Changé</t>
  </si>
  <si>
    <t>Forcé</t>
  </si>
  <si>
    <t>Laval (quartier Bourny)</t>
  </si>
  <si>
    <t>Aisne-sur-Crée</t>
  </si>
  <si>
    <t>Saint-Berthevin</t>
  </si>
  <si>
    <t>Landivy/Pontmain</t>
  </si>
  <si>
    <t>Givors</t>
  </si>
  <si>
    <t>Genas (quartier Azieu)</t>
  </si>
  <si>
    <t>Vaulx-en-Velin</t>
  </si>
  <si>
    <t>Villeurbanne (quartier Buers)</t>
  </si>
  <si>
    <t>Saint-Fons</t>
  </si>
  <si>
    <t>Haute-Rivoire (vallée de la Brévenne)</t>
  </si>
  <si>
    <t>Saint-Cyr-au-Mont-d'Or et Collonges-au-Mont-d'Or</t>
  </si>
  <si>
    <t>Millery et Vourles</t>
  </si>
  <si>
    <t>Lamure-sur-Azergues et Poule-les-Écharmeaux</t>
  </si>
  <si>
    <t>Lyon (secteur sud)</t>
  </si>
  <si>
    <t>Liergues</t>
  </si>
  <si>
    <t>Lyon</t>
  </si>
  <si>
    <t>GUISE US</t>
  </si>
  <si>
    <t>VERMAND UES</t>
  </si>
  <si>
    <t>CRECOIS ICS</t>
  </si>
  <si>
    <t>GAUCHY GRUGIES FC</t>
  </si>
  <si>
    <t>VERVINS US</t>
  </si>
  <si>
    <t>FRESNOY FONSOMME FC</t>
  </si>
  <si>
    <t>LA FERE US</t>
  </si>
  <si>
    <t>BUIRONFOSSE CAP. US</t>
  </si>
  <si>
    <t>ESSIGNY FC</t>
  </si>
  <si>
    <t>MOY DE L'AISNE SAS</t>
  </si>
  <si>
    <t>BUIRE HIRSON US 2</t>
  </si>
  <si>
    <t>RIBEMONT MEZIERES US 2</t>
  </si>
  <si>
    <t>TREON A.S.</t>
  </si>
  <si>
    <t>GALLARDON AMI</t>
  </si>
  <si>
    <t>MAINTENON PIERRES 2</t>
  </si>
  <si>
    <t>VILLEMEUX AS</t>
  </si>
  <si>
    <t>C.S. MAINVILLIERS FO 3</t>
  </si>
  <si>
    <t>LEVES F C 2</t>
  </si>
  <si>
    <t>COURVILLE</t>
  </si>
  <si>
    <t>AM. EPERNON 2</t>
  </si>
  <si>
    <t>DREUX HORIZON 2</t>
  </si>
  <si>
    <t>REMOIS F.C.</t>
  </si>
  <si>
    <t>SENONCHOIS FCP</t>
  </si>
  <si>
    <t>DREUX ACSF 2</t>
  </si>
  <si>
    <t>Club</t>
  </si>
  <si>
    <t>Guise</t>
  </si>
  <si>
    <t>Vermand</t>
  </si>
  <si>
    <t>Crécy-sur-Serre</t>
  </si>
  <si>
    <t>Gauchy et Grugies</t>
  </si>
  <si>
    <t>Vervins</t>
  </si>
  <si>
    <t>Fresnoy-le-Grand et Fonsomme</t>
  </si>
  <si>
    <t>La Fère</t>
  </si>
  <si>
    <t>Buironfosse</t>
  </si>
  <si>
    <t>Essigny-le-Grand</t>
  </si>
  <si>
    <t>Moy-de-l'Aisne</t>
  </si>
  <si>
    <t>Buire et Hirson</t>
  </si>
  <si>
    <t>Ribemont-sur-Ancre et Mézières-sur-Oise</t>
  </si>
  <si>
    <t>Tréon</t>
  </si>
  <si>
    <t>Gallardon</t>
  </si>
  <si>
    <t>Maintenon et Pierres</t>
  </si>
  <si>
    <t>Villemeux-sur-Eure</t>
  </si>
  <si>
    <t>Mainvilliers</t>
  </si>
  <si>
    <t>Lèves</t>
  </si>
  <si>
    <t>Courville-sur-Eure</t>
  </si>
  <si>
    <t>Épernon</t>
  </si>
  <si>
    <t>Dreux</t>
  </si>
  <si>
    <t>Saint-Rémy-sur-Avre</t>
  </si>
  <si>
    <t>Senonches</t>
  </si>
  <si>
    <t>1. Niveau départemental</t>
  </si>
  <si>
    <t>2. Niveau régional</t>
  </si>
  <si>
    <t>Ligue</t>
  </si>
  <si>
    <t>Pontivy Stade</t>
  </si>
  <si>
    <t>Pontivy</t>
  </si>
  <si>
    <t>St Brieuc Ginglin AS</t>
  </si>
  <si>
    <t>Saint-Brieuc</t>
  </si>
  <si>
    <t>Plouvorn AG</t>
  </si>
  <si>
    <t>Plouvorn</t>
  </si>
  <si>
    <t>St Renan EA</t>
  </si>
  <si>
    <t>Saint-Renan</t>
  </si>
  <si>
    <t>Brest Stade 29 2</t>
  </si>
  <si>
    <t>Brest</t>
  </si>
  <si>
    <t>Montagnarde US</t>
  </si>
  <si>
    <t>St Brieuc COBSP</t>
  </si>
  <si>
    <t>Plougastel FC</t>
  </si>
  <si>
    <t>Plougastel-Daoulas</t>
  </si>
  <si>
    <t>Pluvigner Kériolets</t>
  </si>
  <si>
    <t>Pluvigner</t>
  </si>
  <si>
    <t>Concarneau US 2</t>
  </si>
  <si>
    <t>Concarneau</t>
  </si>
  <si>
    <t>Plouzané ACF</t>
  </si>
  <si>
    <t>Plouzané</t>
  </si>
  <si>
    <t>Guipavas GND Réun</t>
  </si>
  <si>
    <t>Guipavas</t>
  </si>
  <si>
    <t>Landerneau FC</t>
  </si>
  <si>
    <t>Landerneau</t>
  </si>
  <si>
    <t>Trégunc US</t>
  </si>
  <si>
    <t>Trégunc</t>
  </si>
  <si>
    <t>U.S. Feurs</t>
  </si>
  <si>
    <t>Feurs</t>
  </si>
  <si>
    <t>Blavozy US</t>
  </si>
  <si>
    <t>Blavozy</t>
  </si>
  <si>
    <t>FCO Firminy Inser</t>
  </si>
  <si>
    <t>Firminy</t>
  </si>
  <si>
    <t>Aurillac FC</t>
  </si>
  <si>
    <t>Aurillac</t>
  </si>
  <si>
    <t>Thiers SA</t>
  </si>
  <si>
    <t>Thiers</t>
  </si>
  <si>
    <t>Montluçon Football</t>
  </si>
  <si>
    <t>Montluçon</t>
  </si>
  <si>
    <t>Riom FC</t>
  </si>
  <si>
    <t>Riom</t>
  </si>
  <si>
    <t>Le Puy F. 43 Auvergn 2</t>
  </si>
  <si>
    <t>Le Puy-en-Velay</t>
  </si>
  <si>
    <t>Monistrol S/Loire</t>
  </si>
  <si>
    <t>Monistrol-sur-Loire</t>
  </si>
  <si>
    <t>U.S. Brioude</t>
  </si>
  <si>
    <t>Brioude</t>
  </si>
  <si>
    <t>Domérat A.S.</t>
  </si>
  <si>
    <t>Domérat</t>
  </si>
  <si>
    <t>Velay F.C.</t>
  </si>
  <si>
    <t>Velay</t>
  </si>
  <si>
    <t>F.C. Chamalières 2</t>
  </si>
  <si>
    <t>Chamalières</t>
  </si>
  <si>
    <t>Boulogne S/Mer USCO 2</t>
  </si>
  <si>
    <t>Boulogne-sur-Mer</t>
  </si>
  <si>
    <t>Pays de St Omer US</t>
  </si>
  <si>
    <t>Saint-Omer</t>
  </si>
  <si>
    <t>Tourcoing US</t>
  </si>
  <si>
    <t>Tourcoing</t>
  </si>
  <si>
    <t>Hazebrouck SC</t>
  </si>
  <si>
    <t>Hazebrouck</t>
  </si>
  <si>
    <t>Steenvoorde AS</t>
  </si>
  <si>
    <t>Steenvoorde</t>
  </si>
  <si>
    <t>Gravelines US</t>
  </si>
  <si>
    <t>Gravelines</t>
  </si>
  <si>
    <t>Amiens Portugais FCP</t>
  </si>
  <si>
    <t>Amiens</t>
  </si>
  <si>
    <t>Escaudain Denain US</t>
  </si>
  <si>
    <t>Escaudain</t>
  </si>
  <si>
    <t>Cambrai AC</t>
  </si>
  <si>
    <t>Cambrai</t>
  </si>
  <si>
    <t>Compiègne AFC</t>
  </si>
  <si>
    <t>Compiègne</t>
  </si>
  <si>
    <t>Feignies/Aulnoye EFC 2</t>
  </si>
  <si>
    <t>Feignies</t>
  </si>
  <si>
    <t>Arras FA</t>
  </si>
  <si>
    <t>Arras</t>
  </si>
  <si>
    <t>Camon US</t>
  </si>
  <si>
    <t>Camon</t>
  </si>
  <si>
    <t>Calais Beau Marais F</t>
  </si>
  <si>
    <t>Calais</t>
  </si>
  <si>
    <t>Les Sables FCOC Vend</t>
  </si>
  <si>
    <t>Les Sables-d'Olonne</t>
  </si>
  <si>
    <t>Vertou USSA 2</t>
  </si>
  <si>
    <t>Vertou</t>
  </si>
  <si>
    <t>Coulaines JS</t>
  </si>
  <si>
    <t>Coulaines</t>
  </si>
  <si>
    <t>Sablé FC 2</t>
  </si>
  <si>
    <t>Sablé-sur-Sarthe</t>
  </si>
  <si>
    <t>St Nazaire AF</t>
  </si>
  <si>
    <t>Saint-Nazaire</t>
  </si>
  <si>
    <t>Bonchamp ES</t>
  </si>
  <si>
    <t>Bonchamp-lès-Laval</t>
  </si>
  <si>
    <t>Mareuil sur Lay</t>
  </si>
  <si>
    <t>Mareuil-sur-Lay</t>
  </si>
  <si>
    <t>Château-Gontier ANC</t>
  </si>
  <si>
    <t>Orvault SF</t>
  </si>
  <si>
    <t>Orvault</t>
  </si>
  <si>
    <t>Cholet RC</t>
  </si>
  <si>
    <t>Cholet</t>
  </si>
  <si>
    <t>Les Herbiers VF 2</t>
  </si>
  <si>
    <t>Les Herbiers</t>
  </si>
  <si>
    <t>Nantes Bellevue JSC</t>
  </si>
  <si>
    <t>Nantes</t>
  </si>
  <si>
    <t>Nancy</t>
  </si>
  <si>
    <t>Orléans</t>
  </si>
  <si>
    <t>Dijon</t>
  </si>
  <si>
    <t>Sochaux</t>
  </si>
  <si>
    <t>Bourg-en-Bresse</t>
  </si>
  <si>
    <t>Valenciennes</t>
  </si>
  <si>
    <t>Aubagne</t>
  </si>
  <si>
    <t>Versailles</t>
  </si>
  <si>
    <t>Le Mans</t>
  </si>
  <si>
    <t>Nîmes</t>
  </si>
  <si>
    <t>Rouen</t>
  </si>
  <si>
    <t>Paris 13 Atletico</t>
  </si>
  <si>
    <t>Villefranche Beaujolais</t>
  </si>
  <si>
    <t>Châteauroux</t>
  </si>
  <si>
    <t>Chambéry</t>
  </si>
  <si>
    <t>Narbonne</t>
  </si>
  <si>
    <t>Périgueux</t>
  </si>
  <si>
    <t>Carcassonne</t>
  </si>
  <si>
    <t>Albi</t>
  </si>
  <si>
    <t>Suresnes</t>
  </si>
  <si>
    <t>Langon</t>
  </si>
  <si>
    <t>Massy</t>
  </si>
  <si>
    <t>Bourgoin</t>
  </si>
  <si>
    <t>Tarbes</t>
  </si>
  <si>
    <t>3. Niveau national</t>
  </si>
  <si>
    <t>D2 Féminine Football</t>
  </si>
  <si>
    <t>RC Strasbourg Alsace</t>
  </si>
  <si>
    <t>Strasbourg</t>
  </si>
  <si>
    <t>FC Nantes</t>
  </si>
  <si>
    <t>Olympique Marseille</t>
  </si>
  <si>
    <t>Marseille</t>
  </si>
  <si>
    <t>OGC Nice</t>
  </si>
  <si>
    <t>RC Lens</t>
  </si>
  <si>
    <t>Lens</t>
  </si>
  <si>
    <t>Rodez Aveyron F.</t>
  </si>
  <si>
    <t>Rodez</t>
  </si>
  <si>
    <t>US Orléans Loiret</t>
  </si>
  <si>
    <t>Thonon Évian GG FC</t>
  </si>
  <si>
    <t>Thonon-les-Bains</t>
  </si>
  <si>
    <t>FC Metz</t>
  </si>
  <si>
    <t>Metz</t>
  </si>
  <si>
    <t>Le Mans FC</t>
  </si>
  <si>
    <t>Albi Marssac TF</t>
  </si>
  <si>
    <t>Montauban FC TG</t>
  </si>
  <si>
    <t>Montauban</t>
  </si>
  <si>
    <t>QRM (Le Petit-Quevilly)</t>
  </si>
  <si>
    <t>Le Petit-Quevilly (QRM)</t>
  </si>
  <si>
    <t>Paris 13e arrondissement</t>
  </si>
  <si>
    <t>Villefranche-sur-Saône</t>
  </si>
  <si>
    <t>Bourgoin-Jallieu</t>
  </si>
  <si>
    <t>Marcq-en-Barœul</t>
  </si>
  <si>
    <t>Championnat</t>
  </si>
  <si>
    <t>Distance moyenne calculée en Annexe X</t>
  </si>
  <si>
    <t>(1) FE base empreinte, ADEME
(2) Modélisation et Bilan carbone FFF &amp; Utopies
(3) Base de données du ministère, Enquête mobilité 2019, filtre "Voir un spectacle culturel ou sportif (cinéma, théâtre, concert, cirque, match)", parts modales : https://www.statistiques.developpement-durable.gouv.fr/resultats-detailles-de-lenquete-mobilite-des-personnes-de-2019
(4) Football Ecologie France</t>
  </si>
  <si>
    <t>Nombre de spectateurs locaux sur un match</t>
  </si>
  <si>
    <t>Nombre de spectateurs visiteurs sur un match</t>
  </si>
  <si>
    <t>Nombre de joueurs par match</t>
  </si>
  <si>
    <t>Nombre de personnes mobilisés (hors pratiquants) par match</t>
  </si>
  <si>
    <t>Provenance</t>
  </si>
  <si>
    <t>On obtient le nombre locaux vs visiteurs pour un jour de match :</t>
  </si>
  <si>
    <t>Distance moyenne parcourue championnat :</t>
  </si>
  <si>
    <t>Le calcul des distances a été fait de la manière suivante : (distance à vol d'oiseau entre chaque club de chaque championnat) x (1,3 pour tenir convertir en distance routière). On fait cette étude de cas sur différents départements français puis la moyenne totale. Calcul effectué via un code Python.</t>
  </si>
  <si>
    <t>District</t>
  </si>
  <si>
    <t>D1 Morbihan Foot</t>
  </si>
  <si>
    <t>D1 Aisne Foot</t>
  </si>
  <si>
    <t>D1 Eure et loire Foot</t>
  </si>
  <si>
    <t>D1 Mayenne Foot</t>
  </si>
  <si>
    <t>D1 Rhone Foot</t>
  </si>
  <si>
    <t>R1 Bretagne football</t>
  </si>
  <si>
    <t>R1 Auvergne football</t>
  </si>
  <si>
    <t>R1 Hauts-de-France football</t>
  </si>
  <si>
    <t>R1 Pays de la Loire football</t>
  </si>
  <si>
    <t>N1 Football Homme</t>
  </si>
  <si>
    <t>N1 Rugby Homme</t>
  </si>
  <si>
    <t>Distance moyenne domicile - stade estimée (AR)</t>
  </si>
  <si>
    <t xml:space="preserve">Distance moyenne domicile - stade estimée (AR) </t>
  </si>
  <si>
    <t>Distance parcourue moyenne AR</t>
  </si>
  <si>
    <t>ANNEXE 3 : Tentative d'estimation du nombre d'invividus aux différents niveaux de compétition</t>
  </si>
  <si>
    <t>Nombre de matchs/saison niveau région et département à domicile</t>
  </si>
  <si>
    <t>ii. Niveau départemental et régional</t>
  </si>
  <si>
    <t>Nombre de déplacements pour les trophées/ coupes par saison</t>
  </si>
  <si>
    <t>Nombre de rencontres (championnat + coupe/trophée)</t>
  </si>
  <si>
    <t xml:space="preserve">Exemple de la métropole de Lyon : https://www.sytral.fr/306-presentation_pdu.htm
Exemple de la ville de Paris : https://cdn.paris.fr/paris/2024/03/29/partie-3-scenario-prospectif-2030-vf-7ukO.pdf
</t>
  </si>
  <si>
    <t>Exemple du Grand Nancy : https://www.grandnancy.eu/fileadmin/fichiers/CONSTRUIRE_L_AVENIR/Mobilites_2021/2021_11_P2Mv3.pdf</t>
  </si>
  <si>
    <t>Exemple de Vannes Agglo : https://www.golfedumorbihan-vannesagglomeration.bzh/sites/dev/files/inline-files/EPT230135_PDM%20GMVA_Diagnostic%20VF.pdf</t>
  </si>
  <si>
    <t>Cerema : https://www.cerema.fr/fr/actualites/loi-orientation-mobilites-favoriser-mobilite-quotidienne</t>
  </si>
  <si>
    <t>Format principal</t>
  </si>
  <si>
    <t>Objectif / Particularité</t>
  </si>
  <si>
    <t>Coupe</t>
  </si>
  <si>
    <t>Élimination directe</t>
  </si>
  <si>
    <t>Compétition officielle, enjeu important.</t>
  </si>
  <si>
    <t>Challenge</t>
  </si>
  <si>
    <t>Variable</t>
  </si>
  <si>
    <t>Défi spécifique, développement ou promotion.</t>
  </si>
  <si>
    <t>Trophée</t>
  </si>
  <si>
    <t>Match(s) unique(s)</t>
  </si>
  <si>
    <t>Titre symbolique, prestige, souvent amical.</t>
  </si>
  <si>
    <t>Critérium</t>
  </si>
  <si>
    <t>Tournoi ou championnat</t>
  </si>
  <si>
    <t>Formation, détection ou compétition locale.</t>
  </si>
  <si>
    <t>Durée typique</t>
  </si>
  <si>
    <t>Plusieurs tours sur une saison</t>
  </si>
  <si>
    <t>Peut être ponctuel (1 jour ou 1 week-end) ou étalé sur une période définie</t>
  </si>
  <si>
    <t>Généralement 1 jour (match unique ou mini-tournoi)</t>
  </si>
  <si>
    <t>Peut varier : 1 jour, 1 week-end, ou sur une saison pour des jeunes ou locaux</t>
  </si>
  <si>
    <t>Peut être ponctuel (1 jour ou 1 week-end) ou étalé sur une saison</t>
  </si>
  <si>
    <t>Plateau</t>
  </si>
  <si>
    <t>Mini-tournoi (plusieurs matchs)</t>
  </si>
  <si>
    <t>Concentré sur une journée ou un week-end, généralement local.</t>
  </si>
  <si>
    <t>1 jour ou 1 week-end</t>
  </si>
  <si>
    <t>Type de compétition</t>
  </si>
  <si>
    <t>Dépend du tirage au sort ou des règles.</t>
  </si>
  <si>
    <t>Terrain neutre ou basé sur des désignations.</t>
  </si>
  <si>
    <t>Généralement sur terrain neutre.</t>
  </si>
  <si>
    <t>70%-100%</t>
  </si>
  <si>
    <t>Dépend du format adopté (aller-retour ou non).</t>
  </si>
  <si>
    <t>Coupes</t>
  </si>
  <si>
    <t>Challenges / Plateaux</t>
  </si>
  <si>
    <t>Trophées</t>
  </si>
  <si>
    <t>Critériums et autres</t>
  </si>
  <si>
    <t>a. Football</t>
  </si>
  <si>
    <t>b. Rugby</t>
  </si>
  <si>
    <t>1. Format</t>
  </si>
  <si>
    <t xml:space="preserve">2. Ratio visiteur/local </t>
  </si>
  <si>
    <t>Ratio match à l'extérieur estimé</t>
  </si>
  <si>
    <t>50%-70%</t>
  </si>
  <si>
    <t>50-100%</t>
  </si>
  <si>
    <t xml:space="preserve">Etant donné les estimations précédentes et (2), on fait l'hypothèse suivante : </t>
  </si>
  <si>
    <t>HX : D'après FFF et Utopies, il y en moyenne 10 rencontres hors championnat par saison. On considère ce chiffre comme équivalent pour le rugby. On fait l'hypothèse qu'environ 2/3 des rencontres hors championnat ont lieu sur un terrain à l'extérieur.</t>
  </si>
  <si>
    <t>Cf. Annexe 3</t>
  </si>
  <si>
    <t>Car/mini-bus</t>
  </si>
  <si>
    <t xml:space="preserve">Ci-dessous, nous tentons une estimation du nombre de licenciés pour les championnats. Nous savons grâce aux données de la Fiche d'identité que : </t>
  </si>
  <si>
    <t>Nombre de licenciés</t>
  </si>
  <si>
    <t xml:space="preserve">Taux de renouvellement </t>
  </si>
  <si>
    <t xml:space="preserve">Nous faisons l'hypothèse d'entrée suivante : </t>
  </si>
  <si>
    <t xml:space="preserve">Nous disposons ensuite des éléments suivants : </t>
  </si>
  <si>
    <t>A. Empreinte carbone des locaux</t>
  </si>
  <si>
    <t>B. Empreinte carbone des visiteurs</t>
  </si>
  <si>
    <t xml:space="preserve">3. ANNEXES </t>
  </si>
  <si>
    <t>On fait l'hypothèse suivante :</t>
  </si>
  <si>
    <r>
      <rPr>
        <b/>
        <sz val="11"/>
        <color theme="1"/>
        <rFont val="Arial"/>
        <family val="2"/>
      </rPr>
      <t>Commentaire</t>
    </r>
    <r>
      <rPr>
        <sz val="11"/>
        <color theme="1"/>
        <rFont val="Arial"/>
        <family val="2"/>
      </rPr>
      <t xml:space="preserve"> : On catégorise les infrastructures en fonction des catégories ERP issues des données obtenues dans la base dataES (annexe A).</t>
    </r>
  </si>
  <si>
    <r>
      <rPr>
        <b/>
        <sz val="11"/>
        <color theme="1"/>
        <rFont val="Arial"/>
        <family val="2"/>
      </rPr>
      <t>Commentaire</t>
    </r>
    <r>
      <rPr>
        <sz val="11"/>
        <color theme="1"/>
        <rFont val="Arial"/>
        <family val="2"/>
      </rPr>
      <t xml:space="preserve"> : On fait des hypothèses de consommation d'énergie du gaz et de l'électricité en fonction des données de la FFF et d'Utopies et des catégories ERP de la base DataES.</t>
    </r>
  </si>
  <si>
    <r>
      <rPr>
        <b/>
        <sz val="11"/>
        <color theme="1"/>
        <rFont val="Arial"/>
        <family val="2"/>
      </rPr>
      <t>Commentaire</t>
    </r>
    <r>
      <rPr>
        <sz val="11"/>
        <color theme="1"/>
        <rFont val="Arial"/>
        <family val="2"/>
      </rPr>
      <t xml:space="preserve"> : On calcule le volume d'énergie consommé par catégorie ERP.</t>
    </r>
  </si>
  <si>
    <r>
      <rPr>
        <b/>
        <sz val="11"/>
        <color theme="1"/>
        <rFont val="Arial"/>
        <family val="2"/>
      </rPr>
      <t>Commentaire</t>
    </r>
    <r>
      <rPr>
        <sz val="11"/>
        <color theme="1"/>
        <rFont val="Arial"/>
        <family val="2"/>
      </rPr>
      <t xml:space="preserve"> : En nous basant sur les données de la FFF et d'Utopies et sur les hypothèses sur les surfaces (onglet 1.Immobilisation), la consommation annuelle par m2 (en comprenant le gaz et l'électricité) est d'environ :</t>
    </r>
  </si>
  <si>
    <r>
      <rPr>
        <b/>
        <sz val="11"/>
        <color theme="1"/>
        <rFont val="Arial"/>
        <family val="2"/>
      </rPr>
      <t>Commentaire</t>
    </r>
    <r>
      <rPr>
        <sz val="11"/>
        <color theme="1"/>
        <rFont val="Arial"/>
        <family val="2"/>
      </rPr>
      <t xml:space="preserve"> : Etant donné la faible part de GPL, on la considère comme une consommation de gaz (usage similaire et facteur d'émissions proche, cf Annexe 1). On utilise le même raisonnement pour les ENR non électriques en les associant à une consommation d'életricité. Par vecteur cela donne : </t>
    </r>
  </si>
  <si>
    <r>
      <rPr>
        <b/>
        <sz val="11"/>
        <color theme="1"/>
        <rFont val="Arial"/>
        <family val="2"/>
      </rPr>
      <t>Commentaire</t>
    </r>
    <r>
      <rPr>
        <sz val="11"/>
        <color theme="1"/>
        <rFont val="Arial"/>
        <family val="2"/>
      </rPr>
      <t xml:space="preserve"> : On pose que :</t>
    </r>
  </si>
  <si>
    <t>D'après les données ci-dessus, 89% de la consommation est imputable au gaz et à l'électricité. On rajoue donc 11% à notre donnée de consommation en kWh/m2 pour le gaz et l'électricité :</t>
  </si>
  <si>
    <t>On extrapole cette consommation avec les données du Ceren pour avoir le mix énergétique des infrastructures de notre périmètre :</t>
  </si>
  <si>
    <r>
      <rPr>
        <b/>
        <sz val="11"/>
        <color theme="1"/>
        <rFont val="Arial"/>
        <family val="2"/>
      </rPr>
      <t>Commentaire</t>
    </r>
    <r>
      <rPr>
        <sz val="11"/>
        <color theme="1"/>
        <rFont val="Arial"/>
        <family val="2"/>
      </rPr>
      <t xml:space="preserve"> : On multiplie enfin par les surfaces pour avoir la consommation totale :</t>
    </r>
  </si>
  <si>
    <t>Nombre de matchs dans l'année en moyenne</t>
  </si>
  <si>
    <t>Moyenne de matchs à domicile + extérieur au prorata du nombre</t>
  </si>
  <si>
    <t>1. Alimentation</t>
  </si>
  <si>
    <t>2. Boisson</t>
  </si>
  <si>
    <t>On pose les hypothèse suivantes :</t>
  </si>
  <si>
    <t>11. Déchets</t>
  </si>
  <si>
    <t>H1 : Un déchet DIB (Déchet Industriel Banal) désigne des déchets non dangereux issus d'activités économiques (industries, commerces, bureaux, collectivités, etc.). Ces déchets sont assimilables aux déchets ménagers en termes de composition et de gestion, mais proviennent d'entreprises plutôt que de foyers. On considère donc ici que les DIB sont égaux aux déchets ménagers. En outre, n'ayant pas de visibilité sur la composition des déchets "autres" (voir annexe 2), on considère qu'il s'agit également de déchets ménagers.</t>
  </si>
  <si>
    <t>On dispose de données provenant de clubs ou stades dont seulement un a le détail sur le type de déchets. En faisant une moyenne du volume total des déchets / spectateur, on utilise ce ratio qu'on multiplie par la part relative des déchets du club possédant la répartition par déchet. On multiplie ensuite ces valeurs par le nombre de spectateurs du stade moyen (étape 1) ou au total sur la saison (étape 2). On obtient des volumes de déchet par type qu'on multiplie ensuite par les FE respectifs.</t>
  </si>
  <si>
    <t>Type de déchet</t>
  </si>
  <si>
    <t>Hypothèse</t>
  </si>
  <si>
    <t>tonnes déchets/an</t>
  </si>
  <si>
    <t>kgCO2e</t>
  </si>
  <si>
    <t>Etape 2 : Empreinte totale du poste</t>
  </si>
  <si>
    <t>ANNEXE 1 : Répartition par fillière en France en 2021 et FE</t>
  </si>
  <si>
    <r>
      <rPr>
        <b/>
        <sz val="11"/>
        <color theme="1"/>
        <rFont val="Arial"/>
        <family val="2"/>
      </rPr>
      <t>Commentaire :</t>
    </r>
    <r>
      <rPr>
        <sz val="11"/>
        <color theme="1"/>
        <rFont val="Arial"/>
        <family val="2"/>
      </rPr>
      <t xml:space="preserve"> </t>
    </r>
  </si>
  <si>
    <t xml:space="preserve">L'Association Bilan Carbone avec le tableau maître v8.5 nous donne les répartitions suivantes : </t>
  </si>
  <si>
    <t>Répartition par filière en France</t>
  </si>
  <si>
    <t>Stockage</t>
  </si>
  <si>
    <t>Incinération</t>
  </si>
  <si>
    <t>Recyclage</t>
  </si>
  <si>
    <t>Compostage</t>
  </si>
  <si>
    <t>Methanisation</t>
  </si>
  <si>
    <t>Plastique, France métropolitaine</t>
  </si>
  <si>
    <t>Carton, France métropolitaine</t>
  </si>
  <si>
    <t>Papier, France métropolitaine</t>
  </si>
  <si>
    <t>Déchets alimentaires, France métropolitaine</t>
  </si>
  <si>
    <t>Ordures ménagères moyenne, France métropolitaine</t>
  </si>
  <si>
    <t>Verre</t>
  </si>
  <si>
    <t xml:space="preserve">Avec la Base Empreinte, nous disposons des informations suivantes : </t>
  </si>
  <si>
    <t>Type de dechet</t>
  </si>
  <si>
    <t>Type de traitement</t>
  </si>
  <si>
    <t>Facteur d'émissions en impact (en kgCO2/tonne de déchets)</t>
  </si>
  <si>
    <t xml:space="preserve">Plastique </t>
  </si>
  <si>
    <t>Fin de vie moyenne</t>
  </si>
  <si>
    <t xml:space="preserve">Carton </t>
  </si>
  <si>
    <t>Papier</t>
  </si>
  <si>
    <t>/</t>
  </si>
  <si>
    <t>Dechets alimentaires</t>
  </si>
  <si>
    <t>Ordures menagères moyennes</t>
  </si>
  <si>
    <r>
      <rPr>
        <b/>
        <sz val="12"/>
        <color theme="1"/>
        <rFont val="Arial"/>
        <family val="2"/>
      </rPr>
      <t>Commentaire :</t>
    </r>
    <r>
      <rPr>
        <sz val="12"/>
        <color theme="1"/>
        <rFont val="Arial"/>
        <family val="2"/>
      </rPr>
      <t xml:space="preserve"> </t>
    </r>
  </si>
  <si>
    <t xml:space="preserve">Nous pouvons donc en déduire les facteurs d'émissions : </t>
  </si>
  <si>
    <t>Facteur d'émissions (en kgCO2/tonne de déchets)</t>
  </si>
  <si>
    <t>ANNEXE 2 : Données récoltées</t>
  </si>
  <si>
    <t xml:space="preserve">Nous avons obtenus les données suivantes : </t>
  </si>
  <si>
    <t xml:space="preserve">1) MHR CGL Stadium </t>
  </si>
  <si>
    <t>tonnes de déchets non recyclables</t>
  </si>
  <si>
    <t>tonnes de déchets recyclables</t>
  </si>
  <si>
    <t>soit</t>
  </si>
  <si>
    <t xml:space="preserve">tonnes de déchets par match en moyenne pour </t>
  </si>
  <si>
    <t>spectateurs soit</t>
  </si>
  <si>
    <t>kg/personne/match</t>
  </si>
  <si>
    <t>Source : Stadium manager</t>
  </si>
  <si>
    <t>2) Un match de L1</t>
  </si>
  <si>
    <t>tonnes par match en moyenne</t>
  </si>
  <si>
    <t>Source (2020) : https://www.slate.fr/story/193506/football-francais-se-verdira-t-il-un-jour-ecologie-environnement-ligue-1</t>
  </si>
  <si>
    <t>MOYENNE :</t>
  </si>
  <si>
    <t>Avec les données précédentes, nous pouvons moyenniser les déchets/personne/match en utilisant la répartition plus précise du tableau ci-dessous (club L1 anonyme) :</t>
  </si>
  <si>
    <t>Spectateurs moyens par match </t>
  </si>
  <si>
    <t>Nombre de matchs à domicile </t>
  </si>
  <si>
    <t>Déchet</t>
  </si>
  <si>
    <t>% du total</t>
  </si>
  <si>
    <t>Bouteilles plastiques</t>
  </si>
  <si>
    <t>t/an</t>
  </si>
  <si>
    <t>Carton</t>
  </si>
  <si>
    <t>Bio-déchets (pelouse et alimentaire)</t>
  </si>
  <si>
    <t>DIB</t>
  </si>
  <si>
    <t>Soit par matchs</t>
  </si>
  <si>
    <t>t/matchs</t>
  </si>
  <si>
    <t>Ci-dessous, la moyennisation des données donne :</t>
  </si>
  <si>
    <t>Volume des déchets en kg/personne/match</t>
  </si>
  <si>
    <t>LEVIERS : DÉCHETS</t>
  </si>
  <si>
    <t>Quantité de déchets</t>
  </si>
  <si>
    <t>Type de déchets</t>
  </si>
  <si>
    <t>Intensité carbone des déchets</t>
  </si>
  <si>
    <t>Volume de déchets (en tonne)</t>
  </si>
  <si>
    <t>DIB et déchets ménagers</t>
  </si>
  <si>
    <t>FE Plastique en kgCO2e</t>
  </si>
  <si>
    <t>FE Carton en kgCO2e</t>
  </si>
  <si>
    <t>FE Verre en kgCO2e</t>
  </si>
  <si>
    <t>FE bio-déchets en kgCO2e</t>
  </si>
  <si>
    <t>FE déchets ménagers en kgCO2e</t>
  </si>
  <si>
    <t xml:space="preserve">On précise les objectifs fixés </t>
  </si>
  <si>
    <t>Objectifs nationaux</t>
  </si>
  <si>
    <t>Carton, verre et DIB (= déchets ménagers)</t>
  </si>
  <si>
    <r>
      <t xml:space="preserve">(LTECV) valoriser </t>
    </r>
    <r>
      <rPr>
        <sz val="11"/>
        <color theme="1"/>
        <rFont val="Arial"/>
        <family val="2"/>
      </rPr>
      <t>55 % des déchets non dangereux non inertes, notamment organiques, en 2020 et 65 % en 2025, via notamment la généralisation du tri à la source des biodéchets 
(AGEC) réduire de 15 % les quantités de déchets ménagers et assimilés produits par habitant en 2030 par rapport à 2010 (loi antigaspillage – article 3)</t>
    </r>
  </si>
  <si>
    <t>Passer à 65% de recyclage et/ou compostage pour tous les dechets en 2035 par rapport à 2021</t>
  </si>
  <si>
    <t>Alimentaire</t>
  </si>
  <si>
    <t xml:space="preserve">(AGEC) réduire le gaspillage alimentaire de 50 % d’ici 2025, par rapport à 2015, dans la distribution alimentaire et la restauration collective. (loi anti-gaspillage – article 11) ; </t>
  </si>
  <si>
    <t>Réduire de 50% la quantité de dechets alimentaires produits en 2035 par rapport à 2023.</t>
  </si>
  <si>
    <t>Passer à 65% de recyclage et/ou compostage pour les dechets alimentaires en 2035 par rapport à 2021</t>
  </si>
  <si>
    <t>Plastiques</t>
  </si>
  <si>
    <r>
      <t xml:space="preserve">Tendre vers </t>
    </r>
    <r>
      <rPr>
        <sz val="11"/>
        <color theme="1"/>
        <rFont val="Arial"/>
        <family val="2"/>
      </rPr>
      <t>100 % de plastiques recyclés en 2025 (LTECV)</t>
    </r>
  </si>
  <si>
    <t xml:space="preserve">Passer à 100% de plastique recyclés en 2035 par rapport à 2021
</t>
  </si>
  <si>
    <t>On reprend le tableau de l'ABC (Association Bilan Carbone, tableau maître v8.5) avec la répartition par fillière en France en 2021 :</t>
  </si>
  <si>
    <t>D'après les objectifs nationaux et ce que nous avons fixés :</t>
  </si>
  <si>
    <t>A) Évolution de l'intensité carbone des déchets</t>
  </si>
  <si>
    <t xml:space="preserve">Nous pouvons déduire grace aux étapes précédentes l'évolution des facteurs d'émissions au vu des objectifs fixés pour la répartition des traitement des dechets. </t>
  </si>
  <si>
    <t>% d'évolution 2022-2035</t>
  </si>
  <si>
    <t>B) Évolution des volumes jetés</t>
  </si>
  <si>
    <t>Objectifs chiffrés 2035</t>
  </si>
  <si>
    <t xml:space="preserve">On obtient donc les évolutions de volumes suivantes </t>
  </si>
  <si>
    <t>Volumes en 2022 en tonne</t>
  </si>
  <si>
    <t>Volumes en 2050 en tonne</t>
  </si>
  <si>
    <t>D'après la source (2), on a un triplement des ENR biomasse en 2050 pour les batiments tertiaires.</t>
  </si>
  <si>
    <t xml:space="preserve">Nous faisons l'hypothèse d'un rendement de 95% pour les chaudières biomasse. </t>
  </si>
  <si>
    <t>2. Répartition des licenciés</t>
  </si>
  <si>
    <t>1. Informations générales</t>
  </si>
  <si>
    <t>Nombre d'employés du stade, club ou de la collectivité gestionnaire</t>
  </si>
  <si>
    <t>Nous faisons l'hypothèse que :</t>
  </si>
  <si>
    <t xml:space="preserve">Etape 1 : Calcul de l'empreinte carbone des déchets </t>
  </si>
  <si>
    <t>kg</t>
  </si>
  <si>
    <t>Poids/spectateur/match</t>
  </si>
  <si>
    <t>Poids</t>
  </si>
  <si>
    <t xml:space="preserve">On obtient le tableau synthétique suivant : </t>
  </si>
  <si>
    <t>Nombre de personnes en moyenne sur un match</t>
  </si>
  <si>
    <t xml:space="preserve">Dans le cadre du volet professionnel de notre rapport (source X), nous avons pu récolter les données suivantes pour les matchs de niveau professionnel de football/rugby : </t>
  </si>
  <si>
    <t xml:space="preserve">Faute de données plus précises (specifiques au milieu amateur), nous nous contenterons de prendre ces données. Nous obtenons donc le tableau suivant : </t>
  </si>
  <si>
    <t>Objectifs que nous fixons sur les quantités en 2035</t>
  </si>
  <si>
    <t>La baisse des émissions dûe à l'évolution de l'intensité carbone des déchets ne suffit pas à faire baisser à l'échelle l'empreinte carbone de ce poste pour tendre vers les objectifs SNBC (environ -66%). En tenant compte des objectifs fixés précédement et du reste à charge pour tendre vers l'objectif, on obtient le tableau suivant :</t>
  </si>
  <si>
    <t>Objectifs que nous fixons sur les quantités en 2050</t>
  </si>
  <si>
    <t>Objectifs chiffrés 2050</t>
  </si>
  <si>
    <t xml:space="preserve">La LTECV nous donne un objectif de réduction de 15% de la masse de tous les types de dechets en 2035 par rapport à 2023. </t>
  </si>
  <si>
    <t>Objectifs que nous fixons sur la revalorisation en 2035</t>
  </si>
  <si>
    <t>NB : Les données de baisse du FE ci-dessus donnent des valeurs projetées à 2035. Faute de référentiel pour 2050, on considère ces valeurs comme identiques à 2035.</t>
  </si>
  <si>
    <t>Objectif de -40% en 2050. Effort post-2035 plus important étant donné le reste à charge après application de baisse du FE.</t>
  </si>
  <si>
    <t>Objectif de -75% en 2050.</t>
  </si>
  <si>
    <t>Déchets</t>
  </si>
  <si>
    <t xml:space="preserve">             Fiche identité</t>
  </si>
  <si>
    <t>Source : https://media.fff.fr/uploads/document/b347731661ae56628ad3bbb779f018e2.pdf</t>
  </si>
  <si>
    <t>Source : https://www.ffr.fr/actualites/federation/hausse-des-licencies-14</t>
  </si>
  <si>
    <t>Source : https://www.fff.fr/80-le-budget-et-les-chiffres-cles.html</t>
  </si>
  <si>
    <t>Source : https://www.ffr.fr/actualites/au-coeur-du-jeu/competitions-amateurs-des-chiffres-et-des-etres</t>
  </si>
  <si>
    <t>TOTAL LICENCIÉS</t>
  </si>
  <si>
    <t>Nombre de bénévoles corrigés</t>
  </si>
  <si>
    <t>Nombre de bénévoles déclarés</t>
  </si>
  <si>
    <t>A. Football</t>
  </si>
  <si>
    <t>B. Rugby</t>
  </si>
  <si>
    <t>C. Total</t>
  </si>
  <si>
    <t>NB : Nous n'avons pas trouvé de moyen satisfaisant permettant de rapporter l'impreinte des infrastructures au prorata de l'utilisation par les sports analysés (foot/rugby), d'où l'hypothèse précédente. L'absence de données et la très grande hétérogéneité des cas en sont responsables. En effet, certaines structures sont partagées avec d'autres sports ; des vestiaires de football peuvent être utilisés par des licenciés d'athlétisme et inversement par exemple. Seulement, nous ne disposons pas de données permettant de donner une répartition des usages, hormis quelques cas types, qui diffèrent fortement et ne permettent pas de dégager de tendance. Nous posons donc H2.</t>
  </si>
  <si>
    <t>H2 : On fait l'hypothèse que l'empreinte carbone est attribuable à 100% au foot et rugby (au prorata de leur nombre de licenciés respectifs) car nous considérons que ces sports, par le nombre de licenciés élevés (au total et par rapport aux sports évoluant sur terrain de grand jeu) dimensionnent les infrastructures.</t>
  </si>
  <si>
    <t>H1 : On considère que les flux physiques associés à ce poste sont identiques entre le football et le rugby. Autrement dit, on considère que les flux de matières et d'énergies sont similaires pour construire une infrastructure de football ou de rugby.</t>
  </si>
  <si>
    <t>H3 : On considère que le facteur d'émission des infrastructures hors stade (vestiaires, bureaux, etc.) est celui d'un centre de loisirs avec structure en béton (FE Base Empreinte, ADEME).</t>
  </si>
  <si>
    <t>H4 : Hypothèse d'une taille de 9m2 pour le vestiaire des arbitres comprenant douches + sanitaires (Vestiaire Arbitre 1 : 9,13 m² - Vestiaire Arbitre 2 : 8,80 m²), base de données Stadium de la FFF. Nombre d'unité tirée de la base DataES. Ordre de grandeur validé par Julien Benoit (FFF).</t>
  </si>
  <si>
    <t>H5 : Hypothèse d'une taille de 20m2 pour le vestiaire des sportifs comprenant douches + sanitaires (Vestiaire Joueur 1 : 19,73 m² -  Vestiaire Joueur 2 : 18,95 m² - Vestiaire Joueur 3 : 17,85 m² - Vestiaire Joueur 4 : 17,67 m²), base de données Stadium de la FFF. Nombre d'unité tirée de la base DataES. Ordre de grandeur validé par Julien Benoit (FFF).</t>
  </si>
  <si>
    <t>H6 : Hypothèse d'une taille de 15m2 pour les bureaux du club. Nombre d'unité tirée de la base DataES. Ordre de grandeur validé par Julien Benoit (FFF).</t>
  </si>
  <si>
    <t>H7 : Hypothèse d'une taille de 10m2 pour les centres médicaux-sportif, les clubs houses, les infiermeries, les locaux de contrôle anti-dopage, les locaux de réception et les salles de réunion. Nombre d'unité tirée de la base DataES. Ordre de grandeur validé par Julien Benoit (FFF).</t>
  </si>
  <si>
    <t>H8 : On fait l'hypothèse que 1) y a 10 places de parking pour les stades sans tribune 2) le parking est amorti au bout de 30 ans (inspiré du chiffre obtenu sur ce lien : https://www.cher.gouv.fr/contenu/telechargement/6213/36841/file/AABilan_carbone-DDT18-1.pdf) 3) la surface d'une place de parking est de 21.25 m2 et 4) 1/3 des parkings sont des parkings en terre et donc non comptabilisés dans le calcul (prise en compte des retours post-RI).</t>
  </si>
  <si>
    <t>H9 : Pour les parkings, on considère que : 1) pour les stades disposant de tribunes, ils disposent de 5% de leur capacité en parking, 2) le parking est amorti au bout de 30 ans (inspiré du chiffre obtenu sur ce lien : https://www.cher.gouv.fr/contenu/telechargement/6213/36841/file/AABilan_carbone-DDT18-1.pdf) et 3) la surface d'une place de parking est de 21.25 m2.</t>
  </si>
  <si>
    <t xml:space="preserve">H10 : On considère que le nombre de pelouses revient à la part des clubs du sport X (rugby ou football) sur le total des clubs. </t>
  </si>
  <si>
    <t>H11 : On attribue 100% des surfaces stabilisées/cendrées au foobtall, la pratique du rugby sur ces surfaces étant peu probable.</t>
  </si>
  <si>
    <t>H12 : En l'absence de données sur le sujet, on suppose que les surfaces en dur ont le même facteur d'émissions que les granulats.</t>
  </si>
  <si>
    <t xml:space="preserve">2.1. Mener une réflexion poussée sur l'usage de la future structure, permettant de réduire les émissions sur toute la durée de vie </t>
  </si>
  <si>
    <t>- Utiliser les espaces (notamment ceux déjà artificialisés comme les parkings ou les toits) pour installer des capacités photovoltaique.</t>
  </si>
  <si>
    <t xml:space="preserve">- Favoriser l'installation d'infrastructures éphèmeres aux pérènnes quand cela est possible, permettant une économie substantielle d'émissions de GES (cf. JOP Paris 2024). </t>
  </si>
  <si>
    <t>2.2. Limiter les émissions initiales de la phase travaux</t>
  </si>
  <si>
    <t xml:space="preserve">- Acter le choix de matériaux bas-carbone : bois, béton bas-carbone, acier bas-carbone, etc. </t>
  </si>
  <si>
    <t>2.3. Optimiser les approvisionnements de chantier, pesant quelques pourcents des émissions de GES de la phase de construction</t>
  </si>
  <si>
    <t>B. Les surfaces de jeu</t>
  </si>
  <si>
    <t>Nous n'avons pas (à date) pu quantifier le potentiel de décarbonation de la rénovation de manière précise pour la construction des stades, ne disposant pas de données suffisament importantes. De plus, les rénovations peuvent être de nature différente : rénovation comlète, partielle, agrandissement, rénovation de la surface de jeu uniquement, etc. Toutes ces variations font qu'il est actuellement difficile de présenter des résultats solides sur le sujet. Nous nous contentons donc pour ce levier d'ordres de grandeur issus d'autres rapports (source 1 et 2) permettant de donner quelques éléments sur le différentiel carbone entre la rénovation et la construction.</t>
  </si>
  <si>
    <r>
      <t xml:space="preserve">Ce chiffre (1) comprend les bénévoles qui s'investissent ne serait-ce qu'une fois par an pour le club. Ne disposant pas du nombre exact de bénévoles investis, nous prenons la précaution de retirer 30% du nombre de bénévoles. Ordre de grandeur extrait de l'étude sur le bénévolet de l'INJEP (2) : "7 bénévoles sur 10 exercent une telle activité au moins une fois par semaine".
</t>
    </r>
    <r>
      <rPr>
        <i/>
        <sz val="11"/>
        <color theme="1"/>
        <rFont val="Arial"/>
        <family val="2"/>
      </rPr>
      <t>Source 1 : https://www.ffr.fr/actualites/etre-acteur/devenez-benevole-pour-un-rugby-engage
Source 2 : https://injep.fr/tableau_bord/les-chiffres-cles-de-la-vie-associative-2023-benevolat/</t>
    </r>
  </si>
  <si>
    <r>
      <t xml:space="preserve">Ce chiffre (1) comprend les bénévoles qui s'investissent ne serait-ce qu'une fois par an pour le club. Ne disposant pas du nombre exact de bénévoles investis, nous prenons la précaution de retirer 30% du nombre de bénévoles. Ordre de grandeur extrait de l'étude sur le bénévolet de l'INJEP (2) : "7 bénévoles sur 10 exercent une telle activité au moins une fois par semaine".
</t>
    </r>
    <r>
      <rPr>
        <i/>
        <sz val="11"/>
        <color theme="1"/>
        <rFont val="Arial"/>
        <family val="2"/>
      </rPr>
      <t>Source 1 : https://www.fff.fr/130-le-benevolat.html</t>
    </r>
    <r>
      <rPr>
        <sz val="11"/>
        <color theme="1"/>
        <rFont val="Arial"/>
        <family val="2"/>
      </rPr>
      <t xml:space="preserve">
</t>
    </r>
    <r>
      <rPr>
        <i/>
        <sz val="11"/>
        <color theme="1"/>
        <rFont val="Arial"/>
        <family val="2"/>
      </rPr>
      <t>Source 2 : https://injep.fr/tableau_bord/les-chiffres-cles-de-la-vie-associative-2023-benevolat/</t>
    </r>
  </si>
  <si>
    <t xml:space="preserve">H1 : On considère que l'ensemble des licenciés hors pratiquants + l'ensemble des bénévoles sont mobilisés les jours de matchs. On considère également qu'ils font le même trajet que les locaux. </t>
  </si>
  <si>
    <t>Etape 4 : Soustraction de la part PRO</t>
  </si>
  <si>
    <t>Etape 3 : Soustraction de la part PRO</t>
  </si>
  <si>
    <t>H1 : On considère que les flux physiques associés à ce poste sont similaires entre le football et le rugby. Autrement dit, les flux d'énergies des batiments sont similaires pour les clubs de football ou de rugby.</t>
  </si>
  <si>
    <t>On fait les hypothèses suivantes :</t>
  </si>
  <si>
    <t>H2 : On fait l'hypothèse que l'empreinte carbone est attribuable à 100% au foot et rugby (au prorata de leur nombre de licenciés respectifs) car nous considérons que ces sports, par le nombre de licenciés élevés (au total et par rapport aux sports évoluant sur terrain de grand jeu) dimensionnent les consommations d'énergie des infras.</t>
  </si>
  <si>
    <t>NB : Nous n'avons pas trouvé de moyen satisfaisant permettant de rapporter l'impreinte de ce post au prorata de l'utilisation par les sports analysés (foot/rugby), d'où l'hypothèse précédente. L'absence de données et la très grande hétérogéneité des cas en sont responsables. En effet, certaines structures sont partagées avec d'autres sports ; des vestiaires de football peuvent être utilisés par des licenciés d'athlétisme et inversement par exemple. Seulement, nous ne disposons pas de données permettant de donner une répartition des usages, hormis quelques cas types, qui diffèrent fortement et ne permettent pas de dégager de tendance. Nous posons donc H2.</t>
  </si>
  <si>
    <t>Etape 5 : Synthèse</t>
  </si>
  <si>
    <t>Empreinte énergétique des immobilisations, secteur professionnel :</t>
  </si>
  <si>
    <t>A ce total, il faut retirer la part de la consommation énergétique calculée dans le secteur professionnel, pour éviter un double compte. On soustrait donc la part des émissions de l'énergie des stades accueillant des championnats professionnels ici.</t>
  </si>
  <si>
    <t xml:space="preserve">2. Synthèse </t>
  </si>
  <si>
    <t>HX : On considère que le nombre de déplacements pour des compétitions hors championnat (coupes, trophée, plateaux etc.) est la même pour tous les clubs peu importe le niveau de compétiton dans lequel ils évoluent (départemental/régional/national).</t>
  </si>
  <si>
    <t xml:space="preserve">Déchets des événements sportifs. </t>
  </si>
  <si>
    <t>Utilisation</t>
  </si>
  <si>
    <t>Fin de vie</t>
  </si>
  <si>
    <t>Transformation</t>
  </si>
  <si>
    <t>Transports</t>
  </si>
  <si>
    <t>T-shirt / Polo : 0,150kg, matière : 100% Polyester provenance par défaut (Asie - Pacifique), filature : Région - Asie, Tricotage moyen (par défaut) : Région - Asie, ennoblissement : Région - Asie, impression : non, confection : Région - Asie, distribution : France, utilisation : France, fin de vie : France</t>
  </si>
  <si>
    <t>Part de l'empreinte carbone</t>
  </si>
  <si>
    <t>Empreinte carbone (en kgCO2e)</t>
  </si>
  <si>
    <t xml:space="preserve">H1 : Un déchet DIB (Déchet Industriel Banal) désigne des déchets non dangereux issus d'activités économiques (industries, commerces, bureaux, collectivités, etc.). Ces déchets sont assimilables aux déchets ménagers en termes de composition et de gestion, mais proviennent d'entreprises plutôt que de foyers. On considère donc ici que les DIB sont égaux aux déchets ménagers. En outre, n'ayant pas de visibilité sur la composition des déchets "autres" (voir annexe 2), on considère qu'il s'agit également de déchets ménagers.
H2 : Les quantités et la répartition des déchets pour les matchs professionnels est identique aux matchs amateurs ramenées par personne. Afin d'obtenir les émissions et quantités totales, on multiplie les quantités/personne par un nombre de matchs "moyen" et le nombre de personnes mobilisées les jours de match. </t>
  </si>
  <si>
    <t xml:space="preserve">H2 : Les quantités et la répartition des déchets pour les matchs professionnels est identique aux matchs amateurs ramenées par personne. Afin d'obtenir les émissions et quantités totales, on multiplie les quantités/personne par un nombre de matchs "moyen" et le nombre de personnes mobilisées les jours de match. </t>
  </si>
  <si>
    <t>- Facteurs d'émission : Base Empreinte (ADEME)
- Quantités de déchets fournies par des clubs/stades professionnels.</t>
  </si>
  <si>
    <t>Quantité et type de déchets de matchs amateurs</t>
  </si>
  <si>
    <t>Ordre de grandeur satisfaisant au vue du faible impact du poste.</t>
  </si>
  <si>
    <t>Par licencié (kgCO2e) en 2022</t>
  </si>
  <si>
    <t>1) Empreinte carbone d'un club "moyen" de football ou rugby en 2022-2023</t>
  </si>
  <si>
    <t>3) Empreinte carbone par sport</t>
  </si>
  <si>
    <t>Nombre de personnes en moyenne</t>
  </si>
  <si>
    <t>Car/mini bus</t>
  </si>
  <si>
    <t>Spectateurs visiteurs / extérieurs</t>
  </si>
  <si>
    <t>Joueurs et staff visiteurs / extérieurs</t>
  </si>
  <si>
    <t>T-shirt polyester</t>
  </si>
  <si>
    <t>i. Parts modales spectateurs et joueurs. Match de niveau national</t>
  </si>
  <si>
    <t>ii. Parts modales spectateurs et joueurs. Match de niveau régional</t>
  </si>
  <si>
    <t>ii. Parts modales spectateurs et joueurs. Match de niveau départemental</t>
  </si>
  <si>
    <t>a) Compétitions nationales</t>
  </si>
  <si>
    <t>D'après (1), on a un report de 35,1% des vkm de la voiture vers train/car, et un report de 90% de l'avion vers train/car.</t>
  </si>
  <si>
    <t>On fait également l'hypothèse que ce report modal se fait à 50% vers le train et à 50% vers les cars.</t>
  </si>
  <si>
    <t>Métro/tramway</t>
  </si>
  <si>
    <t>2) Diminution des facteurs d'émissions : covoiturage et diminution exogène</t>
  </si>
  <si>
    <t xml:space="preserve">Source : (1) The Shift Project, Plan de transformation de l'économie française : la mobilité quotidienne, 2020. </t>
  </si>
  <si>
    <t>Pour les bus, on fait l'hypothèse d'une évolution similaire aux autocars, basée à la fois sur une électrification et sur une décarbonation de l'industrie automobile.</t>
  </si>
  <si>
    <t>Pour les métro/traw, on fait l'hypothèse qu'il n'y a pas d'évolution du facteur d'émissions.</t>
  </si>
  <si>
    <t>trains</t>
  </si>
  <si>
    <t>autocars/autobus</t>
  </si>
  <si>
    <t>avions</t>
  </si>
  <si>
    <t>Mobilité douce</t>
  </si>
  <si>
    <t>Changements de parts modales - Matchs nationaux</t>
  </si>
  <si>
    <t xml:space="preserve"> Locaux</t>
  </si>
  <si>
    <t>Extérieurs / visiteurs</t>
  </si>
  <si>
    <t>Deux catégories sont à séparer : les spectateurs et joueurs locaux VS visiteurs.</t>
  </si>
  <si>
    <t>Pour les locaux, nous reprenons les modèles et hypothèses effectués en "Fiche levier - 3.2" mais en effectuant une moyenne pondérée des densités de communes.</t>
  </si>
  <si>
    <t xml:space="preserve">Visiteurs : </t>
  </si>
  <si>
    <t>Source : (1) The Shift Project, Plan de transformation de l'économie française : la mobilité longue distance, 2020.
https://cloud.theshiftproject.org/apps/onlyoffice/1962090?filePath=%2FProjets%2FPTEF%2F16%20-%20Mob%20LD%2F07%20-%20Mod%C3%A9lisation%2F20%20-%20Mise%20au%20propre%2FMLD%20Fichier%20Maitre%20v4.0%20MaP.xlsx</t>
  </si>
  <si>
    <t>Changements de parts modales - Matchs régionaux</t>
  </si>
  <si>
    <t>b) Compétitions régionales</t>
  </si>
  <si>
    <t>c) Compétitions départementales</t>
  </si>
  <si>
    <t>Changements de parts modales - Matchs départementaux</t>
  </si>
  <si>
    <t>D'après (1), on a un report de 35,1% des vkm de la voiture vers train/car.</t>
  </si>
  <si>
    <t>Etant donné les densités de population plus faible pour ce niveau de compétition, on fait l'hypothèse que ce report modal se fait à 10% vers le train et à 90% vers les cars/mini-bus.</t>
  </si>
  <si>
    <t>Etant donné les densités de population plus faible pour ce niveau de compétition, on fait l'hypothèse que ce report modal se fait à 25% vers le train et à 75% vers les cars et mini-bus.</t>
  </si>
  <si>
    <t>Total 2050</t>
  </si>
  <si>
    <t>On reprend ici les calculs de l'onglet "Fiche levier - 13" du fichier de calcul d'empreinte PRO du rapport.</t>
  </si>
  <si>
    <t xml:space="preserve">Variante optimiste </t>
  </si>
  <si>
    <t xml:space="preserve">Variante pessimiste </t>
  </si>
  <si>
    <t>3) Nombre de rencontres</t>
  </si>
  <si>
    <t>4) Distances parcourues</t>
  </si>
  <si>
    <t>Nombre de pratiquants football</t>
  </si>
  <si>
    <t>Nombre de pratiquants rugby</t>
  </si>
  <si>
    <t>Catégorie</t>
  </si>
  <si>
    <t xml:space="preserve">Le tableau suivant va nous permettre d'estimer en faisant des hypothèses le nombre de licenciés évoluant au niveau national pour le football et le rugby : </t>
  </si>
  <si>
    <t xml:space="preserve">Soit la part des licenciés totaux de : </t>
  </si>
  <si>
    <t>Sources : 
- Wikipédia, https://fr.wikipedia.org/wiki/Compétitions_de_clubs_français_de_rugby_à_XV
- https://rugbyamateur.fr/ffr-la-pyramide-des-competitions/
- https://api.www.ffr.fr/wp-content/uploads/2024/07/seniors-federale.pdf</t>
  </si>
  <si>
    <r>
      <rPr>
        <b/>
        <sz val="11"/>
        <color theme="1"/>
        <rFont val="Arial"/>
        <family val="2"/>
      </rPr>
      <t>- Championnat Nationale, F1, F2, F3 :</t>
    </r>
    <r>
      <rPr>
        <sz val="11"/>
        <color theme="1"/>
        <rFont val="Arial"/>
        <family val="2"/>
      </rPr>
      <t xml:space="preserve"> 310 équipes. On considère l'effectif moyen par équipe de 25 joueurs.
</t>
    </r>
    <r>
      <rPr>
        <b/>
        <sz val="11"/>
        <color theme="1"/>
        <rFont val="Arial"/>
        <family val="2"/>
      </rPr>
      <t>- Jeunes en compétitions nationales (U19, U16, U15) :</t>
    </r>
    <r>
      <rPr>
        <sz val="11"/>
        <color theme="1"/>
        <rFont val="Arial"/>
        <family val="2"/>
      </rPr>
      <t xml:space="preserve"> 240 équipes. Effectif moyen par équipe : 25 joueurs.
</t>
    </r>
    <r>
      <rPr>
        <b/>
        <sz val="11"/>
        <color theme="1"/>
        <rFont val="Arial"/>
        <family val="2"/>
      </rPr>
      <t>- Equipes réservistes et espoirs des clubs professionnels :</t>
    </r>
    <r>
      <rPr>
        <sz val="11"/>
        <color theme="1"/>
        <rFont val="Arial"/>
        <family val="2"/>
      </rPr>
      <t xml:space="preserve"> ?</t>
    </r>
  </si>
  <si>
    <r>
      <rPr>
        <b/>
        <sz val="11"/>
        <color theme="1"/>
        <rFont val="Arial"/>
        <family val="2"/>
      </rPr>
      <t xml:space="preserve">- Championnat National 1, 2 et 3 séniors : </t>
    </r>
    <r>
      <rPr>
        <sz val="11"/>
        <color theme="1"/>
        <rFont val="Arial"/>
        <family val="2"/>
      </rPr>
      <t xml:space="preserve">environ 250 équipes. On considère l'effectif moyen de 20 joueurs par équipe.
- </t>
    </r>
    <r>
      <rPr>
        <b/>
        <sz val="11"/>
        <color theme="1"/>
        <rFont val="Arial"/>
        <family val="2"/>
      </rPr>
      <t>Jeunes en compétitions nationales (U19, U17)</t>
    </r>
    <r>
      <rPr>
        <sz val="11"/>
        <color theme="1"/>
        <rFont val="Arial"/>
        <family val="2"/>
      </rPr>
      <t xml:space="preserve"> : On estime environ 200 équipes avec 20 joueurs en moyenne par équipe.
</t>
    </r>
    <r>
      <rPr>
        <b/>
        <sz val="11"/>
        <color theme="1"/>
        <rFont val="Arial"/>
        <family val="2"/>
      </rPr>
      <t>- Réservistes :</t>
    </r>
    <r>
      <rPr>
        <sz val="11"/>
        <color theme="1"/>
        <rFont val="Arial"/>
        <family val="2"/>
      </rPr>
      <t xml:space="preserve"> ?</t>
    </r>
  </si>
  <si>
    <t>Pour les championnats, on effectue la répartition suivante (répartition qui servira également pour les coupes) : 
1. Départemental
2. Régional
3. National (hors championnats pro)</t>
  </si>
  <si>
    <t>On obtient donc le tableau de répartition suivant :</t>
  </si>
  <si>
    <t>FOOTBALL</t>
  </si>
  <si>
    <t xml:space="preserve">Grâce à l'étape précédente et de nouvelles hypothèses spécifiques par championnat dans l'onglet "Commentaire", nous pouvons estimer les répartitions via le tableau ci-dessous pour le football : </t>
  </si>
  <si>
    <t>RUGBY</t>
  </si>
  <si>
    <t xml:space="preserve">En conservant les mêmes hypothèses (sauf pour HX, où on prend le nombre de joueurs sur la FDM en rugby), on obtient le tableau de répartition suivant : </t>
  </si>
  <si>
    <t>Nombre de personnes mobilisés (hors pratiquants) les jours de match (bénévoles, dirigeants, arbitres, etc..) pour le football</t>
  </si>
  <si>
    <t>Nombre de personnes mobilisés (hors pratiquants) les jours de match (bénévoles, dirigeants, arbitres, etc..) pour le rugby</t>
  </si>
  <si>
    <t>ANNEXE 4 : Distances parcourues championnats</t>
  </si>
  <si>
    <t>ANNEXE 5 : Format des rencontres hors championnat</t>
  </si>
  <si>
    <t>A date, ils n'existent pas d'étude mobilité sur les déplacements pour les matchs. Nous avons donc dû construire des hypothèses en interrogeant des professionnels du secteur (responsables fédéraux, de clubs, élus, etc.). Le nombre de joueurs et spectateurs a également été établi suivant cette méthode (moyenne football - rugby). L'établissement d'une enquête permettrait d'affiner ces résultats, surtout dans le cas où elle prendrait en compte les différentes catégories d'age.</t>
  </si>
  <si>
    <t>Source FE</t>
  </si>
  <si>
    <t>Short de sport</t>
  </si>
  <si>
    <t>1. Tableau récapitulatif</t>
  </si>
  <si>
    <t>Tableau ANNEXE 2.2</t>
  </si>
  <si>
    <t>(2) : https://ecobalyse.beta.gouv.fr/#/textile/simulator/cch/eyJidXNpbmVzcyI6ImxhcmdlLWJ1c2luZXNzLXdpdGhvdXQtc2VydmljZXMiLCJtYXNzIjowLjIsIm1hdGVyaWFscyI6W3siaWQiOiJlaS1wYSIsInNoYXJlIjoxfV0sIm51bWJlck9mUmVmZXJlbmNlcyI6MTAwMDAwLCJwcmljZSI6NSwicHJvZHVjdCI6ImNoYXVzc2V0dGVzIiwidHJhY2VhYmlsaXR5IjpmYWxzZSwidXBjeWNsZWQiOmZhbHNlfQ==</t>
  </si>
  <si>
    <t>(2) : https://ecobalyse.beta.gouv.fr/#/textile/simulator/cch/eyJhaXJUcmFuc3BvcnRSYXRpbyI6MC4xLCJidXNpbmVzcyI6ImxhcmdlLWJ1c2luZXNzLXdpdGhvdXQtc2VydmljZXMiLCJjb3VudHJ5RHllaW5nIjoiUkFTIiwiY291bnRyeUZhYnJpYyI6IlJBUyIsImNvdW50cnlNYWtpbmciOiJSQVMiLCJjb3VudHJ5U3Bpbm5pbmciOiJSQVMiLCJtYXNzIjowLjA2LCJtYXRlcmlhbHMiOlt7ImNvdW50cnkiOiJSQVMiLCJpZCI6ImVpLXBhIiwic2hhcmUiOjF9XSwibnVtYmVyT2ZSZWZlcmVuY2VzIjoxMDAwMDAsInByaWNlIjo4LCJwcm9kdWN0IjoiY2hhdXNzZXR0ZXMiLCJ0cmFjZWFiaWxpdHkiOmZhbHNlLCJ1cGN5Y2xlZCI6ZmFsc2V9</t>
  </si>
  <si>
    <t>T-shirt / Polo : 0,150kg, matière : 100% Polyester provenance par défaut (Asie - Pacifique), filature : Région - Asie, Tricotage moyen (par défaut) : Région - Asie, ennoblissement : Région - Asie, impression : non, confection : Région - Asie, distribution : France, utilisation : France, fin de vie : France, 10% de transport aérien</t>
  </si>
  <si>
    <t>Chaussettes : 0,06kg, matière : 100% Polyester provenance par défaut (Asie - Pacifique), filature : Région - Asie, Tricotage moyen (par défaut) : Région - Asie, ennoblissement : Région - Asie, impression : non, confection : Région - Asie, distribution : France, utilisation : France, fin de vie : France - 10% de transport aérien</t>
  </si>
  <si>
    <t>LEVIERS : MATÉRIEL SPORTIF</t>
  </si>
  <si>
    <t>Les parts modales des équipes/staff, supporters et autres responsables sont cofondus au prorata de leur nombre.</t>
  </si>
  <si>
    <t>a. Parts modales spectateurs et joueurs. Match de niveau national</t>
  </si>
  <si>
    <t>Augmentation beaucoup plus importante du train que dans le PTEF (car marge plus importante). A préciser en fonction des entretiens.</t>
  </si>
  <si>
    <t>Evolution PTEF</t>
  </si>
  <si>
    <t>Report de la baisse de la voiture à 70% sur le car et 30% sur le train.</t>
  </si>
  <si>
    <t>Report de la baisse de la voiture à 80% sur le car et 20% sur le train.</t>
  </si>
  <si>
    <r>
      <rPr>
        <b/>
        <sz val="12"/>
        <rFont val="Arial"/>
        <family val="2"/>
      </rPr>
      <t>Covoiturage</t>
    </r>
    <r>
      <rPr>
        <sz val="12"/>
        <rFont val="Arial"/>
        <family val="2"/>
      </rPr>
      <t xml:space="preserve"> : pour la voiture, la source (1) nous indique une augmentation du taux de remplissage de 15% d'ici 2050. On ajoute donc ce levier à la diminution exogène des facteurs d'émissions.</t>
    </r>
  </si>
  <si>
    <t xml:space="preserve">IV - Annexe </t>
  </si>
  <si>
    <t>1. Tee-shirt polyester</t>
  </si>
  <si>
    <t>T-shirt / Polo : 0,150kg, matière : 100% Polyester provenance Région - Europe de l'Ouest, filature : Région - Europe de l'Ouest, Tricotage moyen (par défaut) : Région - Europe de l'Ouest, ennoblissement : Région - Europe de l'Ouest, impression : non, confection : Région - Europe de l'Ouest, distribution : France, utilisation : France, fin de vie : France</t>
  </si>
  <si>
    <t>Impact CO2, https://impactco2.fr/outils/habillement/chaussuresdesport</t>
  </si>
  <si>
    <t xml:space="preserve">Faute de données spécifiques entre les différents types de biens, on fait l'hypothèse suivante : </t>
  </si>
  <si>
    <t>Empreinte carbone en kgCO2e/unité avant application du levier</t>
  </si>
  <si>
    <t xml:space="preserve">Etant donné que nous avons activé les leviers technologiques et d'efficacité énergétique, le volume d'émission restant à réduire devra passer par de la sobriété : allongement de la durée du vie du matériel, réemploie, renoncement à l'achat, etc. </t>
  </si>
  <si>
    <t xml:space="preserve">Cela nous donne le calcul suivant : </t>
  </si>
  <si>
    <t xml:space="preserve">Les sources (2, 3 et 4) donnent des gains d'efficacité technologique plus ou moins importants en fonction de différents critères (technologies utilisées, matériaux travaillés, etc.). On peut citer par exemple le système de filage à tambour ouvert, moins énergivores que les systèmes à anneaux traditionnels (10 % à 30 % de gain selon le type de filage utilisé), les machines de tissage modernes (15 % à 20 % de gain par rapport aux équipements plus anciens) et les technologies de récupération de chaleur et d'optimisation des cycles de séchage (gain de 10 % à 25 %). Etant donné les variations, nous prenons un chiffre raisonnable de 15%. Une évaluation plus précise sera effectuée lors des travaux du Shift Project sur le textile courant 2025. </t>
  </si>
  <si>
    <t>C. Prolongement de la durée de vie, réemploi et sobriété</t>
  </si>
  <si>
    <t>Source : 
(2) Energy Star, https://www.energystar.gov/buildings/tools-and-resources/energy-efficiency-improvement-and-cost-saving-opportunities-textile
(3) Ernest Orlando Lawrence Berkeley National Laboratroy, https://eta-publications.lbl.gov/sites/default/files/lbl-5753e-textile-ee-techjune-2012.pdf
(4) A review of energy use and energy efficiency technologies for the textile industry, https://www.sciencedirect.com/science/article/abs/pii/S1364032112002122?via%3Dihub</t>
  </si>
  <si>
    <t xml:space="preserve">Etant donné le manque de données (cf. note en haut de page), nous posons l'hypothèse suivante : </t>
  </si>
  <si>
    <t>Nous distinguons trois niveaux de compétitions permettant de faire un démarquage physique où les modes de déplacement et distances parcourues évoluent : le niveau départemental, le niveau régional et le niveau national. Nous utilisons les estimations faites lors de nos entretiens pour les répartir (à retrouver en annexe 3) pour répartir les licenciés entre ces trois catégories.
Dans ces 3 trois niveaux, il existe en simplifiant deux formats de compétition : les matchs, compétitions ou rencontres sportives hors championnat (trophée, coupe, critérium, plateau, etc.) et les championnats.</t>
  </si>
  <si>
    <t>Empreinte carbone en kgCO2e/unité après application du levier</t>
  </si>
  <si>
    <t xml:space="preserve">HX : Le potentiel physique de décarbonation de la consommation énergétique des phases de production/transformation des biens est considéré comme proportionnel aux effets d'une réindustrialsation des chaines de valeur sur le continent européen. On peut en effet imaginer que le gain apporté par cette réindustrialisation sur la baisse des émissions est un potentiel physique atteignable pour les industriels concernés. </t>
  </si>
  <si>
    <t>Annexe 1 : Réduction des émissions de la chaine de valeur par la relocalisation</t>
  </si>
  <si>
    <t>B. Amélioration de l'efficacité énergétique</t>
  </si>
  <si>
    <t>Pratique sportive</t>
  </si>
  <si>
    <t>Catégorie d'équipement</t>
  </si>
  <si>
    <t>Nom de l'équipement (brut)</t>
  </si>
  <si>
    <t>Nom de l'équipement (pour le rapport)</t>
  </si>
  <si>
    <t>Raw material</t>
  </si>
  <si>
    <t>Manufacturing</t>
  </si>
  <si>
    <t>Packaging</t>
  </si>
  <si>
    <t>Distribution</t>
  </si>
  <si>
    <t>Use</t>
  </si>
  <si>
    <t>End of life</t>
  </si>
  <si>
    <t>Vetement</t>
  </si>
  <si>
    <t>evaluated_consistent</t>
  </si>
  <si>
    <t>Chaussure</t>
  </si>
  <si>
    <t>Accessoire</t>
  </si>
  <si>
    <t>not_evaluated_average</t>
  </si>
  <si>
    <t>Maillot club</t>
  </si>
  <si>
    <t>Maillot de club</t>
  </si>
  <si>
    <t>Short de club</t>
  </si>
  <si>
    <t>Chaussettes de club</t>
  </si>
  <si>
    <t>Gourde 500mL - transparente</t>
  </si>
  <si>
    <t>Short entraînement F500</t>
  </si>
  <si>
    <t>Short pour l'entraînement</t>
  </si>
  <si>
    <t>Matériel entrainement</t>
  </si>
  <si>
    <t>Echelle d 'entrainement</t>
  </si>
  <si>
    <t>Chaussette F500</t>
  </si>
  <si>
    <t>Rain jacket Viralto</t>
  </si>
  <si>
    <t>CHAUSSURES DE FOOTBALL VIRALTO III 3D AIRMESH TURF</t>
  </si>
  <si>
    <t>1 maillot de son club favori - réal Madrid</t>
  </si>
  <si>
    <t>Chaussures de football VIRALTO III.ELITE FG</t>
  </si>
  <si>
    <t>Part du mutualisation
(ex : tente mutualisée pour 3 pax)</t>
  </si>
  <si>
    <t>Statut ACV
(calculé, estimé)</t>
  </si>
  <si>
    <t>TOTAL CO2 impact
kg CO2eq</t>
  </si>
  <si>
    <t xml:space="preserve">Foot en club </t>
  </si>
  <si>
    <t xml:space="preserve">équivalent maillot entraînment </t>
  </si>
  <si>
    <t xml:space="preserve">Short club </t>
  </si>
  <si>
    <t xml:space="preserve">Chaussettes club </t>
  </si>
  <si>
    <t xml:space="preserve">équivalent chaussette entraînement </t>
  </si>
  <si>
    <t xml:space="preserve">Sac de sport 75L </t>
  </si>
  <si>
    <t xml:space="preserve">Chasubles adulte réversibles </t>
  </si>
  <si>
    <t xml:space="preserve">2 sets  </t>
  </si>
  <si>
    <t xml:space="preserve">Sac à ballon </t>
  </si>
  <si>
    <t xml:space="preserve">Serviette de douche microfibre taille XL </t>
  </si>
  <si>
    <t xml:space="preserve">Manchon protège tibia viralto </t>
  </si>
  <si>
    <t xml:space="preserve">Underwear entraînement legging </t>
  </si>
  <si>
    <t xml:space="preserve">Underwear entraînement manches longues </t>
  </si>
  <si>
    <t xml:space="preserve">Veste de survêtement </t>
  </si>
  <si>
    <t xml:space="preserve">Parka club </t>
  </si>
  <si>
    <t xml:space="preserve">Maillot Viralto </t>
  </si>
  <si>
    <t xml:space="preserve">Gants </t>
  </si>
  <si>
    <t xml:space="preserve">Pantalon entraînement viralto </t>
  </si>
  <si>
    <t xml:space="preserve">Ballon entrainement </t>
  </si>
  <si>
    <t xml:space="preserve">Shoes  : KIPRUN KD900 jaune - prépa physique et avant / après match </t>
  </si>
  <si>
    <t xml:space="preserve">Survêtement club respirant slim zippé </t>
  </si>
  <si>
    <t xml:space="preserve">Ballon du match </t>
  </si>
  <si>
    <t>Taux de renouvellement par saison</t>
  </si>
  <si>
    <t>équivalent short entraînement</t>
  </si>
  <si>
    <t>Lot de 40 coupelles</t>
  </si>
  <si>
    <t>Sac a ballon</t>
  </si>
  <si>
    <t>Haie de vitesse</t>
  </si>
  <si>
    <t xml:space="preserve">Hydration - 1 gourde 500 ML transparente </t>
  </si>
  <si>
    <t xml:space="preserve">Produits de douche </t>
  </si>
  <si>
    <t xml:space="preserve">Claquettes de douche SLAP 500 Nabaiji </t>
  </si>
  <si>
    <t>1. Vêtements</t>
  </si>
  <si>
    <t>Decathlon</t>
  </si>
  <si>
    <t>Taux de renouvellement / saison</t>
  </si>
  <si>
    <t>2. Chaussures</t>
  </si>
  <si>
    <t>A. FOOTBALL</t>
  </si>
  <si>
    <t>B. RUGBY</t>
  </si>
  <si>
    <t>3. Matériel d'entrainement, ballons et accessoires</t>
  </si>
  <si>
    <t xml:space="preserve">     ANNEXE A : Base de données DATA ES</t>
  </si>
  <si>
    <t xml:space="preserve">     ANNEXE C : Notes de précision du périmètre et des calculs</t>
  </si>
  <si>
    <t>A. Note de précision des calculs d'empreinte carbone et des leviers de décarbonation</t>
  </si>
  <si>
    <t>Ces notes (notées de 1 à 5) sont entièrement subjectives et à l'appréciation du modélisateur. Il s'agit d'indications et non d'évaluations robustes. Elles permettent cependant de donner des indications sur la confiance à accorder aux résultats de chaque poste.</t>
  </si>
  <si>
    <t>Empreinte</t>
  </si>
  <si>
    <t>Levier</t>
  </si>
  <si>
    <t>Immobilisation</t>
  </si>
  <si>
    <t>Consommation d'énergie des bâtiments</t>
  </si>
  <si>
    <t xml:space="preserve">Matériel sportif </t>
  </si>
  <si>
    <t>Alimentation et boisson pour les matchs</t>
  </si>
  <si>
    <t xml:space="preserve">NC. </t>
  </si>
  <si>
    <t>3.2 Déplacements pour les entrainements</t>
  </si>
  <si>
    <t>3.1 Déplacements pour les matchs</t>
  </si>
  <si>
    <t>1. Infrastructures immobilisés</t>
  </si>
  <si>
    <t>Hypothèse d'un renouvellement d'un set tous les 4 ans basé sur des entretiens (Ligue Pays de la Loire)</t>
  </si>
  <si>
    <t>Source (2022-2023) : https://media.fff.fr/uploads/document/b347731661ae56628ad3bbb779f018e2.pdf</t>
  </si>
  <si>
    <t>Source (2022-2023) : https://www.ffr.fr/actualites/federation/hausse-des-licencies-14</t>
  </si>
  <si>
    <t>Nombre de licenciés football (2022-2023)</t>
  </si>
  <si>
    <t>Nombre de licenciés rugby (2022-2023)</t>
  </si>
  <si>
    <t>Nombre de clubs foot (2022-2023)</t>
  </si>
  <si>
    <t>Nombre de clubs rugby (2022-2023)</t>
  </si>
  <si>
    <t>H3 : On considère que les données de la modélisation bilan carbone FFF (Annexe) donnant des consommations par taille (grand, moyen et petit) et localisation (campagne, petite ville ou agglomération) sont attriburables aux catégories ERP de la base dataES. Pour la catégorie 5, on change l'hypothèse qui nous paraissait surévaluée et on considère qu'il s'agit d'un site avec une consommation de seulement 5MWh/an pour l'électricité contre 15 pour notre source et 5 MWh/an pour le gaz contre 15 pour notre source. Explication : étant donné que dans cette catégorie beaucoup de terrains ont une consommation énergétique très faible (dans le meilleur des cas, éclairage du terrain quelques heures dans la semaine) et disposent parfois de locaux non-chauffés (donc consommation de gaz nulle), on réatribue des valeurs plus conservatrices.</t>
  </si>
  <si>
    <t xml:space="preserve">H4 : On considère que les mix énergétiques des infrastructures des clubs de football et rugby sont équivalents aux mix du filtre "Activités sportives, récréatives et de loisirs" du CEREN. </t>
  </si>
  <si>
    <t>Consommation énergétique des infrastructures sportives exploitées par les clubs amateurs.</t>
  </si>
  <si>
    <t>L1 : Certains terrains sont utilisés par plusieurs sports, autres que foot et rugby (voir même pour d'autres activités). 
L2 : L'attribution de l'empreinte énergétique pour la catégorie ERP 5 est aproximative.
L3 : On pose notre calcul sur les données du CEREN qui, sur le filtre choisie, comprenne des infrastructures sportives autres que notre périmètre (donc également des piscines, gymnases et autres). 
L4 : Ne sont pas compris : les bâtiments fédéraux, des ligues et districts ou tout autre bâtiment n'étant pas exploité par les clubs.</t>
  </si>
  <si>
    <t>V.Finale</t>
  </si>
  <si>
    <t xml:space="preserve">H1 : On considère que les flux physiques associés à ce poste sont similaires entre le football et le rugby. Autrement dit, les flux d'énergies des batiments sont similaires pour les clubs de football ou de rugby.
H2 : On fait l'hypothèse que l'empreinte carbone est attribuable à 100% au foot et rugby (au prorata de leur nombre de licenciés respectifs) car nous considérons que ces sports, par le nombre de licenciés élevés (au total et par rapport aux sports évoluant sur terrain de grand jeu) dimensionnent les consommations d'énergie des infras.
H3 : On considère que les données de la modélisation bilan carbone FFF (Annexe) donnant des consommations par taille (grand, moyen et petit) et localisation (campagne, petite ville ou agglomération) sont attriburables aux catégories ERP de la base dataES. Pour la catégorie 5, on change l'hypothèse qui nous paraissait surévaluée et on considère qu'il s'agit d'un site avec une consommation de seulement 5MWh/an pour l'électricité contre 15 pour notre source et 5 MWh/an pour le gaz contre 15 pour notre source. Explication : étant donné que dans cette catégorie beaucoup de terrains ont une consommation énergétique très faible (dans le meilleur des cas, éclairage du terrain quelques heures dans la semaine) et disposent parfois de locaux non-chauffés (donc consommation de gaz nulle), on réatribue des valeurs plus conservatrices.
H4 : On considère que les mix énergétiques des infrastructures des clubs de football et rugby sont équivalents aux mix du filtre "Activités sportives, récréatives et de loisirs" du CEREN. </t>
  </si>
  <si>
    <t>H1 : On considère que les déplacements (modes, distances parcourues, nombre de trajets etc.) pour se rendre aux entrainements en football et rugby sont similaires. La variable déterminante sur ce poste n'est pas le sport en question mais la localisation géographique du club/stade (zone de densité).</t>
  </si>
  <si>
    <t>H2 : Pour les clubs de football et rugby amateurs en France, le nombre d'entraînements par semaine varie en fonction du niveau de compétition, de l'âge des joueurs et des ressources du club. Voici les conclusions que nous avons pu tirer d'après les entretiens effectués : niveau national avec environ 3 entraînements par semaine, niveau régional ou départemental supérieur avec environ 2 entraînements par semaine et niveau départemental avec environ 1,5 entrainements par semaine. Hypothèse choisie : environ 2 entrainements par semaine en moyenne. Ordre de grandeur validé lors des consultations menés entre le rapport intermédiaire et final.</t>
  </si>
  <si>
    <t>H3 : On considère qu'il y a en moyenne 40 semaines avec des entrainements par an (source 2). ODG validé lors des consultations menés entre le rapport intermédiaire et final.</t>
  </si>
  <si>
    <t xml:space="preserve">H4 : On considère que pour un entrainement, il y a en moyenne 0,2 personne par sportif qui viennent voir le match en tant que spectateur (famille, amis, supporters, etc.). Nombre obtenu suite à plusieurs entretiens qualitatifs (Alixia Gaidoz, Matthieu Hilbey, Elea Seriezssol) et validé lors des consultations menés entre le rapport intermédiaire et final. A savoir également que l'estimation des émissions des accompagnants peut être sous-évaluée si des trajets AR sont effectués pour déposer l'enfant, et le ramener (on mutlitplie par 2 les distances parcourues, bien qu'ils ne s'agissent pas de spectateurs). </t>
  </si>
  <si>
    <t>H5 : D'après Elea Serieyssol de la Ligue de rugby Occitanie et Matthieu Hilbeyet de la Ligue de rugby Centre, ⅕ des bénévoles du club viennent cinq fois par semaine au club et ⅘ restants 1 à 2 fois par semaine. On fait l'hypotèse que les mêmes taux s'appliquent au football.</t>
  </si>
  <si>
    <t>H6 : On considère ici les employés du club et les gestionnaires du stade (ETP de la collectivité par exemple travaillant sur/pour la structure). On estime qu'il y a environ 10 à 15 employés pour les clubs/stades de nationnal, 5 pour le régionnal et 2 pour le départemental. On fait l'hypothèse conservatrice de 3 ETP peu importe la taille. Ordre de grandeur donné par Guillaume Gouze (expert A4MT, CDES). On considère qu'ils font trois fois le déplacement par semaine.</t>
  </si>
  <si>
    <t xml:space="preserve">Grâce à la source 1 (EMP 2019) et source 2 (dataES), on obtient le tableau suivant. Le calcul détaillé est à retrouver en annexe 2 : </t>
  </si>
  <si>
    <t>H7 : Il a été préféré d'utiliser ici un taux d'occupation différent que celui de la mobilité courte distance pour les déplacements professionnels, choix justifié par les dynamiques différentes qui concernent les déplacements professionnels des déplacements "loisirs". Nous avons pour cela extrait de la base de données "Mobilité des personnes" du Ministère de la Transition Ecologique et de la Cohésion des Territoires la donnée correspondant au taux de remplissage moyen, parmi les personnes se déplaçant en voiture et pour "voir un spectacle culturel ou sportif (cinéma, théâtre, concert, cirque, match), assister à une conférence". </t>
  </si>
  <si>
    <t>Déplacements des pratiquants et autres (bénévoles, professionnels etc.) pour se rendre au club ou stade pour les entrainements lors d'une saison sportive.</t>
  </si>
  <si>
    <t>A noter que les distances moyennes sont des distances par catégorie. Elles cachent de fortes disparités en fonction du mode de transport (distance parcourue moyenne en mob.douce vs voiture). Cependant, étant donné les échantillons parfois faibles pour chaque mode, nous prenons les valeurs moyennes pour chaque densité de commune.</t>
  </si>
  <si>
    <t>L1 : La limite principale est que nous faisons l'hypothèse (H8) que la dispersion des licenciés sur le territoire est égale à la dispertion des terrains (et leur emplacement géographique). Autrement dit, cette hypothèse postule qu'un terrain en zone de densité faible est exploité par le même nombre de licenciés qu'une terrain en zone de densité forte. Cela tend à sous-évaluer la part des pratiquants ubrains si on considère que les usages des terrains en zone urbaine sont plus intensifs.
L2 : Non séparation par tranche d'âge : un parent qui accompagne un enfant à l'entrainement peut être ammené à faire deux aller retour pour chaque entraînement, ce qui fait augmentr les distances parcourues et donc l'empreinte carbone. Une analyse plus appronfondie permettrait de déterminer le comportement des accompagnateurs.</t>
  </si>
  <si>
    <t>ANNEXE 2 : Mobilité des acteurs du milieu amateur du football/rugby</t>
  </si>
  <si>
    <t>Données ci-dessous extraites de source (1)</t>
  </si>
  <si>
    <t>La source ci-dessous (tableau en annexe 3) nous donne les taux de variation suivant de 2020 à 2030 : véhicules individuels -40%, transports en commun +45% et mobilités douces +38%. Ces objectifs étant donné pour 2030, il nous parait raisonable d'imaginer pour 2050 une baisse de 50% de l'usage des VI et un essort encore plus important des transports en commun (principalement par le bus) et de la mobilité douce. Pour les TEC, nous mutliplions donc par 6 l'usage des bus et appliquons le même taux que le PTEF pour les autres modes.</t>
  </si>
  <si>
    <t>Le PDU de Vannes Agglo (annexe 3) donne les parts modales suivantes en 2050 : mobilités douces 39% (augmentation de 26% par rapport à 2022), transports en commun 11% (augmentation de 57%), voiture 50% (baisse -19%). Hypothèse d'après cet exemple et les chiffres donnés par le PTEF nous donne une baisse d'environ 20% de la part de la voiture, compensée par une augmentation du bus (multiplié par 6). Hypothèse validée par Laura Foglia (cheffe de projet mobilité, The Shift Project).</t>
  </si>
  <si>
    <t xml:space="preserve">H1 : On considère que les flux physiques associés à ce poste sont similaires entre le football et le rugby. </t>
  </si>
  <si>
    <t>H2 : On considère que pour les matchs, 50% des personnes consomment un snack (source FFF et Utopies). Valeur probablement sous-estimée pour l'ensemble du scope amateur, étant donné qu'une part des consommations ne font pas l'objet d'un échange marchand (et les données viennent de buvettes).</t>
  </si>
  <si>
    <t>H3 : On considère que pour les matchs, il y a en moyenne 1,12 consommation de boisson par pesonne (source FFF et Utopies). Valeur probablement sous-estimée pour l'ensemble du scope amateur, étant donné qu'une part des consommations ne font pas l'objet d'un échange marchand (et les données viennent de buvettes).</t>
  </si>
  <si>
    <t>H4 : On fait l'hypothèse simplificatrice que 80% des boissons consommées sont des bières et 20% des sodas en tenant compte des données de l'annexe 1.1.</t>
  </si>
  <si>
    <t>H5 : Etant donné le manque de données sur le volet alimentaire (pas de données centralisées sur la consommation alimentaire dans les stades), nous simplifions le modèle de calcul en deux catégories pour la partie alimentation : plats et snacks à dominante poulet/porc (hot dog, sandwichs merguez, jambon beurre, etc.) et les plats et snacks végétariens (comprenant les frites, snacks sucrés etc.).</t>
  </si>
  <si>
    <t>Ordre de grandeur satisfaisant.</t>
  </si>
  <si>
    <t>L1 : Peu de données en provenance des clubs (seulement 3 clubs pros) pour confirmer le volume/personne.
L2 : Etant donné que nous n'avons pu trouver des données spécifiques aux clubs amateurs, nous avons utilisé des données provenant de clubs professionnels.</t>
  </si>
  <si>
    <t>V. Finale</t>
  </si>
  <si>
    <t>Alimentation et boisson (matchs)</t>
  </si>
  <si>
    <t>Déchets (matchs)</t>
  </si>
  <si>
    <t>Privilégier la rénovation à la place de la construction</t>
  </si>
  <si>
    <t>ANNEXE 2 : Calcul du potentiel</t>
  </si>
  <si>
    <t>FE plats et snacks à dominante bœuf (kgCO2e/repas)</t>
  </si>
  <si>
    <t>FE plats et snacks à dominante poulet/porc (kgCO2e/repas)</t>
  </si>
  <si>
    <t>kgCO2e/unité</t>
  </si>
  <si>
    <t xml:space="preserve">1. Données FFF et Utopies </t>
  </si>
  <si>
    <t>H4 : On considère que le FE "Plats et snacks à dominante animale" est égal à la moyenne des FE "Plats et snacks à dominante bœuf" et "Plats et snacks à dominante poulet".</t>
  </si>
  <si>
    <t>Données issues du fichier PRO (sur la base d'Ecobalyse et données clubs)</t>
  </si>
  <si>
    <t>ANNEXE 6 : Parts modales visiteurs</t>
  </si>
  <si>
    <t>Spectateurs visiteurs</t>
  </si>
  <si>
    <t xml:space="preserve">Joueurs et staff visiteurs </t>
  </si>
  <si>
    <t>Déplacements</t>
  </si>
  <si>
    <t xml:space="preserve">Déchets </t>
  </si>
  <si>
    <t xml:space="preserve">Émissions </t>
  </si>
  <si>
    <t xml:space="preserve">Répartition des émissions </t>
  </si>
  <si>
    <t>Émissions de GES / unité</t>
  </si>
  <si>
    <t xml:space="preserve">ANNEXE 5 : Graphique </t>
  </si>
  <si>
    <t xml:space="preserve">Maillot </t>
  </si>
  <si>
    <t>Chaussettes</t>
  </si>
  <si>
    <t>Empreinte carbone (kgCO2e/unité)</t>
  </si>
  <si>
    <t>Chaussures de football / rugby</t>
  </si>
  <si>
    <t>Ballon d'entrainement</t>
  </si>
  <si>
    <t>Autres (parka, pantalon, legging, etc.)</t>
  </si>
  <si>
    <t xml:space="preserve">Pourcentage du volume consommé </t>
  </si>
  <si>
    <t>Textile</t>
  </si>
  <si>
    <t xml:space="preserve">Part de l'empreinte carbone </t>
  </si>
  <si>
    <t>Volume consommé en milliers</t>
  </si>
  <si>
    <t>Chaussures</t>
  </si>
  <si>
    <t>Matériel</t>
  </si>
  <si>
    <t>Parts modales JOUEURS</t>
  </si>
  <si>
    <t>Parts modales pondérées</t>
  </si>
  <si>
    <t>0%%</t>
  </si>
  <si>
    <t>TGV</t>
  </si>
  <si>
    <t>Voiture, longue distance</t>
  </si>
  <si>
    <t>Car, minibus</t>
  </si>
  <si>
    <t>Avion court courrier</t>
  </si>
  <si>
    <t xml:space="preserve">Pour tenir compte des effets de zonage géographique effectué par de certains championnats, on prend l'hypothèse d'une distance parcourue moyenne de : </t>
  </si>
  <si>
    <t>Emissions par personne</t>
  </si>
  <si>
    <t>4. Articles de sport</t>
  </si>
  <si>
    <t>X. Répartion des émissions par parts modales</t>
  </si>
  <si>
    <t>TEC</t>
  </si>
  <si>
    <r>
      <t xml:space="preserve">Etant donné les incertitudes et le manque de données, </t>
    </r>
    <r>
      <rPr>
        <b/>
        <i/>
        <sz val="12"/>
        <rFont val="Arial"/>
        <family val="2"/>
      </rPr>
      <t>nous nous contenterons principalement de préconisations et d'évaluations qualitatives pour ce poste</t>
    </r>
    <r>
      <rPr>
        <i/>
        <sz val="12"/>
        <rFont val="Arial"/>
        <family val="2"/>
      </rPr>
      <t xml:space="preserve">, sauf pour l'évolution du facteur d'émissions de la construction qui fait l'objet d'une quantification (bien que n'étant pas spécifique à la construction des infrastructures foot/rugby). Nous nous appuierons sur d'autres rapports ou sur des mesures déjà mises en œuvre par des acteurs pour exemplariser nos leviers. Enfin, le </t>
    </r>
    <r>
      <rPr>
        <b/>
        <i/>
        <sz val="12"/>
        <rFont val="Arial"/>
        <family val="2"/>
      </rPr>
      <t>potentiel physique de décarbonation pour ce poste est évalué grace à la baisse de l'intensité carbone des matériaux acier-béton. Cette évaluation est à retrouver dans le fichier PRO.</t>
    </r>
  </si>
  <si>
    <t>Transports en commun (bus, TER, etc.)</t>
  </si>
  <si>
    <t>Évolution des parts modales par niveau de densité urbaine entre 2022 et 2050</t>
  </si>
  <si>
    <t>Mobilités actives</t>
  </si>
  <si>
    <t>ENR et chauffage urbain</t>
  </si>
  <si>
    <t>Emissions du poste avant transformation</t>
  </si>
  <si>
    <t>Changement des parts modales</t>
  </si>
  <si>
    <t>Emissions après transformation</t>
  </si>
  <si>
    <t>Rugby en club </t>
  </si>
  <si>
    <t>Maillot rugby club </t>
  </si>
  <si>
    <t>Short club </t>
  </si>
  <si>
    <t>SHORT CLUB RUGBY</t>
  </si>
  <si>
    <t>Chaussettes club </t>
  </si>
  <si>
    <t>Chaussettes hautes de rugby </t>
  </si>
  <si>
    <t>hydration - 1 gourde 500 ML transparente </t>
  </si>
  <si>
    <t>Short entraînement </t>
  </si>
  <si>
    <t>Sac de sport 75L </t>
  </si>
  <si>
    <t>lot de 40 coupelles</t>
  </si>
  <si>
    <t>Chaussette </t>
  </si>
  <si>
    <t>Chaussettes hautes de rugby adulte </t>
  </si>
  <si>
    <t>Chasubles adulte réversibles </t>
  </si>
  <si>
    <t>Chasuble de rugby réversible </t>
  </si>
  <si>
    <t>Sac à ballon </t>
  </si>
  <si>
    <t>sac a ballon</t>
  </si>
  <si>
    <t>Serviette de douche microfibre taille XL </t>
  </si>
  <si>
    <t>Protège dents </t>
  </si>
  <si>
    <t>Protege dents de rugby </t>
  </si>
  <si>
    <t>sous-vêtement protection </t>
  </si>
  <si>
    <t>Epaulière de rugby </t>
  </si>
  <si>
    <t>casque de protection </t>
  </si>
  <si>
    <t>Casque de rugby </t>
  </si>
  <si>
    <t>Underwear entraînement legging </t>
  </si>
  <si>
    <t>COLLANT DE RUGBY </t>
  </si>
  <si>
    <t>produits de douche </t>
  </si>
  <si>
    <t>Underwear entraînement manches longues </t>
  </si>
  <si>
    <t>Sous Maillot Manche Longue de Rugby </t>
  </si>
  <si>
    <t>Veste de survêtement </t>
  </si>
  <si>
    <t>Parka club </t>
  </si>
  <si>
    <t>Maillot </t>
  </si>
  <si>
    <t>Rain jacket </t>
  </si>
  <si>
    <t>Coupe vent de pluie imperméable </t>
  </si>
  <si>
    <t>Gants </t>
  </si>
  <si>
    <t>Pantalon entraînement </t>
  </si>
  <si>
    <t>PANTALON DE PLUIE IMPERMÉABLE DE RUGBY</t>
  </si>
  <si>
    <t>haie de vitesse</t>
  </si>
  <si>
    <t>CHAUSSURES DE RUGBY terrain gras</t>
  </si>
  <si>
    <t>Crampons Rugby vissées </t>
  </si>
  <si>
    <t>CHAUSSURES DE RUGBY terrain sec</t>
  </si>
  <si>
    <t>Crampons Rugby moulées</t>
  </si>
  <si>
    <t>CHAUSSURES DE RUGBY hybride</t>
  </si>
  <si>
    <t>Crampons Rugby hybrides </t>
  </si>
  <si>
    <t>Ballon entrainement </t>
  </si>
  <si>
    <t>Ballon de Rugby - Ballon d'entrainement </t>
  </si>
  <si>
    <t>Ballon entrainement pédagogie débutant </t>
  </si>
  <si>
    <t>BALLON DE RUGBY ENFANT</t>
  </si>
  <si>
    <t>claquettes de douche SLAP 500 Nabaiji </t>
  </si>
  <si>
    <t>Shoes : KIPRUN KD900 jaune - prépa physique et avant / après match </t>
  </si>
  <si>
    <t>Survêtement club </t>
  </si>
  <si>
    <t>1 maillot de son club favori OU équipe favorite </t>
  </si>
  <si>
    <t>Ballon du match </t>
  </si>
  <si>
    <t>Ballon de Rugby - Ballon de match </t>
  </si>
  <si>
    <t>ANNEXE 1 : Facteur d'émission</t>
  </si>
  <si>
    <t>ANNEXE 2 : Répartition des émissions et graphiques - Base Ecobalyse</t>
  </si>
  <si>
    <t>ANNEXE 3 : ACV produits de sport - Décathlon</t>
  </si>
  <si>
    <t>Empreinte par licencié football</t>
  </si>
  <si>
    <t>Empreinte par licencié rugby</t>
  </si>
  <si>
    <t>Empreinte par sport</t>
  </si>
  <si>
    <t>DROP</t>
  </si>
  <si>
    <t>BUT 1</t>
  </si>
  <si>
    <t>BUT 2</t>
  </si>
  <si>
    <t>4) Trajectoires de décarbonation des variantes</t>
  </si>
  <si>
    <t>Annexe 4 : Synthèse et figures</t>
  </si>
  <si>
    <t>Covoiturage</t>
  </si>
  <si>
    <t>Électrification de la flotte de véhicules et décarbonation de l'industrie automobile</t>
  </si>
  <si>
    <t>FE Voiture optimiste</t>
  </si>
  <si>
    <t>Émissions totales (tCO2e) 2022-2023</t>
  </si>
  <si>
    <t>Alimentation et boissons</t>
  </si>
  <si>
    <t>Retransmission</t>
  </si>
  <si>
    <t>Énergie (éclairage, chauffage, etc.)</t>
  </si>
  <si>
    <t>Articles de sport</t>
  </si>
  <si>
    <t>Déchets et autres</t>
  </si>
  <si>
    <t>Transports en commun</t>
  </si>
  <si>
    <t xml:space="preserve">Objectif </t>
  </si>
  <si>
    <t>2) Variante BUT - Déploiement technologique moyen, sobriété modéré</t>
  </si>
  <si>
    <t>3) Variante BUT - Déploiement technologique moyen, sobriété modérée</t>
  </si>
  <si>
    <t>Optimiser</t>
  </si>
  <si>
    <t>Mobilités actives (marche, vélo, etc.)</t>
  </si>
  <si>
    <t>Ces répartitions ont été, sans pouvoir les confirmer par des données robustes, valider par des personnes connaissant bien le milieu amateur.</t>
  </si>
  <si>
    <t>ANNEXE 6 : Graphiques</t>
  </si>
  <si>
    <t>1. Textile</t>
  </si>
  <si>
    <t>Les effets d'une réindustrilisation sont multiples. On peut citer par exemple des effets sur : 
1 - La phase de transformation : D'après les données obtenues lors du calcul d'empreinte du poste, près de 2/3 des émissions sont issues de la phase de production du produit (comprenant notamment les consommation énergétiques des machines textiles). Le mix électrique Français a des émissions de l’ordre de 52 gCO2eq/kWh et celui du Portugal 255 gCO2eq/kWh. A titre de comparaison, 1 kWh utilisé à l’échelle mondiale émet en moyenne 760 gCO2eq/kWh (dont 766 g de CO2eq/kWh en Chine et 912 en Inde) selon la Base Empreinte. Le fait de relocaliser les activités de tissage et plus généralement de production du produit peut représenter un gain très important sur les émissions de GES. 
2 - Les transports : La réduction des distances parcourues par les matières premières et les produits intermédiaires agissent directement sur la quantité d'émissions, d'autant plus quand les produits sont importés en Europe en avion.
3 - La fin de vie : par un meilleur traitement des déchets, notamment en évitant leur combustion (mode très émetteur de GES et de substances nocives dans l'air)</t>
  </si>
  <si>
    <r>
      <t xml:space="preserve">Le potentiel physique est identifié grâce à </t>
    </r>
    <r>
      <rPr>
        <i/>
        <sz val="11"/>
        <color theme="1"/>
        <rFont val="Arial"/>
        <family val="2"/>
        <scheme val="minor"/>
      </rPr>
      <t>HX</t>
    </r>
    <r>
      <rPr>
        <sz val="11"/>
        <color theme="1"/>
        <rFont val="Arial"/>
        <family val="2"/>
        <scheme val="minor"/>
      </rPr>
      <t xml:space="preserve"> et le simulateur Ecobalyse (2). Les paramètres insérés sont à retrouver en haut des tableaux.</t>
    </r>
  </si>
  <si>
    <t>Ainsi, et d'après (2), le relocalisation permet de baisser de 37% l'empreinte carbone de la phase de transformation.</t>
  </si>
  <si>
    <t xml:space="preserve">A. Décarbonation de la transformation </t>
  </si>
  <si>
    <t>D'après les données de Ecobalyse, environ 2/3 des émissions sont issues de la phase de production et transformation du produit. La cause : la consommation d'énergie (principalement électricité) des machines textiles. Le premier levier consiste à décarboner la production d'électricité. Ci-dessous, nous retrouvons les résultats d'empreinte carbone par produit après application du levier 1. Les étapes de calcul et hypotèses sont à retrouver en Annexe 1.</t>
  </si>
  <si>
    <t>Mesures permettant d'activer ce levier :
- Installer des modes de production d'électricité bas-carbone sur les sites de production 
- Achat selon des labels bas carbone du textile (voir notamment https://agirpourlatransition.ademe.fr/particuliers/labels-environnementaux#labelsrow-3)
- Autres ?</t>
  </si>
  <si>
    <t>Empreinte avant transformation (tCO2e) - 2022</t>
  </si>
  <si>
    <t>On fait ici l'hypothèse que la répartition de l'empreinte carbone du textile est la même pour tous les produits (i.e. égale à un tee-shirt polyester).</t>
  </si>
  <si>
    <t>Baisse</t>
  </si>
  <si>
    <t>Empreinte avant transformation (tCO2e) - 2050</t>
  </si>
  <si>
    <t>Baisse estimée</t>
  </si>
  <si>
    <t>Emballage</t>
  </si>
  <si>
    <t>On fait l'hypothèse que le potentiel de décarbonation est le même que sur le textile. Cette hypothèse est évidemment simplificatrice, les enjeux étant différents entre ces produits. En l'absence de données permettant de distinguer précisémment la part matières premières de la part transformation sur ce poste (les données Décathlon étant construite sous un angle équipementiers et non chaine de valeur), on garde cette hypothèse.</t>
  </si>
  <si>
    <t>3. Matériel sportif</t>
  </si>
  <si>
    <t>Matériel sportif</t>
  </si>
  <si>
    <t>Idem qu'hypothèse précédente.</t>
  </si>
  <si>
    <t>HX : Le gain d'efficacité énergétique potentiel s'applique uniformément aux biens du poste sur la phase de production / transformation.</t>
  </si>
  <si>
    <t>Ce gain d'efficacité énergétique est cohérent avec ceux observables dans d'autres secteurs industriels (automobile, aérien, etc.) et dans le pas de temps qui nous concerne (environ 25 ans).</t>
  </si>
  <si>
    <t>Soit</t>
  </si>
  <si>
    <t xml:space="preserve">Il faut donc que le levier C. puisse faire baisser les émissions de l'ordre de : </t>
  </si>
  <si>
    <t>Cible SNBC Industrie</t>
  </si>
  <si>
    <t>Nous prenons comme cible une baisse de 81% des élmissions entre 2022 et 2050 (SNBC Industrie).</t>
  </si>
  <si>
    <t xml:space="preserve">Soit un volume d'émissions à atteindre de </t>
  </si>
  <si>
    <t>Potentiel de décarbonation après application des leviers A et B</t>
  </si>
  <si>
    <t>Etat des lieux après A et B :</t>
  </si>
  <si>
    <t xml:space="preserve">Amélioration de l'efficacité énergétique des machines </t>
  </si>
  <si>
    <t xml:space="preserve">Prolongement de la durée de vie : réparation, réemploi et sobriété </t>
  </si>
  <si>
    <t>Sortie des énergies fossiles (conso. énergétique des machines)</t>
  </si>
  <si>
    <t>% de l'empreinte</t>
  </si>
  <si>
    <t xml:space="preserve">% de l'empreinte </t>
  </si>
  <si>
    <t>A ce total, il faut retirer la part des immobilisations calculées dans le secteur professionnel pour éviter un double compte. On soustrait donc les émissions des championnats professionnels des immobilisations ici.</t>
  </si>
  <si>
    <t>1. Prévilégier la rénovation à la construction de nouveaux stades</t>
  </si>
  <si>
    <t xml:space="preserve">Privilégier la rénovation à la construction de nouveaux stades permet de réduire substantiellement les émissions de GES, avec une réduction de 50 % à 66 % en faveur de la rénovation. Pour quelques cas précis, la construction peut être envisagée (moyennant des conditions, décrites ci-après) : </t>
  </si>
  <si>
    <r>
      <t xml:space="preserve">- Lorsqu’une analyse de cycle de vie permet de démontrer que le nouveau stade émettra moins de GES sur l'ensemble de sa durée de vie par rapport à l'existant. Cette étude devra </t>
    </r>
    <r>
      <rPr>
        <b/>
        <sz val="11"/>
        <rFont val="Arial"/>
        <family val="2"/>
      </rPr>
      <t>obligatoirement</t>
    </r>
    <r>
      <rPr>
        <sz val="11"/>
        <rFont val="Arial"/>
        <family val="2"/>
      </rPr>
      <t xml:space="preserve"> intégrer les flux de spectateurs et leurs moyens de transport ; l'implantation géographique du stade et les infrastructures de mobilité (transports en commun, pistes cyclables, bornes de recharge électrique, etc.) seront déterminantes, étant donné l'impact du transport sur les émissions globales. L'établissement de scénarios avec différentes zones d'implémentation du stade devra également être effectuée pour évaluer la pertinence du projet.</t>
    </r>
  </si>
  <si>
    <t xml:space="preserve">- Lorsque la superstructure du stade actuel est trop vétuste pour être rénovée. </t>
  </si>
  <si>
    <t>- Penser et construire des stades pour favoriser l'accessibilité de modes de transport bas-carbone : desserte importante en transports en commun, installation de pistes cyclables, de bornes de recharge, etc.</t>
  </si>
  <si>
    <t>- Penser et construire des stades pour optimiser l'efficience énergétique</t>
  </si>
  <si>
    <t>- Penser et construire des stades qui tiennent compte des besoins naturels de la pelouse, pour éviter l'usage de la luminothérapie, technique énergivore.</t>
  </si>
  <si>
    <t>- Instauration d'espaces verts favorisant la capture du carbone (bien que faible au regard des enjeux)</t>
  </si>
  <si>
    <t>H1 : Ne disposant pas de données spécifiques sur les matériaux hors béton-acier, on considère que ces matériaux divers se décarbonnent à hauteur de la moyenne de la décarbonation entre le béton et l'acier.</t>
  </si>
  <si>
    <t>Nous utilisons les rapports du secteur Industrie lourde du Shift Project pour tirer les évolutions de facteur d'émissions (au m2 ou m3) d'ici 2050 après application des leviers technologiques et d'éfficacité pour la décarbonation. Grâce à la répartition de l'empreinte carbone d'un stade sur sa phase de construction (approche upfront), on applique la baisse des FE de chaque matériau au prorata de sa part dans l'empreinte carbone. Cela donne in fine le potentiel de décarbonation des matériaux de construction.</t>
  </si>
  <si>
    <t>XXX</t>
  </si>
  <si>
    <t>Impact de la construction en kgCO2e/place</t>
  </si>
  <si>
    <t>Impact de la rénovation kgCO2e/place</t>
  </si>
  <si>
    <t>Pour les détails, voir Fichier PRO Fiche levier - 10.1</t>
  </si>
  <si>
    <t>Potentiel de décarbonation sur le poste PRO</t>
  </si>
  <si>
    <t>-- potentiel à évaluer --</t>
  </si>
  <si>
    <t>Entrainement</t>
  </si>
  <si>
    <t>Match</t>
  </si>
  <si>
    <t>Maillots</t>
  </si>
  <si>
    <t>Shorts</t>
  </si>
  <si>
    <t>1) Empreinte carbone PRO</t>
  </si>
  <si>
    <t>2) Empreinte carbone AMAT</t>
  </si>
  <si>
    <t>3) Totale</t>
  </si>
  <si>
    <t>Empreinte en tCO2e</t>
  </si>
  <si>
    <t xml:space="preserve">       I. PRO Empreinte carbone 2022-2023 - Synthèse</t>
  </si>
  <si>
    <t xml:space="preserve">      II. PRO Evolution 2022-2050 - Synthèse</t>
  </si>
  <si>
    <t xml:space="preserve">     III. Synthèse PRO + AMAT</t>
  </si>
  <si>
    <t>Construction et entretien des infras.</t>
  </si>
  <si>
    <t>Construction et 
entretien des infras.</t>
  </si>
  <si>
    <t>Consommation d'énergie des infras.</t>
  </si>
  <si>
    <t>kgCO2e/m²/an</t>
  </si>
  <si>
    <t>X. Parts modales</t>
  </si>
  <si>
    <t>Mob actives</t>
  </si>
  <si>
    <t>Matériel d'entraînement</t>
  </si>
  <si>
    <t>EC</t>
  </si>
  <si>
    <t>Surfaces de jeu</t>
  </si>
  <si>
    <t>Bâtiments et parking</t>
  </si>
  <si>
    <t>Déplacements (spectateurs, pratiquants, etc.)</t>
  </si>
  <si>
    <t>Construction et entretien des infra.</t>
  </si>
  <si>
    <t>Consommation d'énergie des infra.</t>
  </si>
  <si>
    <t>Matières premières et production</t>
  </si>
  <si>
    <t>Assemblage final</t>
  </si>
  <si>
    <t>Objectif - 80%</t>
  </si>
  <si>
    <t>- A EXPLORER PROCHAINEMENT-</t>
  </si>
  <si>
    <t xml:space="preserve">Si un français moyen émet </t>
  </si>
  <si>
    <t xml:space="preserve">alors, </t>
  </si>
  <si>
    <t xml:space="preserve">kg CO2e pour ses déplacements sur une année </t>
  </si>
  <si>
    <t xml:space="preserve">sont liés à la pratique </t>
  </si>
  <si>
    <t xml:space="preserve">Football </t>
  </si>
  <si>
    <t>dont</t>
  </si>
  <si>
    <t>textile</t>
  </si>
  <si>
    <t>chaussures</t>
  </si>
  <si>
    <t>matériel</t>
  </si>
  <si>
    <t>Déplacements 
(matchs et entraînements)</t>
  </si>
  <si>
    <t xml:space="preserve">H1 : On considère que les flux physiques associés à ce poste sont identiques entre le football et le rugby. Autrement dit, on considère que les flux de matières et d'énergies sont similaires pour construire une infrastructure de football ou de rugby.
H2 : On fait l'hypothèse que l'empreinte carbone est attribuable à 100% au foot et rugby (au prorata de leur nombre de licenciés respectifs) car nous considérons que ces sports, par le nombre de licenciés élevés (au total et par rapport aux sports évoluant sur terrain de grand jeu) dimensionnent les infrastructures.
H3 : On considère que le facteur d'émission des infrastructures hors stade (vestiaires, bureaux, etc.) est celui d'un centre de loisirs avec structure en béton (FE Base Empreinte, ADEME).
H4 : Hypothèse d'une taille de 9m2 pour le vestiaire des arbitres comprenant douches + sanitaires (Vestiaire Arbitre 1 : 9,13 m² - Vestiaire Arbitre 2 : 8,80 m²), base de données Stadium de la FFF. Nombre d'unité tirée de la base DataES. Ordre de grandeur validé par Julien Benoit (FFF).	
H5 : Hypothèse d'une taille de 20m2 pour le vestiaire des sportifs comprenant douches + sanitaires (Vestiaire Joueur 1 : 19,73 m² -  Vestiaire Joueur 2 : 18,95 m² - Vestiaire Joueur 3 : 17,85 m² - Vestiaire Joueur 4 : 17,67 m²), base de données Stadium de la FFF. Nombre d'unité tirée de la base DataES. Ordre de grandeur validé par Julien Benoit (FFF).	
H6 : Hypothèse d'une taille de 15m2 pour les bureaux du club. Nombre d'unité tirée de la base DataES. Ordre de grandeur validé par Julien Benoit (FFF).	
H7 : Hypothèse d'une taille de 10m2 pour les centres médicaux-sportif, les clubs houses, les infiermeries, les locaux de contrôle anti-dopage, les locaux de réception et les salles de réunion. Nombre d'unité tirée de la base DataES. Ordre de grandeur validé par Julien Benoit (FFF).	
H8 : On fait l'hypothèse que 1) y a 10 places de parking pour les stades sans tribune 2) le parking est amorti au bout de 30 ans (inspiré du chiffre obtenu sur ce lien : https://www.cher.gouv.fr/contenu/telechargement/6213/36841/file/AABilan_carbone-DDT18-1.pdf) 3) la surface d'une place de parking est de 21.25 m2 et 4) 1/3 des parkings sont des parkings en terre et donc non comptabilisés dans le calcul (prise en compte des retours post-RI).	
H9 : Pour les parkings, on considère que : 1) pour les stades disposant de tribunes, ils disposent de 5% de leur capacité en parking, 2) le parking est amorti au bout de 30 ans (inspiré du chiffre obtenu sur ce lien : https://www.cher.gouv.fr/contenu/telechargement/6213/36841/file/AABilan_carbone-DDT18-1.pdf) et 3) la surface d'une place de parking est de 21.25 m2.
H10 : On considère que le nombre de pelouses revient à la part des clubs du sport X (rugby ou football) sur le total des clubs. 	
H11 : On attribue 100% des surfaces stabilisées/cendrées au foobtall, la pratique du rugby sur ces surfaces étant peu probable.
H12 : En l'absence de données sur le sujet, on suppose que les surfaces en dur ont le même facteur d'émissions que les granulats.		</t>
  </si>
  <si>
    <t>Source : 
(1) Amortissement paking : https://www.cher.gouv.fr/contenu/telechargement/6213/36841/file/AABilan_carbone-DDT18-1.pdf.
(2) Réglements généraux FFR : https://api.www.ffr.fr/wp-content/uploads/2019/11/RG-2019-20-Annexe-I_V2.pdf 
(3) Réglements généraux FFF : https://www.google.com/url?sa=t&amp;source=web&amp;rct=j&amp;opi=89978449&amp;url=https://media.fff.fr/uploads/document/3b82ec28bd72f34b0d577250887c68bd.pdf&amp;ved=2ahUKEwjs-4Wz2tCGAxVVdqQEHVquAskQFnoECAcQAQ&amp;usg=AOvVaw1D3TouBPuuujBqVJzNBo7W
(4) Base de données DataES : https://equipements.sports.gouv.fr/pages/accueil/
(5) FE base empreinte, ADEME</t>
  </si>
  <si>
    <t>Base de données DataES : https://equipements.sports.gouv.fr/pages/accueil/</t>
  </si>
  <si>
    <t>Etape 1 : Empreinte carbone des tribunes : multiplication de l'ensemble des places en tribune (base DataES) foot/rugby en France X un FE moyen par place (cf. annexe). 
Etape 2 : Empreinte des infrastructures : mutlplication du nombre d'infrastructures par type (base DataES) X l'hypothèse d'une surface 
Etape 3 : Empreinte carbone des parkings : multiplication d'un nombre de places (10 places pour les stades sans tribunes et 5% de la capacité pour les stades avec tribune) X hypothèse de surface (21,25 m2 par place) X FE m2 / amortissement 30 ans.
Etape 4 : Empreinte carbone de la pelouse : Nombre de terrains par type (pelouse/synthé) X FE pelouse / amortissemement 10 ans.
La somme de ces quatre empreintes = empreinte totale des immobilisations. On soustrait tout de même la part PRO pour ne pas avoir de double compte.</t>
  </si>
  <si>
    <t>- L1 : On ne prend pas en compte les espaces de circulation, sous-évaluant l'empreinte ici.
- L2 : Certaines structures servent à d’autres sports. Ici, on considère qu’elles sont amortis à 100% par notre périmètre.
- L3 : Nous n'avons pas le détail des surfaces des infrastructures, les calculs reposant donc sur des hypothèses soumis à fortes incertitudes.
- L4 : Sur les surfaces de jeu, plusieurs études méritant de l'intérêt n'ont pas pu être prise en compte dans le cadre de ce projet : 
https://onlinelibrary.wiley.com/doi/pdf/10.1002/its2.61 
https://pmc.ncbi.nlm.nih.gov/articles/PMC9571228/#B18-plants-11-02478
https://agupubs.onlinelibrary.wiley.com/doi/pdf/10.1029/2009GL041675
https://acsess.onlinelibrary.wiley.com/doi/epdf/10.1002/csc2.21383</t>
  </si>
  <si>
    <t>Source 1 : Consommation d'énergie des stades fournie par la FFF (annexes).
Source 2 : Base de données DataES - https://equipements.sports.gouv.fr/pages/accueil/
Source 3 : FE Base empreinte, ADEME
Source 4 : Catégories ERP - https://entreprendre.service-public.fr/vosdroits/F32351
Source 5 : Chauffage urbain - FEDENE, https://www.connaissancedesenergies.org/sites/connaissancedesenergies.org/files/pdf-actualites/Enquête%20des%20réseaux.pdf</t>
  </si>
  <si>
    <t>Vecteur</t>
  </si>
  <si>
    <t>Multiplication entre : 
1) Les facteurs d'émissions unitaires des articles de sport, par sport
2) Le nombre de licenciés par sport
3) Le taux de renouvellement annuel</t>
  </si>
  <si>
    <t>Impact carbone des articles de sport.</t>
  </si>
  <si>
    <t>Ordre de grandeur très satisfaisant.</t>
  </si>
  <si>
    <t xml:space="preserve">(1) Ecobalyse, https://ecobalyse.beta.gouv.fr
(2) Données ACV DECATHLON </t>
  </si>
  <si>
    <t>H1 : Pour les articles de sport dont nous ne disposons pas d'un taux de renouvellement annuel, on fait l'hypothèse d'un renouvellement tous les 4 ans (basé sur des entretiens).</t>
  </si>
  <si>
    <t>II) Détail des calculs</t>
  </si>
  <si>
    <t>Source 1 : FE base empreinte, ADEME
Source 2 : Modélisation FFF et Utopies
Source 3 : Ecobayse</t>
  </si>
  <si>
    <t xml:space="preserve">H1 : On considère que les flux physiques associés à ce poste sont similaires entre le football et le rugby. 
H2 : On considère que pour les matchs, 50% des personnes consomment un snack (source FFF et Utopies). Valeur probablement sous-estimée pour l'ensemble du scope amateur, étant donné qu'une part des consommations ne font pas l'objet d'un échange marchand (et les données viennent de buvettes).	
H3 : On considère que pour les matchs, il y a en moyenne 1,12 consommation de boisson par pesonne (source FFF et Utopies). Valeur probablement sous-estimée pour l'ensemble du scope amateur, étant donné qu'une part des consommations ne font pas l'objet d'un échange marchand (et les données viennent de buvettes).
H4 : On considère que le FE "Plats et snacks à dominante animale" est égal à la moyenne des FE "Plats et snacks à dominante bœuf" et "Plats et snacks à dominante poulet".
H5 : Etant donné le manque de données sur le volet alimentaire (pas de données centralisées sur la consommation alimentaire dans les stades), nous simplifions le modèle de calcul en deux catégories pour la partie alimentation : plats et snacks à dominante poulet/porc (hot dog, sandwichs merguez, jambon beurre, etc.) et les plats et snacks végétariens (comprenant les frites, snacks sucrés etc.).	</t>
  </si>
  <si>
    <t>Etape 1 : On pose des hypthèses de consommation unitaire (voir "Hypothèses")
Etape 2 : On multiplie par le nombre de personnes et par le nombre de matchs dans l'année
Etape 3 : On multiplie par les FE par aliment/boisson et on obtient l'empreinte carbone du poste.</t>
  </si>
  <si>
    <t>Hypothèses de consommation pouvant être améliorée en cas d'étude de consommation plus précises.</t>
  </si>
  <si>
    <t xml:space="preserve">H1 : On considère que les déplacements (modes, distances parcourues, nombre de trajets etc.) pour se rendre aux entrainements en football et rugby sont similaires. La variable déterminante sur ce poste n'est pas le sport en question mais la localisation géographique du club/stade (zone de densité).
H2 : Pour les clubs de football et rugby amateurs en France, le nombre d'entraînements par semaine varie en fonction du niveau de compétition, de l'âge des joueurs et des ressources du club. Voici les conclusions que nous avons pu tirer d'après les entretiens effectués : niveau national avec environ 3 entraînements par semaine, niveau régional ou départemental supérieur avec environ 2 entraînements par semaine et niveau départemental avec environ 1,5 entrainements par semaine. Hypothèse choisie : environ 2 entrainements par semaine en moyenne. Ordre de grandeur validé lors des consultations menés entre le rapport intermédiaire et final.				
H3 : On considère qu'il y a en moyenne 40 semaines avec des entrainements par an (source 2). ODG validé lors des consultations menés entre le rapport intermédiaire et final.		
H4 : On considère que pour un entrainement, il y a en moyenne 0,2 personne par sportif qui viennent voir le match en tant que spectateur (famille, amis, supporters, etc.). Nombre obtenu suite à plusieurs entretiens qualitatifs (Alixia Gaidoz, Matthieu Hilbey, Elea Seriezssol) et validé lors des consultations menés entre le rapport intermédiaire et final. A savoir également que l'estimation des émissions des accompagnants peut être sous-évaluée si des trajets AR sont effectués pour déposer l'enfant, et le ramener (on mutlitplie par 2 les distances parcourues, bien qu'ils ne s'agissent pas de spectateurs). 				
H5 : D'après Elea Serieyssol de la Ligue de rugby Occitanie et Matthieu Hilbeyet de la Ligue de rugby Centre, ⅕ des bénévoles du club viennent cinq fois par semaine au club et ⅘ restants 1 à 2 fois par semaine. On fait l'hypotèse que les mêmes taux s'appliquent au football.				
H6 : On considère ici les employés du club et les gestionnaires du stade (ETP de la collectivité par exemple travaillant sur/pour la structure). On estime qu'il y a environ 10 à 15 employés pour les clubs/stades de nationnal, 5 pour le régionnal et 2 pour le départemental. On fait l'hypothèse conservatrice de 3 ETP peu importe la taille. Ordre de grandeur donné par Guillaume Gouze (expert A4MT, CDES). On considère qu'ils font trois fois le déplacement par semaine.
H7 : Il a été préféré d'utiliser ici un taux d'occupation différent que celui de la mobilité courte distance pour les déplacements professionnels, choix justifié par les dynamiques différentes qui concernent les déplacements professionnels des déplacements "loisirs". Nous avons pour cela extrait de la base de données "Mobilité des personnes" du Ministère de la Transition Ecologique et de la Cohésion des Territoires la donnée correspondant au taux de remplissage moyen, parmi les personnes se déplaçant en voiture et pour "voir un spectacle culturel ou sportif (cinéma, théâtre, concert, cirque, match), assister à une conférence". 					</t>
  </si>
  <si>
    <t xml:space="preserve">On fait l'hypothèse que la réparition des licenciés est équitablement répartie entre tous les clubs de football / rugby. </t>
  </si>
  <si>
    <t>- Source 1 : Extrait base EMP 2019 - Filtre 7.6 - Faire du sport
- Source 2 : DataES (Annexe A)
- Source 3 : Modélisation FFF et Utopies
- Source 4 : FE base empreinte, ADEME</t>
  </si>
  <si>
    <t xml:space="preserve">H1 : Nous considérons qu'environ 85% des licenciés de football évoluent au niveau départemental, 14% au niveau régional et environ 1% au niveau national. </t>
  </si>
  <si>
    <t xml:space="preserve">D'après les estimations faites en Annexe 3, nous posons l'hypothèse suivante : </t>
  </si>
  <si>
    <t>Etant donné H3, on sépare le national du départemental/régional.</t>
  </si>
  <si>
    <t>H2 : On considère que l'ensemble des locaux (joueurs, spectateurs et autres) se déplacent de la même façon, peu importe la division et le niveau géographique. Seul la variable "nombre de matchs" change.</t>
  </si>
  <si>
    <t>H3 : Pour les locaux, on considère que la distance est identique à celle effectuée pour se rendre à l'entrainement.</t>
  </si>
  <si>
    <t>Distance moyenne calculée en Annexe 4</t>
  </si>
  <si>
    <t>H4 : Pour les parts modales, on utilise celles issues de (2) et on les modifie en attribuant la part de mobilité douce au car (pas de mobilité douce car ici visiteurs). On corrige à la marge en réatribuant 5 points de pourcentage suite aux retours des consultations post RI.</t>
  </si>
  <si>
    <t>H5 : Nous considérons que la donnée de taux de remplissage des véhicules de la base de données "Mobilité des personnes" du Ministère de la Transition Ecologique et de la Cohésion des Territoires du motif "Faire du sport" est représentatif du périmètre de l'étude.</t>
  </si>
  <si>
    <t xml:space="preserve">H6 : Nous considérons que la donnée de taux de remplissage des véhicules de la base de données "Mobilité des personnes" du Ministère de la Transition Ecologique et de la Cohésion des Territoires du motif "Faire du sport" est représentatif du périmètre de l'étude.
NB : Utopies a dans son calcul de bilan carbone pour la FFF le chiffre de 3 personnes en moyenne par véhicule. Cette estimation est, d'après Théo Fleurance (FEF), sur-estimée. En effet, le pannel de clubs interrogés est faible (une dizaine) et biaisée par le fait qu'il s'agit de clubs engagés dans une démarche d'éco-responsabilité. </t>
  </si>
  <si>
    <t>H7 : Nous considérons qu'environ 95% des licenciés de rugby évoluent au niveau régional et 5% au niveau national.</t>
  </si>
  <si>
    <t>H8 : On considère que le nombre de personnes mobilisées hors spectateurs et joueurs (staff, arbitres, bénévoles, dirigeants) est de la même proportion que le nombre de licenciés à ce niveau de compétition.</t>
  </si>
  <si>
    <t>H9 : Selon (2), on a en moyenne entre 200 et 2000 spectateurs par match au niveau national, avec une forte hétérogénéité selon la compétition. On prend l'hypothèse de 500 spectateurs par match en moyenne et on calcul les spectateurs totaux grâce à un ratio "Nombre de joueurs en moyenne (environ 32 sur la FDM pour les deux équipes) / Nombre de spectateurs en moyenne" qu'on multiplie par le nombre de joueurs totaux. Toujours selon (2), environ 11% de ces spectateurs sont des visiteurs. On prend l'hypothèse de 10%.</t>
  </si>
  <si>
    <t xml:space="preserve">H10 : On considère 30 rencontres annuelles dont 15 à l'extérieur (source : FFF et Utopies, qui donne un chiffre compris entre 12 et 15 dont 15 au plus haut niveau de compétition). </t>
  </si>
  <si>
    <t>H11 : On considère que pour un match, il y a en moyenne 1 personne pour 2 sportifs qui vient voir le match en tant que spectateur (famille, amis, supporters, etc.) dont 1/5 sont des visiteurs. D'après source (2), ce chiffre est d'environ 1/4. Suite à des retours lors de la publication intermédiaire nous avons décidé de revoir à la baisse cette part à 1/5.</t>
  </si>
  <si>
    <t xml:space="preserve">H12 : On considère 24 rencontres annuelles dont 12 à l'extérieur (source : FFF et Utopies, qui donne un chiffre compris entre 12 et 15). </t>
  </si>
  <si>
    <t>H9 : Selon (2), on a en moyenne entre 200 et 2000 spectateurs par match au niveau national, avec une forte hétérogénéité selon la compétition. On prend l'hypothèse de 500 spectateurs par match en moyenne et on calcul les spectateurs totaux grâce à un ratio "Nombre de joueurs en moyenne (environ 40 joueurs sur la FDM pour les deux équipes) / Nombre de spectateurs en moyenne" qu'on multiplie par le nombre de joueurs totaux. Toujours selon (2), environ 11% de ces spectateurs sont des visiteurs. On prend l'hypothèse de 10%.</t>
  </si>
  <si>
    <t>Etape 1 : On sépare les visiteurs et les locaux. 
Etape 2 : On attribue des parts modales à ces deux catégories et des distances parcourues moyennes.
Etape 3 : On multiplie les parts modales par les distances parcourues par le nombre de personnes concernées (pour chaque catégorie) par le FE par mode.
Etape 4 : On multiplie par le nombre de rencontres annuelles.</t>
  </si>
  <si>
    <t>Empreinte carbone des déplacements pour les matchs.</t>
  </si>
  <si>
    <t>Ordre de grandeur satisfaisant</t>
  </si>
  <si>
    <t>- L1 : Les hypothèses pour les distances parcourues pour les visiteurs sont des moyennes et ne refletent pas les fortes différences entre les régions / ligues ou entre les sports.
- L2 : On considère que 100% des pratiquants font des matchs. Cependant, une part pratique uniquement en loisir sans compétition. Etant donné que nous n'avons de données spécifiques sur ce point, on considère que 100%.
- L3 : Sur ce post, la quasi totalité de nos données proviennent de la FFF. Seulement, les données football ne sont pas forcément représentatives du rugby : pas le même nombre de clubs, de stades, pas le même nombre de licenciés, donc pas les mêmes championnats, distance etc. Cependant, la FFF = la masse. On pourrait faire le même constat avec foot et rugby féminin.</t>
  </si>
  <si>
    <t>=&gt; Pour faciliter le suivi des hypothèses, nous recommandons de suivre par étape les calculs ; soit en analysant les annexes, soit en analysant la partie 1. Evaluation.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</si>
</sst>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 #,##0.00_)_ ;_ * \(#,##0.00\)_ ;_ * &quot;-&quot;??_)_ ;_ @_ "/>
    <numFmt numFmtId="164" formatCode="_(* #,##0.00_);_(* \(#,##0.00\);_(* &quot;-&quot;??_);_(@_)"/>
    <numFmt numFmtId="165" formatCode="0.0"/>
    <numFmt numFmtId="166" formatCode="_ * #,##0_)_ ;_ * \(#,##0\)_ ;_ * &quot;-&quot;??_)_ ;_ @_ "/>
    <numFmt numFmtId="167" formatCode="_ * #,##0.0_)_ ;_ * \(#,##0.0\)_ ;_ * &quot;-&quot;??_)_ ;_ @_ "/>
    <numFmt numFmtId="168" formatCode="0.000"/>
    <numFmt numFmtId="169" formatCode="_ * #,##0.00_)\ _€_ ;_ * \(#,##0.00\)\ _€_ ;_ * &quot;-&quot;??_)\ _€_ ;_ @_ "/>
    <numFmt numFmtId="170" formatCode="0.0%"/>
    <numFmt numFmtId="171" formatCode="_ * #,##0.000_)_ ;_ * \(#,##0.000\)_ ;_ * &quot;-&quot;??_)_ ;_ @_ "/>
    <numFmt numFmtId="172" formatCode="_-* #,##0_-;\-* #,##0_-;_-* &quot;-&quot;??_-;_-@_-"/>
    <numFmt numFmtId="173" formatCode="_ * #,##0.000_)\ _€_ ;_ * \(#,##0.000\)\ _€_ ;_ * &quot;-&quot;???_)\ _€_ ;_ @_ "/>
    <numFmt numFmtId="174" formatCode="_(* #,##0_);_(* \(#,##0\);_(* &quot;-&quot;??_);_(@_)"/>
    <numFmt numFmtId="175" formatCode="_(* #,##0.0_);_(* \(#,##0.0\);_(* &quot;-&quot;??_);_(@_)"/>
    <numFmt numFmtId="176" formatCode="_ * #,##0.0_)\ _€_ ;_ * \(#,##0.0\)\ _€_ ;_ * &quot;-&quot;?_)\ _€_ ;_ @_ "/>
    <numFmt numFmtId="177" formatCode=";;;"/>
    <numFmt numFmtId="178" formatCode="_ * #,##0_)\ _€_ ;_ * \(#,##0\)\ _€_ ;_ * &quot;-&quot;???_)\ _€_ ;_ @_ "/>
    <numFmt numFmtId="179" formatCode="_ * #,##0.00_)\ _€_ ;_ * \(#,##0.00\)\ _€_ ;_ * &quot;-&quot;???_)\ _€_ ;_ @_ "/>
    <numFmt numFmtId="180" formatCode="_ * #,##0.000_)\ _€_ ;_ * \(#,##0.000\)\ _€_ ;_ * &quot;-&quot;??_)\ _€_ ;_ @_ "/>
    <numFmt numFmtId="181" formatCode="_ * #,##0_)\ _€_ ;_ * \(#,##0\)\ _€_ ;_ * &quot;-&quot;?_)\ _€_ ;_ @_ "/>
    <numFmt numFmtId="182" formatCode="_(* #,##0.000_);_(* \(#,##0.000\);_(* &quot;-&quot;??_);_(@_)"/>
  </numFmts>
  <fonts count="180">
    <font>
      <sz val="11"/>
      <color theme="1"/>
      <name val="Arial"/>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1"/>
      <color theme="1"/>
      <name val="Arial"/>
      <family val="2"/>
      <scheme val="minor"/>
    </font>
    <font>
      <sz val="11"/>
      <color rgb="FF9C0006"/>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sz val="12"/>
      <color theme="1"/>
      <name val="Calibri"/>
      <family val="2"/>
    </font>
    <font>
      <b/>
      <sz val="11"/>
      <name val="Arial"/>
      <family val="2"/>
    </font>
    <font>
      <u/>
      <sz val="11"/>
      <color theme="10"/>
      <name val="Arial"/>
      <family val="2"/>
      <scheme val="minor"/>
    </font>
    <font>
      <sz val="11"/>
      <color theme="1"/>
      <name val="Arial"/>
      <family val="2"/>
      <scheme val="minor"/>
    </font>
    <font>
      <sz val="11"/>
      <color theme="1"/>
      <name val="Arial"/>
      <family val="2"/>
      <scheme val="minor"/>
    </font>
    <font>
      <sz val="11"/>
      <color theme="1"/>
      <name val="Arial"/>
      <family val="2"/>
    </font>
    <font>
      <b/>
      <sz val="16"/>
      <name val="Arial"/>
      <family val="2"/>
    </font>
    <font>
      <b/>
      <sz val="11"/>
      <color theme="1"/>
      <name val="Arial"/>
      <family val="2"/>
    </font>
    <font>
      <b/>
      <sz val="12"/>
      <color theme="1"/>
      <name val="Arial"/>
      <family val="2"/>
    </font>
    <font>
      <sz val="12"/>
      <color theme="1"/>
      <name val="Arial"/>
      <family val="2"/>
    </font>
    <font>
      <sz val="11"/>
      <color rgb="FF9C0006"/>
      <name val="Arial"/>
      <family val="2"/>
    </font>
    <font>
      <b/>
      <i/>
      <sz val="12"/>
      <color theme="1"/>
      <name val="Arial"/>
      <family val="2"/>
    </font>
    <font>
      <b/>
      <sz val="14"/>
      <color theme="1"/>
      <name val="Arial"/>
      <family val="2"/>
    </font>
    <font>
      <b/>
      <i/>
      <sz val="11"/>
      <color theme="1"/>
      <name val="Arial"/>
      <family val="2"/>
    </font>
    <font>
      <sz val="11"/>
      <name val="Arial"/>
      <family val="2"/>
    </font>
    <font>
      <i/>
      <sz val="11"/>
      <color theme="1"/>
      <name val="Arial"/>
      <family val="2"/>
    </font>
    <font>
      <b/>
      <sz val="11"/>
      <color theme="0"/>
      <name val="Arial"/>
      <family val="2"/>
    </font>
    <font>
      <sz val="12"/>
      <name val="Arial"/>
      <family val="2"/>
    </font>
    <font>
      <sz val="12"/>
      <color rgb="FF000000"/>
      <name val="Arial"/>
      <family val="2"/>
      <scheme val="minor"/>
    </font>
    <font>
      <sz val="11"/>
      <color rgb="FF000000"/>
      <name val="Arial"/>
      <family val="2"/>
      <scheme val="minor"/>
    </font>
    <font>
      <sz val="11"/>
      <color rgb="FF00B050"/>
      <name val="Arial"/>
      <family val="2"/>
    </font>
    <font>
      <sz val="11"/>
      <color rgb="FF000000"/>
      <name val="Arial"/>
      <family val="2"/>
    </font>
    <font>
      <sz val="12"/>
      <color rgb="FF000000"/>
      <name val="Arial"/>
      <family val="2"/>
    </font>
    <font>
      <b/>
      <sz val="12"/>
      <color rgb="FF000000"/>
      <name val="Arial"/>
      <family val="2"/>
    </font>
    <font>
      <b/>
      <i/>
      <sz val="12"/>
      <color rgb="FF000000"/>
      <name val="Arial"/>
      <family val="2"/>
    </font>
    <font>
      <i/>
      <sz val="12"/>
      <color rgb="FF000000"/>
      <name val="Arial"/>
      <family val="2"/>
    </font>
    <font>
      <u/>
      <sz val="11"/>
      <color theme="10"/>
      <name val="Arial"/>
      <family val="2"/>
    </font>
    <font>
      <i/>
      <sz val="10"/>
      <color theme="1"/>
      <name val="Arial"/>
      <family val="2"/>
    </font>
    <font>
      <b/>
      <sz val="16"/>
      <color theme="1"/>
      <name val="Arial"/>
      <family val="2"/>
    </font>
    <font>
      <i/>
      <sz val="11"/>
      <color theme="1"/>
      <name val="Arial"/>
      <family val="2"/>
      <scheme val="minor"/>
    </font>
    <font>
      <sz val="8"/>
      <name val="Arial"/>
      <family val="2"/>
      <scheme val="minor"/>
    </font>
    <font>
      <b/>
      <i/>
      <sz val="11"/>
      <color theme="1"/>
      <name val="Arial"/>
      <family val="2"/>
      <scheme val="minor"/>
    </font>
    <font>
      <sz val="11"/>
      <name val="Calibri"/>
      <family val="2"/>
    </font>
    <font>
      <b/>
      <sz val="11"/>
      <color theme="2"/>
      <name val="Arial"/>
      <family val="2"/>
    </font>
    <font>
      <i/>
      <sz val="12"/>
      <color theme="1"/>
      <name val="Arial"/>
      <family val="2"/>
    </font>
    <font>
      <b/>
      <sz val="12"/>
      <color theme="2"/>
      <name val="Arial"/>
      <family val="2"/>
    </font>
    <font>
      <b/>
      <sz val="14"/>
      <color theme="2"/>
      <name val="Arial"/>
      <family val="2"/>
    </font>
    <font>
      <b/>
      <i/>
      <sz val="14"/>
      <color theme="2"/>
      <name val="Arial"/>
      <family val="2"/>
    </font>
    <font>
      <b/>
      <sz val="11"/>
      <name val="Arial"/>
      <family val="2"/>
      <scheme val="minor"/>
    </font>
    <font>
      <b/>
      <sz val="20"/>
      <color theme="2"/>
      <name val="Arial"/>
      <family val="2"/>
    </font>
    <font>
      <b/>
      <sz val="22"/>
      <color theme="2"/>
      <name val="Arial"/>
      <family val="2"/>
    </font>
    <font>
      <i/>
      <sz val="11"/>
      <name val="Arial"/>
      <family val="2"/>
    </font>
    <font>
      <sz val="12"/>
      <name val="Arial"/>
      <family val="2"/>
      <scheme val="minor"/>
    </font>
    <font>
      <i/>
      <sz val="12"/>
      <name val="Arial"/>
      <family val="2"/>
      <scheme val="minor"/>
    </font>
    <font>
      <b/>
      <sz val="18"/>
      <color theme="0"/>
      <name val="Arial"/>
      <family val="2"/>
    </font>
    <font>
      <sz val="11"/>
      <color theme="0"/>
      <name val="Arial"/>
      <family val="2"/>
    </font>
    <font>
      <b/>
      <sz val="20"/>
      <color theme="1"/>
      <name val="Arial"/>
      <family val="2"/>
    </font>
    <font>
      <b/>
      <sz val="22"/>
      <name val="Arial"/>
      <family val="2"/>
    </font>
    <font>
      <b/>
      <sz val="12"/>
      <name val="Arial"/>
      <family val="2"/>
    </font>
    <font>
      <b/>
      <sz val="12"/>
      <color theme="0"/>
      <name val="Arial"/>
      <family val="2"/>
    </font>
    <font>
      <b/>
      <i/>
      <sz val="16"/>
      <name val="Arial"/>
      <family val="2"/>
    </font>
    <font>
      <i/>
      <sz val="12"/>
      <name val="Arial"/>
      <family val="2"/>
    </font>
    <font>
      <b/>
      <sz val="14"/>
      <color theme="3"/>
      <name val="Arial"/>
      <family val="2"/>
    </font>
    <font>
      <b/>
      <sz val="12"/>
      <color rgb="FFFF8200"/>
      <name val="Arial"/>
      <family val="2"/>
    </font>
    <font>
      <u/>
      <sz val="12"/>
      <color theme="10"/>
      <name val="Arial"/>
      <family val="2"/>
    </font>
    <font>
      <b/>
      <sz val="18"/>
      <color theme="1"/>
      <name val="Arial"/>
      <family val="2"/>
    </font>
    <font>
      <b/>
      <sz val="12"/>
      <color indexed="65"/>
      <name val="Arial"/>
      <family val="2"/>
    </font>
    <font>
      <b/>
      <i/>
      <sz val="12"/>
      <color theme="2"/>
      <name val="Arial"/>
      <family val="2"/>
    </font>
    <font>
      <b/>
      <i/>
      <sz val="12"/>
      <color rgb="FF00005A"/>
      <name val="Arial"/>
      <family val="2"/>
    </font>
    <font>
      <b/>
      <sz val="20"/>
      <name val="Arial"/>
      <family val="2"/>
    </font>
    <font>
      <b/>
      <sz val="11"/>
      <color rgb="FF7030A0"/>
      <name val="Arial"/>
      <family val="2"/>
    </font>
    <font>
      <b/>
      <sz val="11"/>
      <color theme="5" tint="-0.249977111117893"/>
      <name val="Arial"/>
      <family val="2"/>
    </font>
    <font>
      <sz val="12"/>
      <color theme="0"/>
      <name val="Arial"/>
      <family val="2"/>
    </font>
    <font>
      <b/>
      <sz val="18"/>
      <color theme="3"/>
      <name val="Arial"/>
      <family val="2"/>
    </font>
    <font>
      <b/>
      <sz val="16"/>
      <color rgb="FFFF8200"/>
      <name val="Arial"/>
      <family val="2"/>
      <scheme val="minor"/>
    </font>
    <font>
      <b/>
      <sz val="16"/>
      <color theme="9"/>
      <name val="Arial"/>
      <family val="2"/>
    </font>
    <font>
      <b/>
      <sz val="12"/>
      <color theme="5"/>
      <name val="Arial"/>
      <family val="2"/>
    </font>
    <font>
      <b/>
      <sz val="12"/>
      <color theme="3"/>
      <name val="Arial"/>
      <family val="2"/>
    </font>
    <font>
      <b/>
      <sz val="16"/>
      <color rgb="FFFF8200"/>
      <name val="Arial"/>
      <family val="2"/>
    </font>
    <font>
      <b/>
      <sz val="11"/>
      <color theme="1"/>
      <name val="Arial (Corps)"/>
    </font>
    <font>
      <sz val="11"/>
      <color theme="1"/>
      <name val="Arial (Corps)"/>
    </font>
    <font>
      <b/>
      <sz val="11"/>
      <color theme="1"/>
      <name val="Calibri"/>
      <family val="2"/>
    </font>
    <font>
      <sz val="11"/>
      <color theme="1"/>
      <name val="Calibri"/>
      <family val="2"/>
    </font>
    <font>
      <sz val="11"/>
      <name val="Arial"/>
      <family val="2"/>
      <scheme val="minor"/>
    </font>
    <font>
      <sz val="11"/>
      <name val="Arial (Corps)"/>
    </font>
    <font>
      <b/>
      <sz val="14"/>
      <color theme="0"/>
      <name val="Arial"/>
      <family val="2"/>
    </font>
    <font>
      <i/>
      <sz val="16"/>
      <color theme="1"/>
      <name val="Arial"/>
      <family val="2"/>
    </font>
    <font>
      <b/>
      <sz val="16"/>
      <color theme="0"/>
      <name val="Arial"/>
      <family val="2"/>
    </font>
    <font>
      <b/>
      <i/>
      <sz val="14"/>
      <color theme="1"/>
      <name val="Arial"/>
      <family val="2"/>
    </font>
    <font>
      <b/>
      <sz val="14"/>
      <name val="Arial"/>
      <family val="2"/>
    </font>
    <font>
      <sz val="12"/>
      <color indexed="64"/>
      <name val="Arial"/>
      <family val="2"/>
    </font>
    <font>
      <b/>
      <sz val="20"/>
      <color rgb="FFC00000"/>
      <name val="Arial"/>
      <family val="2"/>
    </font>
    <font>
      <b/>
      <i/>
      <sz val="14"/>
      <name val="Arial"/>
      <family val="2"/>
    </font>
    <font>
      <i/>
      <u/>
      <sz val="12"/>
      <color theme="1"/>
      <name val="Arial"/>
      <family val="2"/>
    </font>
    <font>
      <b/>
      <sz val="11"/>
      <color rgb="FF00B050"/>
      <name val="Arial"/>
      <family val="2"/>
    </font>
    <font>
      <b/>
      <sz val="16"/>
      <color theme="1"/>
      <name val="Arial"/>
      <family val="2"/>
      <scheme val="minor"/>
    </font>
    <font>
      <b/>
      <sz val="14"/>
      <color theme="9"/>
      <name val="Arial"/>
      <family val="2"/>
    </font>
    <font>
      <i/>
      <sz val="12"/>
      <color theme="1"/>
      <name val="Arial"/>
      <family val="2"/>
      <scheme val="minor"/>
    </font>
    <font>
      <b/>
      <i/>
      <sz val="11"/>
      <name val="Arial"/>
      <family val="2"/>
    </font>
    <font>
      <b/>
      <i/>
      <sz val="12"/>
      <color theme="1"/>
      <name val="Arial"/>
      <family val="2"/>
      <scheme val="minor"/>
    </font>
    <font>
      <i/>
      <sz val="11"/>
      <color rgb="FF000000"/>
      <name val="Arial"/>
      <family val="2"/>
      <scheme val="minor"/>
    </font>
    <font>
      <b/>
      <sz val="12"/>
      <color theme="6" tint="-0.249977111117893"/>
      <name val="Arial"/>
      <family val="2"/>
    </font>
    <font>
      <b/>
      <sz val="11"/>
      <color rgb="FF000000"/>
      <name val="Arial"/>
      <family val="2"/>
      <scheme val="minor"/>
    </font>
    <font>
      <b/>
      <sz val="12"/>
      <color theme="9"/>
      <name val="Arial"/>
      <family val="2"/>
    </font>
    <font>
      <b/>
      <sz val="20"/>
      <color theme="3"/>
      <name val="Arial"/>
      <family val="2"/>
    </font>
    <font>
      <b/>
      <sz val="18"/>
      <color rgb="FFFF8200"/>
      <name val="Arial"/>
      <family val="2"/>
    </font>
    <font>
      <b/>
      <sz val="12"/>
      <color theme="1"/>
      <name val="Arial (Corps)"/>
    </font>
    <font>
      <i/>
      <sz val="12"/>
      <color theme="1"/>
      <name val="Arial (Corps)"/>
    </font>
    <font>
      <b/>
      <sz val="18"/>
      <color theme="9"/>
      <name val="Arial"/>
      <family val="2"/>
    </font>
    <font>
      <b/>
      <sz val="14"/>
      <color theme="1"/>
      <name val="Arial (Corps)"/>
    </font>
    <font>
      <b/>
      <sz val="16"/>
      <color rgb="FF00005A"/>
      <name val="Arial"/>
      <family val="2"/>
    </font>
    <font>
      <b/>
      <i/>
      <sz val="14"/>
      <color theme="0"/>
      <name val="Arial"/>
      <family val="2"/>
    </font>
    <font>
      <sz val="14"/>
      <color rgb="FF00005A"/>
      <name val="Arial"/>
      <family val="2"/>
    </font>
    <font>
      <b/>
      <sz val="14"/>
      <color rgb="FF00005A"/>
      <name val="Arial"/>
      <family val="2"/>
    </font>
    <font>
      <i/>
      <sz val="12"/>
      <color rgb="FF00005A"/>
      <name val="Arial"/>
      <family val="2"/>
    </font>
    <font>
      <b/>
      <sz val="14"/>
      <color theme="0"/>
      <name val="Arial (Corps)"/>
    </font>
    <font>
      <sz val="14"/>
      <color rgb="FF00005A"/>
      <name val="Arial (Corps)"/>
    </font>
    <font>
      <i/>
      <sz val="14"/>
      <color theme="4"/>
      <name val="Arial"/>
      <family val="2"/>
    </font>
    <font>
      <b/>
      <sz val="14"/>
      <color rgb="FF00005A"/>
      <name val="Arial (Corps)"/>
    </font>
    <font>
      <b/>
      <sz val="18"/>
      <color rgb="FF00005A"/>
      <name val="Arial"/>
      <family val="2"/>
    </font>
    <font>
      <sz val="14"/>
      <color theme="1"/>
      <name val="Arial (Corps)"/>
    </font>
    <font>
      <b/>
      <i/>
      <sz val="14"/>
      <color theme="0"/>
      <name val="Arial (Corps)"/>
    </font>
    <font>
      <b/>
      <i/>
      <sz val="14"/>
      <color theme="1"/>
      <name val="Arial (Corps)"/>
    </font>
    <font>
      <b/>
      <sz val="12"/>
      <color theme="1"/>
      <name val="Arial"/>
      <family val="2"/>
      <scheme val="major"/>
    </font>
    <font>
      <sz val="12"/>
      <color theme="1"/>
      <name val="Arial"/>
      <family val="2"/>
      <scheme val="major"/>
    </font>
    <font>
      <b/>
      <i/>
      <sz val="12"/>
      <color theme="1"/>
      <name val="Arial"/>
      <family val="2"/>
      <scheme val="major"/>
    </font>
    <font>
      <b/>
      <sz val="14"/>
      <color theme="1"/>
      <name val="Arial"/>
      <family val="2"/>
      <scheme val="major"/>
    </font>
    <font>
      <b/>
      <i/>
      <sz val="12"/>
      <name val="Arial"/>
      <family val="2"/>
    </font>
    <font>
      <b/>
      <sz val="12"/>
      <color theme="5" tint="-0.249977111117893"/>
      <name val="Arial"/>
      <family val="2"/>
    </font>
    <font>
      <sz val="14"/>
      <color rgb="FF0C0C0C"/>
      <name val="Arial"/>
      <family val="2"/>
    </font>
    <font>
      <b/>
      <sz val="13"/>
      <color rgb="FF0C0C0C"/>
      <name val="Arial"/>
      <family val="2"/>
    </font>
    <font>
      <sz val="11"/>
      <color rgb="FF0C3153"/>
      <name val="Arial"/>
      <family val="2"/>
      <scheme val="minor"/>
    </font>
    <font>
      <sz val="13"/>
      <color theme="1"/>
      <name val="Arial"/>
      <family val="2"/>
      <scheme val="minor"/>
    </font>
    <font>
      <sz val="16"/>
      <color theme="1"/>
      <name val="Arial"/>
      <family val="2"/>
      <scheme val="minor"/>
    </font>
    <font>
      <sz val="11"/>
      <color rgb="FF000000"/>
      <name val="Arial"/>
      <family val="2"/>
      <scheme val="major"/>
    </font>
    <font>
      <b/>
      <sz val="13"/>
      <color theme="1"/>
      <name val="Arial"/>
      <family val="2"/>
      <scheme val="minor"/>
    </font>
    <font>
      <b/>
      <sz val="14"/>
      <color rgb="FF000000"/>
      <name val="Arial"/>
      <family val="2"/>
    </font>
    <font>
      <b/>
      <sz val="11"/>
      <color theme="3"/>
      <name val="Arial"/>
      <family val="2"/>
    </font>
    <font>
      <sz val="12"/>
      <color rgb="FFFFC000"/>
      <name val="Arial"/>
      <family val="2"/>
    </font>
    <font>
      <b/>
      <sz val="11"/>
      <color indexed="65"/>
      <name val="Arial"/>
      <family val="2"/>
    </font>
    <font>
      <sz val="12"/>
      <color rgb="FF212121"/>
      <name val="Arial"/>
      <family val="2"/>
    </font>
    <font>
      <b/>
      <sz val="11"/>
      <color theme="4"/>
      <name val="Arial"/>
      <family val="2"/>
    </font>
    <font>
      <b/>
      <sz val="26"/>
      <color theme="0"/>
      <name val="Arial"/>
      <family val="2"/>
    </font>
    <font>
      <b/>
      <i/>
      <sz val="14"/>
      <color theme="4"/>
      <name val="Arial"/>
      <family val="2"/>
    </font>
    <font>
      <b/>
      <i/>
      <sz val="16"/>
      <color theme="1"/>
      <name val="Arial"/>
      <family val="2"/>
    </font>
    <font>
      <b/>
      <i/>
      <sz val="16"/>
      <color theme="3"/>
      <name val="Arial"/>
      <family val="2"/>
    </font>
    <font>
      <b/>
      <i/>
      <sz val="12"/>
      <color rgb="FF7030A0"/>
      <name val="Arial"/>
      <family val="2"/>
    </font>
    <font>
      <sz val="12"/>
      <color theme="1"/>
      <name val="Arial (Corps)"/>
    </font>
    <font>
      <i/>
      <sz val="14"/>
      <color rgb="FF00005A"/>
      <name val="Arial (Corps)"/>
    </font>
    <font>
      <b/>
      <i/>
      <sz val="14"/>
      <color rgb="FF00005A"/>
      <name val="Arial (Corps)"/>
    </font>
    <font>
      <b/>
      <i/>
      <sz val="16"/>
      <color theme="1"/>
      <name val="Arial"/>
      <family val="2"/>
      <scheme val="minor"/>
    </font>
    <font>
      <b/>
      <sz val="11"/>
      <color rgb="FF000000"/>
      <name val="Arial"/>
      <family val="2"/>
      <scheme val="major"/>
    </font>
    <font>
      <sz val="14"/>
      <color theme="1"/>
      <name val="Arial"/>
      <family val="2"/>
    </font>
    <font>
      <b/>
      <i/>
      <sz val="18"/>
      <name val="Arial"/>
      <family val="2"/>
    </font>
    <font>
      <sz val="14"/>
      <color theme="3"/>
      <name val="Arial"/>
      <family val="2"/>
      <scheme val="minor"/>
    </font>
    <font>
      <i/>
      <sz val="14"/>
      <color theme="3"/>
      <name val="Arial"/>
      <family val="2"/>
      <scheme val="minor"/>
    </font>
    <font>
      <b/>
      <sz val="14"/>
      <color theme="3"/>
      <name val="Arial"/>
      <family val="2"/>
      <scheme val="minor"/>
    </font>
    <font>
      <b/>
      <i/>
      <sz val="14"/>
      <color theme="3"/>
      <name val="Arial"/>
      <family val="2"/>
      <scheme val="minor"/>
    </font>
    <font>
      <b/>
      <sz val="11"/>
      <name val="Arial (Corps)"/>
    </font>
    <font>
      <b/>
      <i/>
      <sz val="12"/>
      <color theme="1"/>
      <name val="Arial (Corps)"/>
    </font>
    <font>
      <b/>
      <sz val="11"/>
      <color theme="3"/>
      <name val="Arial"/>
      <family val="2"/>
      <scheme val="minor"/>
    </font>
    <font>
      <b/>
      <sz val="11"/>
      <color theme="3"/>
      <name val="Arial (Corps)"/>
    </font>
    <font>
      <i/>
      <sz val="11"/>
      <color theme="1"/>
      <name val="Arial (Corps)"/>
    </font>
    <font>
      <b/>
      <i/>
      <sz val="11"/>
      <name val="Arial (Corps)"/>
    </font>
    <font>
      <sz val="10"/>
      <color theme="1"/>
      <name val="Arial"/>
      <family val="2"/>
      <scheme val="minor"/>
    </font>
    <font>
      <sz val="10"/>
      <color theme="1"/>
      <name val="Inter"/>
    </font>
    <font>
      <i/>
      <sz val="10"/>
      <color theme="1"/>
      <name val="Arial"/>
      <family val="2"/>
      <scheme val="minor"/>
    </font>
    <font>
      <b/>
      <sz val="12"/>
      <color theme="4"/>
      <name val="Arial"/>
      <family val="2"/>
    </font>
    <font>
      <b/>
      <sz val="24"/>
      <color theme="0"/>
      <name val="Arial"/>
      <family val="2"/>
    </font>
    <font>
      <b/>
      <sz val="22"/>
      <color theme="0"/>
      <name val="Arial"/>
      <family val="2"/>
    </font>
    <font>
      <sz val="22"/>
      <color theme="1"/>
      <name val="Arial"/>
      <family val="2"/>
    </font>
    <font>
      <b/>
      <i/>
      <sz val="14"/>
      <color theme="1"/>
      <name val="Arial"/>
      <family val="2"/>
      <scheme val="minor"/>
    </font>
    <font>
      <sz val="10"/>
      <color rgb="FFFF0000"/>
      <name val="Inter"/>
    </font>
    <font>
      <sz val="11"/>
      <color rgb="FF00005A"/>
      <name val="Arial"/>
      <family val="2"/>
      <scheme val="minor"/>
    </font>
    <font>
      <b/>
      <sz val="11"/>
      <color rgb="FF00005A"/>
      <name val="Arial"/>
      <family val="2"/>
      <scheme val="minor"/>
    </font>
    <font>
      <b/>
      <sz val="16"/>
      <color rgb="FF0026DB"/>
      <name val="Arial"/>
      <family val="2"/>
      <scheme val="minor"/>
    </font>
    <font>
      <i/>
      <sz val="14"/>
      <color theme="1"/>
      <name val="Arial (Corps)"/>
    </font>
  </fonts>
  <fills count="69">
    <fill>
      <patternFill patternType="none"/>
    </fill>
    <fill>
      <patternFill patternType="gray125"/>
    </fill>
    <fill>
      <patternFill patternType="solid">
        <fgColor rgb="FFFFC7CE"/>
        <bgColor rgb="FFFFC7CE"/>
      </patternFill>
    </fill>
    <fill>
      <patternFill patternType="solid">
        <fgColor theme="0"/>
        <bgColor theme="0"/>
      </patternFill>
    </fill>
    <fill>
      <patternFill patternType="solid">
        <fgColor rgb="FFFCE4D6"/>
        <bgColor rgb="FFFCE4D6"/>
      </patternFill>
    </fill>
    <fill>
      <patternFill patternType="solid">
        <fgColor theme="4" tint="0.39997558519241921"/>
        <bgColor theme="4" tint="0.39997558519241921"/>
      </patternFill>
    </fill>
    <fill>
      <patternFill patternType="solid">
        <fgColor theme="4" tint="0.59996337778862885"/>
        <bgColor theme="4" tint="0.59996337778862885"/>
      </patternFill>
    </fill>
    <fill>
      <patternFill patternType="solid">
        <fgColor theme="7" tint="0.59996337778862885"/>
        <bgColor theme="7" tint="0.59996337778862885"/>
      </patternFill>
    </fill>
    <fill>
      <patternFill patternType="solid">
        <fgColor theme="7" tint="0.79995117038483843"/>
        <bgColor theme="7" tint="0.79995117038483843"/>
      </patternFill>
    </fill>
    <fill>
      <patternFill patternType="solid">
        <fgColor theme="5" tint="0.79998168889431442"/>
        <bgColor rgb="FFFCE4D6"/>
      </patternFill>
    </fill>
    <fill>
      <patternFill patternType="solid">
        <fgColor rgb="FFFFC000"/>
        <bgColor rgb="FFFFC7CE"/>
      </patternFill>
    </fill>
    <fill>
      <patternFill patternType="solid">
        <fgColor theme="0"/>
        <bgColor indexed="64"/>
      </patternFill>
    </fill>
    <fill>
      <patternFill patternType="solid">
        <fgColor theme="3"/>
        <bgColor indexed="64"/>
      </patternFill>
    </fill>
    <fill>
      <patternFill patternType="solid">
        <fgColor theme="4" tint="0.499984740745262"/>
        <bgColor indexed="64"/>
      </patternFill>
    </fill>
    <fill>
      <patternFill patternType="solid">
        <fgColor theme="4" tint="0.499984740745262"/>
        <bgColor rgb="FF00008E"/>
      </patternFill>
    </fill>
    <fill>
      <patternFill patternType="solid">
        <fgColor rgb="FFFFFF00"/>
        <bgColor rgb="FFFFC7CE"/>
      </patternFill>
    </fill>
    <fill>
      <patternFill patternType="solid">
        <fgColor rgb="FF00005A"/>
        <bgColor rgb="FF00005A"/>
      </patternFill>
    </fill>
    <fill>
      <patternFill patternType="solid">
        <fgColor theme="4" tint="0.59999389629810485"/>
        <bgColor theme="4" tint="0.59999389629810485"/>
      </patternFill>
    </fill>
    <fill>
      <patternFill patternType="solid">
        <fgColor theme="5" tint="0.79998168889431442"/>
        <bgColor theme="5" tint="0.79998168889431442"/>
      </patternFill>
    </fill>
    <fill>
      <patternFill patternType="solid">
        <fgColor theme="7" tint="0.79998168889431442"/>
        <bgColor theme="7" tint="0.79998168889431442"/>
      </patternFill>
    </fill>
    <fill>
      <patternFill patternType="solid">
        <fgColor theme="9" tint="0.79998168889431442"/>
        <bgColor theme="9" tint="0.79998168889431442"/>
      </patternFill>
    </fill>
    <fill>
      <patternFill patternType="solid">
        <fgColor theme="8" tint="0.79998168889431442"/>
        <bgColor theme="8" tint="0.79998168889431442"/>
      </patternFill>
    </fill>
    <fill>
      <patternFill patternType="solid">
        <fgColor theme="5" tint="0.59999389629810485"/>
        <bgColor theme="3" tint="0.39997558519241921"/>
      </patternFill>
    </fill>
    <fill>
      <patternFill patternType="solid">
        <fgColor rgb="FF00005A"/>
        <bgColor theme="0" tint="-0.14999847407452621"/>
      </patternFill>
    </fill>
    <fill>
      <patternFill patternType="solid">
        <fgColor theme="4"/>
        <bgColor rgb="FF92D050"/>
      </patternFill>
    </fill>
    <fill>
      <patternFill patternType="solid">
        <fgColor theme="6" tint="0.59999389629810485"/>
        <bgColor theme="6" tint="0.59999389629810485"/>
      </patternFill>
    </fill>
    <fill>
      <patternFill patternType="solid">
        <fgColor rgb="FF002060"/>
        <bgColor rgb="FF002060"/>
      </patternFill>
    </fill>
    <fill>
      <patternFill patternType="solid">
        <fgColor theme="5"/>
        <bgColor theme="5"/>
      </patternFill>
    </fill>
    <fill>
      <patternFill patternType="solid">
        <fgColor theme="7" tint="0.59999389629810485"/>
        <bgColor theme="7" tint="0.59999389629810485"/>
      </patternFill>
    </fill>
    <fill>
      <patternFill patternType="solid">
        <fgColor theme="5"/>
        <bgColor theme="3" tint="0.39997558519241921"/>
      </patternFill>
    </fill>
    <fill>
      <patternFill patternType="solid">
        <fgColor theme="4"/>
        <bgColor indexed="64"/>
      </patternFill>
    </fill>
    <fill>
      <patternFill patternType="solid">
        <fgColor theme="7" tint="0.59999389629810485"/>
        <bgColor rgb="FF00005A"/>
      </patternFill>
    </fill>
    <fill>
      <patternFill patternType="solid">
        <fgColor theme="9" tint="0.79998168889431442"/>
        <bgColor rgb="FF00005A"/>
      </patternFill>
    </fill>
    <fill>
      <patternFill patternType="solid">
        <fgColor theme="5"/>
        <bgColor rgb="FF00005A"/>
      </patternFill>
    </fill>
    <fill>
      <patternFill patternType="solid">
        <fgColor rgb="FF002060"/>
        <bgColor theme="0" tint="-0.14999847407452621"/>
      </patternFill>
    </fill>
    <fill>
      <patternFill patternType="solid">
        <fgColor rgb="FF002060"/>
        <bgColor rgb="FF92D050"/>
      </patternFill>
    </fill>
    <fill>
      <patternFill patternType="solid">
        <fgColor theme="0"/>
        <bgColor theme="7" tint="0.79998168889431442"/>
      </patternFill>
    </fill>
    <fill>
      <patternFill patternType="solid">
        <fgColor theme="1"/>
        <bgColor theme="1"/>
      </patternFill>
    </fill>
    <fill>
      <patternFill patternType="solid">
        <fgColor theme="6"/>
        <bgColor theme="3" tint="0.39997558519241921"/>
      </patternFill>
    </fill>
    <fill>
      <patternFill patternType="solid">
        <fgColor theme="6" tint="0.79998168889431442"/>
        <bgColor theme="0" tint="-0.14999847407452621"/>
      </patternFill>
    </fill>
    <fill>
      <patternFill patternType="solid">
        <fgColor theme="6" tint="0.79998168889431442"/>
        <bgColor indexed="64"/>
      </patternFill>
    </fill>
    <fill>
      <patternFill patternType="solid">
        <fgColor theme="6" tint="0.39997558519241921"/>
        <bgColor theme="3" tint="0.39997558519241921"/>
      </patternFill>
    </fill>
    <fill>
      <patternFill patternType="solid">
        <fgColor theme="6" tint="0.39997558519241921"/>
        <bgColor indexed="64"/>
      </patternFill>
    </fill>
    <fill>
      <patternFill patternType="solid">
        <fgColor theme="6"/>
        <bgColor indexed="64"/>
      </patternFill>
    </fill>
    <fill>
      <patternFill patternType="solid">
        <fgColor rgb="FF00B050"/>
        <bgColor rgb="FF00B050"/>
      </patternFill>
    </fill>
    <fill>
      <patternFill patternType="solid">
        <fgColor theme="6" tint="0.59999389629810485"/>
        <bgColor indexed="64"/>
      </patternFill>
    </fill>
    <fill>
      <patternFill patternType="solid">
        <fgColor theme="8" tint="0.39997558519241921"/>
        <bgColor theme="7" tint="0.79998168889431442"/>
      </patternFill>
    </fill>
    <fill>
      <patternFill patternType="solid">
        <fgColor theme="7" tint="0.39997558519241921"/>
        <bgColor theme="7" tint="0.59999389629810485"/>
      </patternFill>
    </fill>
    <fill>
      <patternFill patternType="solid">
        <fgColor theme="5"/>
        <bgColor theme="9" tint="0.79998168889431442"/>
      </patternFill>
    </fill>
    <fill>
      <patternFill patternType="solid">
        <fgColor theme="8" tint="0.39997558519241921"/>
        <bgColor theme="9" tint="0.79998168889431442"/>
      </patternFill>
    </fill>
    <fill>
      <patternFill patternType="solid">
        <fgColor theme="7" tint="0.39997558519241921"/>
        <bgColor theme="9" tint="0.79998168889431442"/>
      </patternFill>
    </fill>
    <fill>
      <patternFill patternType="solid">
        <fgColor theme="5"/>
        <bgColor indexed="64"/>
      </patternFill>
    </fill>
    <fill>
      <patternFill patternType="solid">
        <fgColor theme="7" tint="0.39997558519241921"/>
        <bgColor indexed="64"/>
      </patternFill>
    </fill>
    <fill>
      <patternFill patternType="solid">
        <fgColor theme="4"/>
        <bgColor rgb="FF002060"/>
      </patternFill>
    </fill>
    <fill>
      <patternFill patternType="solid">
        <fgColor theme="4"/>
        <bgColor theme="5" tint="0.39997558519241921"/>
      </patternFill>
    </fill>
    <fill>
      <patternFill patternType="solid">
        <fgColor theme="7"/>
        <bgColor rgb="FF00005A"/>
      </patternFill>
    </fill>
    <fill>
      <patternFill patternType="solid">
        <fgColor theme="7" tint="0.79998168889431442"/>
        <bgColor theme="6" tint="0.79998168889431442"/>
      </patternFill>
    </fill>
    <fill>
      <patternFill patternType="solid">
        <fgColor theme="6" tint="0.79998168889431442"/>
        <bgColor theme="5" tint="0.39997558519241921"/>
      </patternFill>
    </fill>
    <fill>
      <patternFill patternType="solid">
        <fgColor theme="5" tint="0.39997558519241921"/>
        <bgColor indexed="64"/>
      </patternFill>
    </fill>
    <fill>
      <patternFill patternType="solid">
        <fgColor theme="6" tint="0.79998168889431442"/>
        <bgColor rgb="FF92D050"/>
      </patternFill>
    </fill>
    <fill>
      <patternFill patternType="solid">
        <fgColor theme="9"/>
        <bgColor rgb="FF00005A"/>
      </patternFill>
    </fill>
    <fill>
      <patternFill patternType="solid">
        <fgColor theme="5" tint="0.79998168889431442"/>
        <bgColor indexed="64"/>
      </patternFill>
    </fill>
    <fill>
      <patternFill patternType="solid">
        <fgColor rgb="FF92D050"/>
        <bgColor indexed="64"/>
      </patternFill>
    </fill>
    <fill>
      <patternFill patternType="solid">
        <fgColor theme="5"/>
        <bgColor theme="7" tint="0.59999389629810485"/>
      </patternFill>
    </fill>
    <fill>
      <patternFill patternType="solid">
        <fgColor theme="3"/>
        <bgColor theme="4" tint="0.79998168889431442"/>
      </patternFill>
    </fill>
    <fill>
      <patternFill patternType="solid">
        <fgColor theme="4"/>
        <bgColor rgb="FF00008E"/>
      </patternFill>
    </fill>
    <fill>
      <patternFill patternType="solid">
        <fgColor theme="3"/>
        <bgColor rgb="FF92D050"/>
      </patternFill>
    </fill>
    <fill>
      <patternFill patternType="solid">
        <fgColor rgb="FF92D050"/>
        <bgColor rgb="FFFFC7CE"/>
      </patternFill>
    </fill>
    <fill>
      <patternFill patternType="solid">
        <fgColor rgb="FFFFFF00"/>
        <bgColor rgb="FFFFC000"/>
      </patternFill>
    </fill>
  </fills>
  <borders count="162">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top/>
      <bottom style="medium">
        <color auto="1"/>
      </bottom>
      <diagonal/>
    </border>
    <border>
      <left/>
      <right style="medium">
        <color auto="1"/>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thin">
        <color auto="1"/>
      </bottom>
      <diagonal/>
    </border>
    <border>
      <left/>
      <right/>
      <top style="thin">
        <color auto="1"/>
      </top>
      <bottom style="medium">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style="medium">
        <color auto="1"/>
      </right>
      <top style="medium">
        <color auto="1"/>
      </top>
      <bottom/>
      <diagonal/>
    </border>
    <border>
      <left style="medium">
        <color auto="1"/>
      </left>
      <right/>
      <top/>
      <bottom style="medium">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theme="1"/>
      </left>
      <right style="thin">
        <color theme="1"/>
      </right>
      <top style="thin">
        <color theme="1"/>
      </top>
      <bottom/>
      <diagonal/>
    </border>
    <border>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medium">
        <color indexed="64"/>
      </right>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right/>
      <top style="thin">
        <color theme="1"/>
      </top>
      <bottom/>
      <diagonal/>
    </border>
    <border>
      <left style="thin">
        <color auto="1"/>
      </left>
      <right/>
      <top style="thin">
        <color auto="1"/>
      </top>
      <bottom style="medium">
        <color indexed="64"/>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indexed="64"/>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indexed="64"/>
      </left>
      <right/>
      <top/>
      <bottom style="thin">
        <color theme="0"/>
      </bottom>
      <diagonal/>
    </border>
    <border>
      <left style="medium">
        <color auto="1"/>
      </left>
      <right style="thin">
        <color auto="1"/>
      </right>
      <top style="thin">
        <color auto="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thin">
        <color theme="0"/>
      </left>
      <right style="thin">
        <color theme="0"/>
      </right>
      <top style="medium">
        <color auto="1"/>
      </top>
      <bottom style="medium">
        <color auto="1"/>
      </bottom>
      <diagonal/>
    </border>
    <border>
      <left style="thin">
        <color theme="0"/>
      </left>
      <right/>
      <top style="medium">
        <color auto="1"/>
      </top>
      <bottom style="medium">
        <color auto="1"/>
      </bottom>
      <diagonal/>
    </border>
    <border>
      <left style="medium">
        <color theme="1"/>
      </left>
      <right style="thin">
        <color auto="1"/>
      </right>
      <top style="medium">
        <color theme="1"/>
      </top>
      <bottom style="thin">
        <color auto="1"/>
      </bottom>
      <diagonal/>
    </border>
    <border>
      <left style="medium">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style="medium">
        <color theme="1"/>
      </left>
      <right style="thin">
        <color auto="1"/>
      </right>
      <top style="thin">
        <color auto="1"/>
      </top>
      <bottom style="thin">
        <color auto="1"/>
      </bottom>
      <diagonal/>
    </border>
    <border>
      <left/>
      <right style="medium">
        <color theme="1"/>
      </right>
      <top style="thin">
        <color auto="1"/>
      </top>
      <bottom style="thin">
        <color auto="1"/>
      </bottom>
      <diagonal/>
    </border>
    <border>
      <left style="medium">
        <color theme="1"/>
      </left>
      <right style="thin">
        <color auto="1"/>
      </right>
      <top style="thin">
        <color auto="1"/>
      </top>
      <bottom style="medium">
        <color theme="1"/>
      </bottom>
      <diagonal/>
    </border>
    <border>
      <left style="medium">
        <color auto="1"/>
      </left>
      <right/>
      <top style="thin">
        <color auto="1"/>
      </top>
      <bottom style="medium">
        <color theme="1"/>
      </bottom>
      <diagonal/>
    </border>
    <border>
      <left/>
      <right/>
      <top style="thin">
        <color auto="1"/>
      </top>
      <bottom style="medium">
        <color theme="1"/>
      </bottom>
      <diagonal/>
    </border>
    <border>
      <left/>
      <right style="medium">
        <color theme="1"/>
      </right>
      <top style="thin">
        <color auto="1"/>
      </top>
      <bottom style="medium">
        <color theme="1"/>
      </bottom>
      <diagonal/>
    </border>
    <border>
      <left style="medium">
        <color theme="1"/>
      </left>
      <right style="thin">
        <color auto="1"/>
      </right>
      <top style="medium">
        <color theme="1"/>
      </top>
      <bottom/>
      <diagonal/>
    </border>
    <border>
      <left style="thin">
        <color auto="1"/>
      </left>
      <right style="thin">
        <color auto="1"/>
      </right>
      <top style="medium">
        <color theme="1"/>
      </top>
      <bottom/>
      <diagonal/>
    </border>
    <border>
      <left style="thin">
        <color auto="1"/>
      </left>
      <right style="medium">
        <color theme="1"/>
      </right>
      <top style="medium">
        <color theme="1"/>
      </top>
      <bottom/>
      <diagonal/>
    </border>
    <border>
      <left/>
      <right style="medium">
        <color theme="1"/>
      </right>
      <top/>
      <bottom style="medium">
        <color theme="1"/>
      </bottom>
      <diagonal/>
    </border>
    <border>
      <left/>
      <right style="medium">
        <color theme="1"/>
      </right>
      <top style="medium">
        <color theme="1"/>
      </top>
      <bottom style="medium">
        <color theme="1"/>
      </bottom>
      <diagonal/>
    </border>
    <border>
      <left style="medium">
        <color theme="1"/>
      </left>
      <right style="thin">
        <color theme="1"/>
      </right>
      <top style="thin">
        <color theme="1"/>
      </top>
      <bottom/>
      <diagonal/>
    </border>
    <border>
      <left style="thin">
        <color theme="1"/>
      </left>
      <right style="medium">
        <color theme="1"/>
      </right>
      <top style="thin">
        <color theme="1"/>
      </top>
      <bottom/>
      <diagonal/>
    </border>
    <border>
      <left style="medium">
        <color indexed="64"/>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right/>
      <top/>
      <bottom style="thin">
        <color auto="1"/>
      </bottom>
      <diagonal/>
    </border>
    <border>
      <left style="thin">
        <color auto="1"/>
      </left>
      <right style="medium">
        <color indexed="64"/>
      </right>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right style="thick">
        <color auto="1"/>
      </right>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theme="1"/>
      </left>
      <right style="thin">
        <color auto="1"/>
      </right>
      <top style="medium">
        <color theme="1"/>
      </top>
      <bottom style="medium">
        <color theme="1"/>
      </bottom>
      <diagonal/>
    </border>
    <border>
      <left style="thin">
        <color auto="1"/>
      </left>
      <right style="thin">
        <color auto="1"/>
      </right>
      <top style="medium">
        <color theme="1"/>
      </top>
      <bottom style="medium">
        <color theme="1"/>
      </bottom>
      <diagonal/>
    </border>
    <border>
      <left style="thin">
        <color auto="1"/>
      </left>
      <right style="medium">
        <color theme="1"/>
      </right>
      <top style="medium">
        <color theme="1"/>
      </top>
      <bottom style="medium">
        <color theme="1"/>
      </bottom>
      <diagonal/>
    </border>
    <border>
      <left style="medium">
        <color theme="1"/>
      </left>
      <right style="medium">
        <color theme="1"/>
      </right>
      <top style="thin">
        <color theme="1"/>
      </top>
      <bottom style="thin">
        <color theme="1"/>
      </bottom>
      <diagonal/>
    </border>
    <border>
      <left style="medium">
        <color theme="1"/>
      </left>
      <right/>
      <top style="medium">
        <color theme="1"/>
      </top>
      <bottom/>
      <diagonal/>
    </border>
    <border>
      <left style="medium">
        <color theme="1"/>
      </left>
      <right style="medium">
        <color theme="1"/>
      </right>
      <top style="medium">
        <color theme="1"/>
      </top>
      <bottom/>
      <diagonal/>
    </border>
    <border>
      <left style="medium">
        <color theme="1"/>
      </left>
      <right/>
      <top style="thin">
        <color theme="1"/>
      </top>
      <bottom style="thin">
        <color theme="1"/>
      </bottom>
      <diagonal/>
    </border>
    <border>
      <left style="medium">
        <color theme="1"/>
      </left>
      <right style="medium">
        <color theme="1"/>
      </right>
      <top/>
      <bottom style="thin">
        <color theme="1"/>
      </bottom>
      <diagonal/>
    </border>
    <border>
      <left style="medium">
        <color theme="1"/>
      </left>
      <right/>
      <top style="thin">
        <color theme="1"/>
      </top>
      <bottom/>
      <diagonal/>
    </border>
    <border>
      <left style="medium">
        <color theme="1"/>
      </left>
      <right/>
      <top style="medium">
        <color theme="1"/>
      </top>
      <bottom style="medium">
        <color theme="1"/>
      </bottom>
      <diagonal/>
    </border>
    <border>
      <left style="medium">
        <color theme="1"/>
      </left>
      <right style="medium">
        <color theme="1"/>
      </right>
      <top style="thin">
        <color theme="1"/>
      </top>
      <bottom/>
      <diagonal/>
    </border>
    <border>
      <left style="medium">
        <color indexed="64"/>
      </left>
      <right/>
      <top style="medium">
        <color indexed="64"/>
      </top>
      <bottom style="thin">
        <color theme="1"/>
      </bottom>
      <diagonal/>
    </border>
    <border>
      <left style="medium">
        <color indexed="64"/>
      </left>
      <right/>
      <top style="thin">
        <color theme="1"/>
      </top>
      <bottom style="thin">
        <color theme="1"/>
      </bottom>
      <diagonal/>
    </border>
    <border>
      <left style="medium">
        <color indexed="64"/>
      </left>
      <right/>
      <top style="thin">
        <color theme="1"/>
      </top>
      <bottom style="medium">
        <color indexed="64"/>
      </bottom>
      <diagonal/>
    </border>
    <border>
      <left style="medium">
        <color indexed="64"/>
      </left>
      <right style="medium">
        <color indexed="64"/>
      </right>
      <top style="medium">
        <color indexed="64"/>
      </top>
      <bottom style="thin">
        <color theme="1"/>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style="medium">
        <color indexed="64"/>
      </bottom>
      <diagonal/>
    </border>
    <border>
      <left/>
      <right style="thin">
        <color auto="1"/>
      </right>
      <top style="medium">
        <color indexed="64"/>
      </top>
      <bottom/>
      <diagonal/>
    </border>
    <border>
      <left style="thin">
        <color auto="1"/>
      </left>
      <right/>
      <top style="medium">
        <color indexed="64"/>
      </top>
      <bottom/>
      <diagonal/>
    </border>
    <border>
      <left/>
      <right/>
      <top style="thin">
        <color indexed="64"/>
      </top>
      <bottom/>
      <diagonal/>
    </border>
    <border>
      <left style="medium">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theme="1"/>
      </left>
      <right/>
      <top style="medium">
        <color theme="1"/>
      </top>
      <bottom style="medium">
        <color theme="1"/>
      </bottom>
      <diagonal/>
    </border>
    <border>
      <left/>
      <right/>
      <top style="medium">
        <color theme="1"/>
      </top>
      <bottom style="medium">
        <color theme="1"/>
      </bottom>
      <diagonal/>
    </border>
    <border>
      <left/>
      <right/>
      <top style="medium">
        <color theme="1"/>
      </top>
      <bottom style="thin">
        <color theme="1"/>
      </bottom>
      <diagonal/>
    </border>
    <border>
      <left style="thin">
        <color theme="1"/>
      </left>
      <right/>
      <top style="medium">
        <color theme="1"/>
      </top>
      <bottom style="thin">
        <color theme="1"/>
      </bottom>
      <diagonal/>
    </border>
    <border>
      <left style="medium">
        <color theme="1"/>
      </left>
      <right style="medium">
        <color theme="1"/>
      </right>
      <top/>
      <bottom style="medium">
        <color theme="1"/>
      </bottom>
      <diagonal/>
    </border>
    <border>
      <left/>
      <right/>
      <top style="thin">
        <color theme="1"/>
      </top>
      <bottom style="medium">
        <color theme="1"/>
      </bottom>
      <diagonal/>
    </border>
    <border>
      <left style="thin">
        <color theme="1"/>
      </left>
      <right/>
      <top style="thin">
        <color theme="1"/>
      </top>
      <bottom style="medium">
        <color theme="1"/>
      </bottom>
      <diagonal/>
    </border>
    <border>
      <left style="medium">
        <color theme="1"/>
      </left>
      <right style="medium">
        <color theme="1"/>
      </right>
      <top/>
      <bottom/>
      <diagonal/>
    </border>
    <border>
      <left style="medium">
        <color indexed="64"/>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medium">
        <color theme="1"/>
      </left>
      <right/>
      <top/>
      <bottom style="medium">
        <color theme="1"/>
      </bottom>
      <diagonal/>
    </border>
    <border>
      <left style="medium">
        <color theme="1"/>
      </left>
      <right style="thin">
        <color indexed="64"/>
      </right>
      <top style="medium">
        <color theme="1"/>
      </top>
      <bottom style="thin">
        <color theme="1"/>
      </bottom>
      <diagonal/>
    </border>
    <border>
      <left/>
      <right style="medium">
        <color auto="1"/>
      </right>
      <top/>
      <bottom style="medium">
        <color auto="1"/>
      </bottom>
      <diagonal/>
    </border>
    <border>
      <left/>
      <right style="medium">
        <color auto="1"/>
      </right>
      <top style="thin">
        <color auto="1"/>
      </top>
      <bottom/>
      <diagonal/>
    </border>
    <border>
      <left/>
      <right style="medium">
        <color indexed="64"/>
      </right>
      <top/>
      <bottom style="thin">
        <color auto="1"/>
      </bottom>
      <diagonal/>
    </border>
    <border>
      <left style="medium">
        <color theme="1"/>
      </left>
      <right style="thin">
        <color theme="1"/>
      </right>
      <top style="medium">
        <color theme="1"/>
      </top>
      <bottom/>
      <diagonal/>
    </border>
    <border>
      <left style="thin">
        <color theme="1"/>
      </left>
      <right style="medium">
        <color theme="1"/>
      </right>
      <top style="medium">
        <color theme="1"/>
      </top>
      <bottom/>
      <diagonal/>
    </border>
    <border>
      <left style="thin">
        <color theme="1"/>
      </left>
      <right/>
      <top style="medium">
        <color theme="1"/>
      </top>
      <bottom/>
      <diagonal/>
    </border>
    <border>
      <left style="medium">
        <color theme="1"/>
      </left>
      <right/>
      <top/>
      <bottom/>
      <diagonal/>
    </border>
    <border>
      <left/>
      <right/>
      <top/>
      <bottom style="thin">
        <color theme="1"/>
      </bottom>
      <diagonal/>
    </border>
    <border>
      <left/>
      <right style="medium">
        <color theme="1"/>
      </right>
      <top/>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top/>
      <bottom style="thin">
        <color auto="1"/>
      </bottom>
      <diagonal/>
    </border>
    <border>
      <left/>
      <right style="thin">
        <color auto="1"/>
      </right>
      <top/>
      <bottom style="medium">
        <color auto="1"/>
      </bottom>
      <diagonal/>
    </border>
    <border>
      <left style="thin">
        <color auto="1"/>
      </left>
      <right/>
      <top/>
      <bottom style="medium">
        <color indexed="64"/>
      </bottom>
      <diagonal/>
    </border>
    <border>
      <left/>
      <right/>
      <top style="dotted">
        <color rgb="FF999999"/>
      </top>
      <bottom style="dotted">
        <color rgb="FF999999"/>
      </bottom>
      <diagonal/>
    </border>
    <border>
      <left style="thin">
        <color indexed="64"/>
      </left>
      <right style="thin">
        <color indexed="64"/>
      </right>
      <top style="thin">
        <color theme="1"/>
      </top>
      <bottom style="thin">
        <color indexed="64"/>
      </bottom>
      <diagonal/>
    </border>
  </borders>
  <cellStyleXfs count="12">
    <xf numFmtId="0" fontId="0" fillId="0" borderId="0"/>
    <xf numFmtId="0" fontId="9" fillId="2" borderId="0" applyNumberFormat="0" applyBorder="0"/>
    <xf numFmtId="0" fontId="15" fillId="0" borderId="0" applyNumberFormat="0" applyFill="0" applyBorder="0" applyAlignment="0" applyProtection="0"/>
    <xf numFmtId="9" fontId="16" fillId="0" borderId="0" applyFont="0" applyFill="0" applyBorder="0" applyAlignment="0" applyProtection="0"/>
    <xf numFmtId="164" fontId="17" fillId="0" borderId="0" applyFont="0" applyFill="0" applyBorder="0" applyAlignment="0" applyProtection="0"/>
    <xf numFmtId="0" fontId="45" fillId="0" borderId="0"/>
    <xf numFmtId="0" fontId="7" fillId="0" borderId="0"/>
    <xf numFmtId="0" fontId="7" fillId="0" borderId="0"/>
    <xf numFmtId="0" fontId="8" fillId="0" borderId="0"/>
    <xf numFmtId="0" fontId="8" fillId="0" borderId="0"/>
    <xf numFmtId="0" fontId="6" fillId="0" borderId="0"/>
    <xf numFmtId="0" fontId="8" fillId="0" borderId="0"/>
  </cellStyleXfs>
  <cellXfs count="2373">
    <xf numFmtId="0" fontId="0" fillId="0" borderId="0" xfId="0"/>
    <xf numFmtId="0" fontId="11" fillId="0" borderId="0" xfId="0" applyFont="1" applyAlignment="1">
      <alignment horizontal="left" vertical="center"/>
    </xf>
    <xf numFmtId="0" fontId="12" fillId="0" borderId="0" xfId="0" applyFont="1" applyAlignment="1">
      <alignment vertical="center"/>
    </xf>
    <xf numFmtId="0" fontId="0" fillId="0" borderId="0" xfId="0" applyAlignment="1">
      <alignment horizontal="center"/>
    </xf>
    <xf numFmtId="0" fontId="13" fillId="0" borderId="0" xfId="0" applyFont="1" applyAlignment="1">
      <alignment vertical="center"/>
    </xf>
    <xf numFmtId="0" fontId="18" fillId="0" borderId="0" xfId="0" applyFont="1"/>
    <xf numFmtId="0" fontId="18" fillId="0" borderId="0" xfId="0" applyFont="1" applyAlignment="1">
      <alignment wrapText="1"/>
    </xf>
    <xf numFmtId="0" fontId="18" fillId="0" borderId="12" xfId="0" applyFont="1" applyBorder="1" applyAlignment="1">
      <alignment wrapText="1"/>
    </xf>
    <xf numFmtId="0" fontId="18" fillId="0" borderId="8" xfId="0" applyFont="1" applyBorder="1" applyAlignment="1">
      <alignment wrapText="1"/>
    </xf>
    <xf numFmtId="0" fontId="0" fillId="0" borderId="0" xfId="0" applyAlignment="1">
      <alignment vertical="center"/>
    </xf>
    <xf numFmtId="0" fontId="18" fillId="0" borderId="0" xfId="0" applyFont="1" applyAlignment="1">
      <alignment vertical="center"/>
    </xf>
    <xf numFmtId="0" fontId="25" fillId="0" borderId="0" xfId="0" applyFont="1" applyAlignment="1">
      <alignment vertical="center"/>
    </xf>
    <xf numFmtId="0" fontId="18" fillId="8" borderId="14" xfId="0" applyFont="1" applyFill="1" applyBorder="1" applyAlignment="1">
      <alignment vertical="center" wrapText="1"/>
    </xf>
    <xf numFmtId="0" fontId="18" fillId="8" borderId="24" xfId="0" applyFont="1" applyFill="1" applyBorder="1" applyAlignment="1">
      <alignment vertical="center" wrapText="1"/>
    </xf>
    <xf numFmtId="0" fontId="18" fillId="8" borderId="28" xfId="0" applyFont="1" applyFill="1" applyBorder="1" applyAlignment="1">
      <alignment vertical="center" wrapText="1"/>
    </xf>
    <xf numFmtId="0" fontId="20" fillId="0" borderId="47" xfId="0" applyFont="1" applyBorder="1" applyAlignment="1">
      <alignment horizontal="center" vertical="center"/>
    </xf>
    <xf numFmtId="0" fontId="20" fillId="0" borderId="41" xfId="0" applyFont="1" applyBorder="1" applyAlignment="1">
      <alignment horizontal="center" vertical="center"/>
    </xf>
    <xf numFmtId="0" fontId="18" fillId="0" borderId="37" xfId="0" applyFont="1" applyBorder="1" applyAlignment="1">
      <alignment horizontal="left" vertical="center"/>
    </xf>
    <xf numFmtId="0" fontId="18" fillId="0" borderId="37" xfId="0" applyFont="1" applyBorder="1" applyAlignment="1">
      <alignment horizontal="center" vertical="center"/>
    </xf>
    <xf numFmtId="0" fontId="20" fillId="0" borderId="4" xfId="0" applyFont="1" applyBorder="1" applyAlignment="1">
      <alignment horizontal="center" vertical="center"/>
    </xf>
    <xf numFmtId="0" fontId="18" fillId="0" borderId="4" xfId="0" applyFont="1" applyBorder="1" applyAlignment="1">
      <alignment horizontal="left" vertical="center"/>
    </xf>
    <xf numFmtId="0" fontId="27" fillId="0" borderId="4" xfId="0" applyFont="1" applyBorder="1" applyAlignment="1">
      <alignment horizontal="right" vertical="center"/>
    </xf>
    <xf numFmtId="0" fontId="18" fillId="0" borderId="4" xfId="0" applyFont="1" applyBorder="1" applyAlignment="1">
      <alignment vertical="center"/>
    </xf>
    <xf numFmtId="0" fontId="18" fillId="0" borderId="4" xfId="0" applyFont="1" applyBorder="1" applyAlignment="1">
      <alignment horizontal="right" vertical="center"/>
    </xf>
    <xf numFmtId="166" fontId="20" fillId="0" borderId="5" xfId="4" applyNumberFormat="1" applyFont="1" applyFill="1" applyBorder="1" applyAlignment="1">
      <alignment horizontal="center" vertical="center" wrapText="1"/>
    </xf>
    <xf numFmtId="166" fontId="20" fillId="0" borderId="6" xfId="4" applyNumberFormat="1" applyFont="1" applyFill="1" applyBorder="1" applyAlignment="1">
      <alignment horizontal="center" vertical="center" wrapText="1"/>
    </xf>
    <xf numFmtId="166" fontId="20" fillId="0" borderId="37" xfId="4" applyNumberFormat="1" applyFont="1" applyBorder="1" applyAlignment="1">
      <alignment horizontal="center" vertical="center"/>
    </xf>
    <xf numFmtId="166" fontId="20" fillId="0" borderId="37" xfId="4" applyNumberFormat="1" applyFont="1" applyFill="1" applyBorder="1" applyAlignment="1">
      <alignment horizontal="center" vertical="center" wrapText="1"/>
    </xf>
    <xf numFmtId="166" fontId="18" fillId="0" borderId="0" xfId="0" applyNumberFormat="1" applyFont="1"/>
    <xf numFmtId="166" fontId="18" fillId="0" borderId="0" xfId="4" applyNumberFormat="1" applyFont="1" applyAlignment="1">
      <alignment vertical="center"/>
    </xf>
    <xf numFmtId="0" fontId="18" fillId="0" borderId="0" xfId="0" quotePrefix="1" applyFont="1" applyAlignment="1">
      <alignment vertical="center"/>
    </xf>
    <xf numFmtId="0" fontId="28" fillId="0" borderId="0" xfId="0" applyFont="1" applyAlignment="1">
      <alignment vertical="center"/>
    </xf>
    <xf numFmtId="0" fontId="22" fillId="0" borderId="0" xfId="0" applyFont="1" applyAlignment="1">
      <alignment vertical="center"/>
    </xf>
    <xf numFmtId="0" fontId="28" fillId="0" borderId="37" xfId="0" applyFont="1" applyBorder="1" applyAlignment="1">
      <alignment vertical="center"/>
    </xf>
    <xf numFmtId="0" fontId="18" fillId="0" borderId="37" xfId="0" applyFont="1" applyBorder="1" applyAlignment="1">
      <alignment vertical="center"/>
    </xf>
    <xf numFmtId="0" fontId="21" fillId="0" borderId="0" xfId="0" applyFont="1" applyAlignment="1">
      <alignment vertical="center"/>
    </xf>
    <xf numFmtId="0" fontId="22" fillId="8" borderId="14" xfId="0" applyFont="1" applyFill="1" applyBorder="1" applyAlignment="1">
      <alignment vertical="center" wrapText="1"/>
    </xf>
    <xf numFmtId="0" fontId="22" fillId="8" borderId="24" xfId="0" applyFont="1" applyFill="1" applyBorder="1" applyAlignment="1">
      <alignment vertical="center" wrapText="1"/>
    </xf>
    <xf numFmtId="0" fontId="22" fillId="8" borderId="28" xfId="0" applyFont="1" applyFill="1" applyBorder="1" applyAlignment="1">
      <alignment vertical="center" wrapText="1"/>
    </xf>
    <xf numFmtId="0" fontId="20" fillId="0" borderId="0" xfId="0" applyFont="1"/>
    <xf numFmtId="0" fontId="18" fillId="0" borderId="37" xfId="0" applyFont="1" applyBorder="1"/>
    <xf numFmtId="0" fontId="20" fillId="0" borderId="37" xfId="0" applyFont="1" applyBorder="1" applyAlignment="1">
      <alignment horizontal="center" vertical="center"/>
    </xf>
    <xf numFmtId="0" fontId="20" fillId="0" borderId="37" xfId="0" applyFont="1" applyBorder="1" applyAlignment="1">
      <alignment vertical="center"/>
    </xf>
    <xf numFmtId="0" fontId="31" fillId="0" borderId="0" xfId="0" applyFont="1"/>
    <xf numFmtId="0" fontId="21" fillId="0" borderId="0" xfId="0" applyFont="1"/>
    <xf numFmtId="166" fontId="18" fillId="0" borderId="37" xfId="4" applyNumberFormat="1" applyFont="1" applyFill="1" applyBorder="1" applyAlignment="1">
      <alignment vertical="center"/>
    </xf>
    <xf numFmtId="166" fontId="20" fillId="0" borderId="37" xfId="4" applyNumberFormat="1" applyFont="1" applyFill="1" applyBorder="1" applyAlignment="1">
      <alignment vertical="center"/>
    </xf>
    <xf numFmtId="0" fontId="20" fillId="0" borderId="37" xfId="0" applyFont="1" applyBorder="1" applyAlignment="1">
      <alignment horizontal="center" vertical="center" wrapText="1"/>
    </xf>
    <xf numFmtId="0" fontId="22" fillId="0" borderId="8" xfId="0" applyFont="1" applyBorder="1" applyAlignment="1">
      <alignment vertical="center"/>
    </xf>
    <xf numFmtId="0" fontId="22" fillId="0" borderId="8" xfId="0" applyFont="1" applyBorder="1" applyAlignment="1">
      <alignment horizontal="left" vertical="center"/>
    </xf>
    <xf numFmtId="0" fontId="22" fillId="0" borderId="0" xfId="0" applyFont="1" applyAlignment="1">
      <alignment horizontal="left" vertical="center"/>
    </xf>
    <xf numFmtId="0" fontId="33" fillId="0" borderId="0" xfId="0" applyFont="1" applyAlignment="1">
      <alignment vertical="center"/>
    </xf>
    <xf numFmtId="9" fontId="21" fillId="0" borderId="0" xfId="0" applyNumberFormat="1" applyFont="1" applyAlignment="1">
      <alignment vertical="center"/>
    </xf>
    <xf numFmtId="166" fontId="18" fillId="0" borderId="37" xfId="4" applyNumberFormat="1" applyFont="1" applyBorder="1" applyAlignment="1">
      <alignment vertical="center"/>
    </xf>
    <xf numFmtId="166" fontId="20" fillId="0" borderId="37" xfId="4" applyNumberFormat="1" applyFont="1" applyBorder="1" applyAlignment="1">
      <alignment vertical="center"/>
    </xf>
    <xf numFmtId="0" fontId="18" fillId="0" borderId="0" xfId="0" quotePrefix="1" applyFont="1"/>
    <xf numFmtId="0" fontId="18" fillId="0" borderId="37" xfId="0" applyFont="1" applyBorder="1" applyAlignment="1">
      <alignment vertical="center" wrapText="1"/>
    </xf>
    <xf numFmtId="0" fontId="18" fillId="0" borderId="0" xfId="0" applyFont="1" applyAlignment="1">
      <alignment horizontal="left" vertical="center"/>
    </xf>
    <xf numFmtId="0" fontId="18" fillId="8" borderId="24" xfId="0" applyFont="1" applyFill="1" applyBorder="1" applyAlignment="1">
      <alignment vertical="center"/>
    </xf>
    <xf numFmtId="0" fontId="18" fillId="8" borderId="28" xfId="0" applyFont="1" applyFill="1" applyBorder="1" applyAlignment="1">
      <alignment vertical="center"/>
    </xf>
    <xf numFmtId="166" fontId="20" fillId="0" borderId="4" xfId="4" applyNumberFormat="1" applyFont="1" applyBorder="1" applyAlignment="1">
      <alignment horizontal="center" vertical="center"/>
    </xf>
    <xf numFmtId="166" fontId="18" fillId="0" borderId="7" xfId="4" applyNumberFormat="1" applyFont="1" applyBorder="1" applyAlignment="1">
      <alignment vertical="center" wrapText="1"/>
    </xf>
    <xf numFmtId="166" fontId="18" fillId="0" borderId="6" xfId="4" applyNumberFormat="1" applyFont="1" applyBorder="1" applyAlignment="1">
      <alignment vertical="center" wrapText="1"/>
    </xf>
    <xf numFmtId="166" fontId="18" fillId="0" borderId="37" xfId="4" quotePrefix="1" applyNumberFormat="1" applyFont="1" applyBorder="1" applyAlignment="1">
      <alignment vertical="center"/>
    </xf>
    <xf numFmtId="0" fontId="20" fillId="0" borderId="37" xfId="0" applyFont="1" applyBorder="1" applyAlignment="1">
      <alignment horizontal="left" vertical="center" wrapText="1"/>
    </xf>
    <xf numFmtId="0" fontId="20" fillId="0" borderId="0" xfId="0" applyFont="1" applyAlignment="1">
      <alignment vertical="center"/>
    </xf>
    <xf numFmtId="0" fontId="26" fillId="0" borderId="0" xfId="0" applyFont="1" applyAlignment="1">
      <alignment vertical="center"/>
    </xf>
    <xf numFmtId="166" fontId="18" fillId="0" borderId="0" xfId="0" applyNumberFormat="1" applyFont="1" applyAlignment="1">
      <alignment vertical="center"/>
    </xf>
    <xf numFmtId="0" fontId="34" fillId="0" borderId="37" xfId="0" applyFont="1" applyBorder="1"/>
    <xf numFmtId="164" fontId="18" fillId="0" borderId="37" xfId="4" applyFont="1" applyBorder="1" applyAlignment="1">
      <alignment horizontal="center" vertical="center"/>
    </xf>
    <xf numFmtId="166" fontId="20" fillId="0" borderId="0" xfId="4" applyNumberFormat="1" applyFont="1" applyFill="1" applyBorder="1" applyAlignment="1">
      <alignment vertical="center"/>
    </xf>
    <xf numFmtId="0" fontId="18" fillId="0" borderId="0" xfId="0" applyFont="1" applyAlignment="1">
      <alignment vertical="center" wrapText="1"/>
    </xf>
    <xf numFmtId="164" fontId="18" fillId="0" borderId="40" xfId="4" applyFont="1" applyBorder="1" applyAlignment="1">
      <alignment horizontal="center" vertical="center"/>
    </xf>
    <xf numFmtId="166" fontId="18" fillId="0" borderId="37" xfId="4" applyNumberFormat="1" applyFont="1" applyBorder="1" applyAlignment="1">
      <alignment horizontal="center" vertical="center"/>
    </xf>
    <xf numFmtId="0" fontId="0" fillId="0" borderId="37" xfId="0" applyBorder="1"/>
    <xf numFmtId="166" fontId="18" fillId="0" borderId="37" xfId="4" applyNumberFormat="1" applyFont="1" applyFill="1" applyBorder="1" applyAlignment="1">
      <alignment vertical="center" wrapText="1"/>
    </xf>
    <xf numFmtId="9" fontId="18" fillId="0" borderId="37" xfId="3" applyFont="1" applyBorder="1" applyAlignment="1">
      <alignment horizontal="center" vertical="center"/>
    </xf>
    <xf numFmtId="0" fontId="14" fillId="0" borderId="37" xfId="0" applyFont="1" applyBorder="1" applyAlignment="1">
      <alignment vertical="center"/>
    </xf>
    <xf numFmtId="0" fontId="27" fillId="0" borderId="37" xfId="0" applyFont="1" applyBorder="1" applyAlignment="1">
      <alignment vertical="center"/>
    </xf>
    <xf numFmtId="2" fontId="27" fillId="0" borderId="37" xfId="0" applyNumberFormat="1" applyFont="1" applyBorder="1" applyAlignment="1">
      <alignment vertical="center"/>
    </xf>
    <xf numFmtId="2" fontId="18" fillId="0" borderId="37" xfId="0" applyNumberFormat="1" applyFont="1" applyBorder="1" applyAlignment="1">
      <alignment vertical="center"/>
    </xf>
    <xf numFmtId="0" fontId="36" fillId="0" borderId="0" xfId="0" applyFont="1" applyAlignment="1">
      <alignment vertical="center"/>
    </xf>
    <xf numFmtId="0" fontId="22" fillId="0" borderId="0" xfId="0" quotePrefix="1" applyFont="1" applyAlignment="1">
      <alignment vertical="center"/>
    </xf>
    <xf numFmtId="166" fontId="20" fillId="0" borderId="37" xfId="4" applyNumberFormat="1" applyFont="1" applyBorder="1" applyAlignment="1">
      <alignment vertical="center" wrapText="1"/>
    </xf>
    <xf numFmtId="0" fontId="20" fillId="0" borderId="40" xfId="0" applyFont="1" applyBorder="1" applyAlignment="1">
      <alignment vertical="center" wrapText="1"/>
    </xf>
    <xf numFmtId="0" fontId="28" fillId="0" borderId="37" xfId="0" quotePrefix="1" applyFont="1" applyBorder="1" applyAlignment="1">
      <alignment vertical="top" wrapText="1"/>
    </xf>
    <xf numFmtId="0" fontId="20" fillId="0" borderId="3" xfId="0" applyFont="1" applyBorder="1" applyAlignment="1">
      <alignment vertical="center"/>
    </xf>
    <xf numFmtId="166" fontId="20" fillId="0" borderId="3" xfId="4" applyNumberFormat="1" applyFont="1" applyBorder="1" applyAlignment="1">
      <alignment vertical="center" wrapText="1"/>
    </xf>
    <xf numFmtId="166" fontId="20" fillId="0" borderId="47" xfId="4" applyNumberFormat="1" applyFont="1" applyFill="1" applyBorder="1" applyAlignment="1">
      <alignment horizontal="center" vertical="center" wrapText="1"/>
    </xf>
    <xf numFmtId="166" fontId="20" fillId="0" borderId="3" xfId="0" applyNumberFormat="1" applyFont="1" applyBorder="1" applyAlignment="1">
      <alignment vertical="center"/>
    </xf>
    <xf numFmtId="166" fontId="18" fillId="0" borderId="37" xfId="4" applyNumberFormat="1" applyFont="1" applyBorder="1" applyAlignment="1">
      <alignment horizontal="center" vertical="center" wrapText="1"/>
    </xf>
    <xf numFmtId="0" fontId="39" fillId="0" borderId="0" xfId="2" applyFont="1" applyAlignment="1">
      <alignment vertical="center"/>
    </xf>
    <xf numFmtId="0" fontId="28" fillId="0" borderId="37" xfId="0" quotePrefix="1" applyFont="1" applyBorder="1" applyAlignment="1">
      <alignment vertical="center" wrapText="1"/>
    </xf>
    <xf numFmtId="0" fontId="18" fillId="0" borderId="37" xfId="0" applyFont="1" applyBorder="1" applyAlignment="1">
      <alignment horizontal="center" vertical="center" wrapText="1"/>
    </xf>
    <xf numFmtId="166" fontId="18" fillId="0" borderId="37" xfId="4" applyNumberFormat="1" applyFont="1" applyFill="1" applyBorder="1" applyAlignment="1">
      <alignment horizontal="center" vertical="center" wrapText="1"/>
    </xf>
    <xf numFmtId="0" fontId="18" fillId="0" borderId="0" xfId="0" applyFont="1" applyAlignment="1">
      <alignment horizontal="center" vertical="center"/>
    </xf>
    <xf numFmtId="9" fontId="18" fillId="0" borderId="37" xfId="3" applyFont="1" applyBorder="1" applyAlignment="1">
      <alignment vertical="center"/>
    </xf>
    <xf numFmtId="166" fontId="40" fillId="0" borderId="37" xfId="4" applyNumberFormat="1" applyFont="1" applyBorder="1" applyAlignment="1">
      <alignment horizontal="center" vertical="center" wrapText="1"/>
    </xf>
    <xf numFmtId="166" fontId="20" fillId="0" borderId="37" xfId="4" applyNumberFormat="1" applyFont="1" applyBorder="1" applyAlignment="1">
      <alignment horizontal="center" vertical="center" wrapText="1"/>
    </xf>
    <xf numFmtId="166" fontId="18" fillId="0" borderId="37" xfId="0" applyNumberFormat="1" applyFont="1" applyBorder="1" applyAlignment="1">
      <alignment vertical="center"/>
    </xf>
    <xf numFmtId="0" fontId="20" fillId="0" borderId="12" xfId="0" applyFont="1" applyBorder="1" applyAlignment="1">
      <alignment wrapText="1"/>
    </xf>
    <xf numFmtId="0" fontId="20" fillId="0" borderId="0" xfId="0" applyFont="1" applyAlignment="1">
      <alignment horizontal="center" wrapText="1"/>
    </xf>
    <xf numFmtId="166" fontId="18" fillId="0" borderId="0" xfId="0" applyNumberFormat="1" applyFont="1" applyAlignment="1">
      <alignment wrapText="1"/>
    </xf>
    <xf numFmtId="0" fontId="28" fillId="0" borderId="0" xfId="0" applyFont="1"/>
    <xf numFmtId="0" fontId="26" fillId="0" borderId="0" xfId="0" applyFont="1" applyAlignment="1">
      <alignment vertical="center" wrapText="1"/>
    </xf>
    <xf numFmtId="0" fontId="20" fillId="0" borderId="0" xfId="0" applyFont="1" applyAlignment="1">
      <alignment vertical="center" wrapText="1"/>
    </xf>
    <xf numFmtId="0" fontId="18" fillId="0" borderId="0" xfId="0" applyFont="1" applyAlignment="1">
      <alignment horizontal="center" vertical="center" wrapText="1"/>
    </xf>
    <xf numFmtId="0" fontId="26" fillId="0" borderId="37" xfId="0" applyFont="1" applyBorder="1" applyAlignment="1">
      <alignment horizontal="center" vertical="center" wrapText="1"/>
    </xf>
    <xf numFmtId="0" fontId="18" fillId="0" borderId="47" xfId="4" applyNumberFormat="1" applyFont="1" applyBorder="1" applyAlignment="1">
      <alignment vertical="center" wrapText="1"/>
    </xf>
    <xf numFmtId="0" fontId="18" fillId="0" borderId="42" xfId="0" applyFont="1" applyBorder="1" applyAlignment="1">
      <alignment vertical="center"/>
    </xf>
    <xf numFmtId="166" fontId="18" fillId="0" borderId="37" xfId="4" applyNumberFormat="1" applyFont="1" applyFill="1" applyBorder="1" applyAlignment="1">
      <alignment horizontal="center" vertical="center"/>
    </xf>
    <xf numFmtId="9" fontId="18" fillId="0" borderId="37" xfId="3" applyFont="1" applyFill="1" applyBorder="1" applyAlignment="1">
      <alignment horizontal="center" vertical="center"/>
    </xf>
    <xf numFmtId="0" fontId="20" fillId="0" borderId="37" xfId="0" applyFont="1" applyBorder="1" applyAlignment="1">
      <alignment vertical="center" wrapText="1"/>
    </xf>
    <xf numFmtId="0" fontId="20" fillId="11" borderId="37" xfId="0" applyFont="1" applyFill="1" applyBorder="1" applyAlignment="1">
      <alignment horizontal="center" vertical="center"/>
    </xf>
    <xf numFmtId="0" fontId="20" fillId="11" borderId="40" xfId="0" applyFont="1" applyFill="1" applyBorder="1" applyAlignment="1">
      <alignment horizontal="center" vertical="center"/>
    </xf>
    <xf numFmtId="0" fontId="18" fillId="11" borderId="5" xfId="0" applyFont="1" applyFill="1" applyBorder="1" applyAlignment="1">
      <alignment horizontal="left" vertical="center"/>
    </xf>
    <xf numFmtId="0" fontId="18" fillId="11" borderId="37" xfId="0" applyFont="1" applyFill="1" applyBorder="1" applyAlignment="1">
      <alignment vertical="center"/>
    </xf>
    <xf numFmtId="0" fontId="10" fillId="0" borderId="37" xfId="0" applyFont="1" applyBorder="1" applyAlignment="1">
      <alignment vertical="center"/>
    </xf>
    <xf numFmtId="164" fontId="18" fillId="0" borderId="37" xfId="4" applyFont="1" applyFill="1" applyBorder="1" applyAlignment="1">
      <alignment horizontal="center" vertical="center"/>
    </xf>
    <xf numFmtId="0" fontId="26" fillId="11" borderId="37" xfId="0" applyFont="1" applyFill="1" applyBorder="1" applyAlignment="1">
      <alignment horizontal="center" vertical="center"/>
    </xf>
    <xf numFmtId="0" fontId="18" fillId="11" borderId="47" xfId="0" applyFont="1" applyFill="1" applyBorder="1" applyAlignment="1">
      <alignment vertical="center"/>
    </xf>
    <xf numFmtId="0" fontId="10" fillId="0" borderId="0" xfId="0" applyFont="1" applyAlignment="1">
      <alignment vertical="center"/>
    </xf>
    <xf numFmtId="166" fontId="10" fillId="0" borderId="37" xfId="4" applyNumberFormat="1" applyFont="1" applyFill="1" applyBorder="1" applyAlignment="1">
      <alignment vertical="center"/>
    </xf>
    <xf numFmtId="166" fontId="10" fillId="0" borderId="0" xfId="4" applyNumberFormat="1" applyFont="1" applyFill="1" applyBorder="1" applyAlignment="1">
      <alignment vertical="center"/>
    </xf>
    <xf numFmtId="166" fontId="20" fillId="0" borderId="0" xfId="4" applyNumberFormat="1" applyFont="1" applyFill="1" applyBorder="1" applyAlignment="1">
      <alignment horizontal="center" vertical="center" wrapText="1"/>
    </xf>
    <xf numFmtId="0" fontId="20" fillId="0" borderId="37" xfId="0" quotePrefix="1" applyFont="1" applyBorder="1" applyAlignment="1">
      <alignment horizontal="center" vertical="center"/>
    </xf>
    <xf numFmtId="0" fontId="18" fillId="0" borderId="37" xfId="0" quotePrefix="1" applyFont="1" applyBorder="1" applyAlignment="1">
      <alignment horizontal="left" vertical="center"/>
    </xf>
    <xf numFmtId="167" fontId="18" fillId="0" borderId="37" xfId="4" quotePrefix="1" applyNumberFormat="1" applyFont="1" applyBorder="1" applyAlignment="1">
      <alignment horizontal="left" vertical="center"/>
    </xf>
    <xf numFmtId="166" fontId="20" fillId="0" borderId="15" xfId="4" applyNumberFormat="1" applyFont="1" applyFill="1" applyBorder="1" applyAlignment="1">
      <alignment vertical="center" wrapText="1"/>
    </xf>
    <xf numFmtId="0" fontId="20" fillId="0" borderId="16" xfId="0" applyFont="1" applyBorder="1" applyAlignment="1">
      <alignment vertical="center" wrapText="1"/>
    </xf>
    <xf numFmtId="3" fontId="20" fillId="0" borderId="46" xfId="0" applyNumberFormat="1" applyFont="1" applyBorder="1" applyAlignment="1">
      <alignment vertical="center" wrapText="1"/>
    </xf>
    <xf numFmtId="3" fontId="20" fillId="0" borderId="15" xfId="0" applyNumberFormat="1" applyFont="1" applyBorder="1" applyAlignment="1">
      <alignment vertical="center" wrapText="1"/>
    </xf>
    <xf numFmtId="9" fontId="20" fillId="0" borderId="37" xfId="3" applyFont="1" applyFill="1" applyBorder="1" applyAlignment="1">
      <alignment vertical="center"/>
    </xf>
    <xf numFmtId="166" fontId="20" fillId="0" borderId="15" xfId="4" applyNumberFormat="1" applyFont="1" applyBorder="1" applyAlignment="1">
      <alignment vertical="center"/>
    </xf>
    <xf numFmtId="0" fontId="20" fillId="0" borderId="38" xfId="0" applyFont="1" applyBorder="1" applyAlignment="1">
      <alignment vertical="center"/>
    </xf>
    <xf numFmtId="166" fontId="0" fillId="0" borderId="37" xfId="4" applyNumberFormat="1" applyFont="1" applyFill="1" applyBorder="1" applyAlignment="1">
      <alignment vertical="center"/>
    </xf>
    <xf numFmtId="166" fontId="42" fillId="0" borderId="3" xfId="4" applyNumberFormat="1" applyFont="1" applyFill="1" applyBorder="1" applyAlignment="1">
      <alignment horizontal="right" vertical="center" wrapText="1"/>
    </xf>
    <xf numFmtId="0" fontId="42" fillId="0" borderId="0" xfId="0" applyFont="1"/>
    <xf numFmtId="0" fontId="29" fillId="6" borderId="15" xfId="0" applyFont="1" applyFill="1" applyBorder="1" applyAlignment="1">
      <alignment horizontal="center" vertical="center" wrapText="1"/>
    </xf>
    <xf numFmtId="0" fontId="29" fillId="6" borderId="22" xfId="0" applyFont="1" applyFill="1" applyBorder="1" applyAlignment="1">
      <alignment horizontal="center" vertical="center" wrapText="1"/>
    </xf>
    <xf numFmtId="166" fontId="18" fillId="0" borderId="0" xfId="4" applyNumberFormat="1" applyFont="1" applyBorder="1" applyAlignment="1">
      <alignment vertical="center"/>
    </xf>
    <xf numFmtId="0" fontId="18" fillId="0" borderId="35" xfId="0" applyFont="1" applyBorder="1" applyAlignment="1">
      <alignment vertical="center" wrapText="1"/>
    </xf>
    <xf numFmtId="0" fontId="46" fillId="6" borderId="14" xfId="0" applyFont="1" applyFill="1" applyBorder="1" applyAlignment="1">
      <alignment horizontal="center" vertical="center" wrapText="1"/>
    </xf>
    <xf numFmtId="0" fontId="46" fillId="6" borderId="24" xfId="0" applyFont="1" applyFill="1" applyBorder="1" applyAlignment="1">
      <alignment horizontal="center" vertical="center" wrapText="1"/>
    </xf>
    <xf numFmtId="0" fontId="46" fillId="6" borderId="28" xfId="0" applyFont="1" applyFill="1" applyBorder="1" applyAlignment="1">
      <alignment horizontal="center" vertical="center" wrapText="1"/>
    </xf>
    <xf numFmtId="0" fontId="18" fillId="0" borderId="40" xfId="0" applyFont="1" applyBorder="1" applyAlignment="1">
      <alignment vertical="center" wrapText="1"/>
    </xf>
    <xf numFmtId="0" fontId="18" fillId="0" borderId="37" xfId="0" applyFont="1" applyBorder="1" applyAlignment="1">
      <alignment wrapText="1"/>
    </xf>
    <xf numFmtId="0" fontId="28" fillId="0" borderId="40" xfId="0" applyFont="1" applyBorder="1" applyAlignment="1">
      <alignment horizontal="right" vertical="center" wrapText="1"/>
    </xf>
    <xf numFmtId="166" fontId="28" fillId="0" borderId="37" xfId="4" applyNumberFormat="1" applyFont="1" applyFill="1" applyBorder="1" applyAlignment="1">
      <alignment vertical="center" wrapText="1"/>
    </xf>
    <xf numFmtId="0" fontId="28" fillId="0" borderId="37" xfId="0" applyFont="1" applyBorder="1" applyAlignment="1">
      <alignment wrapText="1"/>
    </xf>
    <xf numFmtId="0" fontId="18" fillId="0" borderId="40" xfId="4" applyNumberFormat="1" applyFont="1" applyFill="1" applyBorder="1" applyAlignment="1">
      <alignment vertical="center" wrapText="1"/>
    </xf>
    <xf numFmtId="0" fontId="18" fillId="0" borderId="40" xfId="4" applyNumberFormat="1" applyFont="1" applyFill="1" applyBorder="1" applyAlignment="1">
      <alignment vertical="center"/>
    </xf>
    <xf numFmtId="0" fontId="28" fillId="0" borderId="0" xfId="0" quotePrefix="1" applyFont="1" applyAlignment="1">
      <alignment vertical="center"/>
    </xf>
    <xf numFmtId="166" fontId="20" fillId="0" borderId="7" xfId="4" applyNumberFormat="1" applyFont="1" applyFill="1" applyBorder="1" applyAlignment="1">
      <alignment horizontal="center" vertical="center" wrapText="1"/>
    </xf>
    <xf numFmtId="0" fontId="46" fillId="6" borderId="17" xfId="0" applyFont="1" applyFill="1" applyBorder="1" applyAlignment="1">
      <alignment horizontal="center" vertical="center" wrapText="1"/>
    </xf>
    <xf numFmtId="0" fontId="46" fillId="6" borderId="25" xfId="0" applyFont="1" applyFill="1" applyBorder="1" applyAlignment="1">
      <alignment horizontal="center" vertical="center" wrapText="1"/>
    </xf>
    <xf numFmtId="0" fontId="46" fillId="6" borderId="29" xfId="0" applyFont="1" applyFill="1" applyBorder="1" applyAlignment="1">
      <alignment horizontal="center" vertical="center" wrapText="1"/>
    </xf>
    <xf numFmtId="9" fontId="18" fillId="0" borderId="37" xfId="3" applyFont="1" applyFill="1" applyBorder="1" applyAlignment="1">
      <alignment horizontal="center" vertical="center" wrapText="1"/>
    </xf>
    <xf numFmtId="0" fontId="24" fillId="0" borderId="0" xfId="0" applyFont="1" applyAlignment="1">
      <alignment vertical="center"/>
    </xf>
    <xf numFmtId="0" fontId="36" fillId="0" borderId="37" xfId="0" applyFont="1" applyBorder="1" applyAlignment="1">
      <alignment vertical="center"/>
    </xf>
    <xf numFmtId="0" fontId="35" fillId="0" borderId="37" xfId="0" applyFont="1" applyBorder="1" applyAlignment="1">
      <alignment vertical="center"/>
    </xf>
    <xf numFmtId="164" fontId="35" fillId="0" borderId="37" xfId="4" applyFont="1" applyBorder="1" applyAlignment="1">
      <alignment vertical="center"/>
    </xf>
    <xf numFmtId="164" fontId="35" fillId="0" borderId="37" xfId="0" applyNumberFormat="1" applyFont="1" applyBorder="1" applyAlignment="1">
      <alignment vertical="center"/>
    </xf>
    <xf numFmtId="0" fontId="35" fillId="0" borderId="0" xfId="0" applyFont="1" applyAlignment="1">
      <alignment vertical="center"/>
    </xf>
    <xf numFmtId="166" fontId="20" fillId="0" borderId="55" xfId="4" applyNumberFormat="1" applyFont="1" applyFill="1" applyBorder="1" applyAlignment="1">
      <alignment horizontal="center" vertical="center" wrapText="1"/>
    </xf>
    <xf numFmtId="166" fontId="18" fillId="0" borderId="40" xfId="4" applyNumberFormat="1" applyFont="1" applyFill="1" applyBorder="1" applyAlignment="1">
      <alignment vertical="center" wrapText="1"/>
    </xf>
    <xf numFmtId="0" fontId="40" fillId="0" borderId="35" xfId="0" applyFont="1" applyBorder="1" applyAlignment="1">
      <alignment horizontal="right" vertical="center" wrapText="1"/>
    </xf>
    <xf numFmtId="0" fontId="20" fillId="0" borderId="35" xfId="0" applyFont="1" applyBorder="1" applyAlignment="1">
      <alignment horizontal="center" vertical="center" wrapText="1"/>
    </xf>
    <xf numFmtId="0" fontId="18" fillId="0" borderId="5" xfId="0" applyFont="1" applyBorder="1" applyAlignment="1">
      <alignment horizontal="left" vertical="center"/>
    </xf>
    <xf numFmtId="0" fontId="48" fillId="6" borderId="14"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28" xfId="0" applyFont="1" applyFill="1" applyBorder="1" applyAlignment="1">
      <alignment horizontal="center" vertical="center" wrapText="1"/>
    </xf>
    <xf numFmtId="0" fontId="51" fillId="0" borderId="37" xfId="0" applyFont="1" applyBorder="1" applyAlignment="1">
      <alignment horizontal="center" vertical="center"/>
    </xf>
    <xf numFmtId="0" fontId="46" fillId="6" borderId="24" xfId="0" applyFont="1" applyFill="1" applyBorder="1" applyAlignment="1">
      <alignment horizontal="center" vertical="center"/>
    </xf>
    <xf numFmtId="0" fontId="46" fillId="6" borderId="28" xfId="0" applyFont="1" applyFill="1" applyBorder="1" applyAlignment="1">
      <alignment horizontal="center" vertical="center"/>
    </xf>
    <xf numFmtId="3" fontId="21" fillId="0" borderId="15" xfId="0" applyNumberFormat="1" applyFont="1" applyBorder="1" applyAlignment="1">
      <alignment vertical="center" wrapText="1"/>
    </xf>
    <xf numFmtId="0" fontId="21" fillId="0" borderId="16" xfId="0" applyFont="1" applyBorder="1" applyAlignment="1">
      <alignment vertical="center" wrapText="1"/>
    </xf>
    <xf numFmtId="0" fontId="18" fillId="0" borderId="0" xfId="0" applyFont="1" applyAlignment="1">
      <alignment horizontal="left" vertical="center" wrapText="1"/>
    </xf>
    <xf numFmtId="0" fontId="20" fillId="0" borderId="49" xfId="0" applyFont="1" applyBorder="1" applyAlignment="1">
      <alignment horizontal="center" vertical="center"/>
    </xf>
    <xf numFmtId="166" fontId="18" fillId="0" borderId="37" xfId="0" applyNumberFormat="1" applyFont="1" applyBorder="1" applyAlignment="1">
      <alignment horizontal="center" vertical="center"/>
    </xf>
    <xf numFmtId="166" fontId="20" fillId="0" borderId="3" xfId="4" applyNumberFormat="1" applyFont="1" applyFill="1" applyBorder="1" applyAlignment="1">
      <alignment vertical="center" wrapText="1"/>
    </xf>
    <xf numFmtId="9" fontId="18" fillId="0" borderId="0" xfId="3" applyFont="1" applyFill="1" applyBorder="1" applyAlignment="1">
      <alignment horizontal="center" vertical="center"/>
    </xf>
    <xf numFmtId="0" fontId="28" fillId="0" borderId="0" xfId="0" quotePrefix="1" applyFont="1" applyAlignment="1">
      <alignment vertical="top" wrapText="1"/>
    </xf>
    <xf numFmtId="167" fontId="18" fillId="0" borderId="37" xfId="4" applyNumberFormat="1" applyFont="1" applyFill="1" applyBorder="1" applyAlignment="1">
      <alignment vertical="center"/>
    </xf>
    <xf numFmtId="166" fontId="20" fillId="0" borderId="37" xfId="4" applyNumberFormat="1" applyFont="1" applyFill="1" applyBorder="1" applyAlignment="1">
      <alignment horizontal="center" vertical="center"/>
    </xf>
    <xf numFmtId="166" fontId="18" fillId="0" borderId="0" xfId="4" applyNumberFormat="1" applyFont="1" applyFill="1" applyBorder="1" applyAlignment="1">
      <alignment vertical="center"/>
    </xf>
    <xf numFmtId="0" fontId="28" fillId="0" borderId="0" xfId="0" quotePrefix="1" applyFont="1" applyAlignment="1">
      <alignment vertical="center" wrapText="1"/>
    </xf>
    <xf numFmtId="166" fontId="0" fillId="0" borderId="42" xfId="4" applyNumberFormat="1" applyFont="1" applyFill="1" applyBorder="1" applyAlignment="1">
      <alignment vertical="center"/>
    </xf>
    <xf numFmtId="166" fontId="0" fillId="0" borderId="3" xfId="4" applyNumberFormat="1" applyFont="1" applyFill="1" applyBorder="1" applyAlignment="1">
      <alignment vertical="center"/>
    </xf>
    <xf numFmtId="166" fontId="0" fillId="0" borderId="46" xfId="4" applyNumberFormat="1" applyFont="1" applyFill="1" applyBorder="1" applyAlignment="1">
      <alignment vertical="center"/>
    </xf>
    <xf numFmtId="10" fontId="42" fillId="0" borderId="16" xfId="0" applyNumberFormat="1" applyFont="1" applyBorder="1" applyAlignment="1">
      <alignment vertical="center"/>
    </xf>
    <xf numFmtId="10" fontId="42" fillId="0" borderId="33" xfId="0" applyNumberFormat="1" applyFont="1" applyBorder="1" applyAlignment="1">
      <alignment vertical="center"/>
    </xf>
    <xf numFmtId="166" fontId="0" fillId="0" borderId="23" xfId="4" applyNumberFormat="1" applyFont="1" applyFill="1" applyBorder="1" applyAlignment="1">
      <alignment vertical="center"/>
    </xf>
    <xf numFmtId="10" fontId="42" fillId="0" borderId="21" xfId="0" applyNumberFormat="1" applyFont="1" applyBorder="1" applyAlignment="1">
      <alignment vertical="center"/>
    </xf>
    <xf numFmtId="10" fontId="42" fillId="0" borderId="57" xfId="0" applyNumberFormat="1" applyFont="1" applyBorder="1" applyAlignment="1">
      <alignment vertical="center"/>
    </xf>
    <xf numFmtId="10" fontId="42" fillId="0" borderId="51" xfId="0" applyNumberFormat="1" applyFont="1" applyBorder="1" applyAlignment="1">
      <alignment vertical="center"/>
    </xf>
    <xf numFmtId="0" fontId="0" fillId="0" borderId="14" xfId="0" applyBorder="1" applyAlignment="1">
      <alignment horizontal="left" vertical="center" wrapText="1"/>
    </xf>
    <xf numFmtId="0" fontId="0" fillId="0" borderId="24" xfId="0" applyBorder="1" applyAlignment="1">
      <alignment vertical="center"/>
    </xf>
    <xf numFmtId="0" fontId="8" fillId="0" borderId="28" xfId="0" applyFont="1" applyBorder="1" applyAlignment="1">
      <alignment vertical="center"/>
    </xf>
    <xf numFmtId="0" fontId="0" fillId="0" borderId="14" xfId="0" applyBorder="1" applyAlignment="1">
      <alignment vertical="center"/>
    </xf>
    <xf numFmtId="0" fontId="0" fillId="0" borderId="28" xfId="0" applyBorder="1" applyAlignment="1">
      <alignment vertical="center"/>
    </xf>
    <xf numFmtId="0" fontId="0" fillId="0" borderId="52" xfId="0" applyBorder="1" applyAlignment="1">
      <alignment vertical="center"/>
    </xf>
    <xf numFmtId="0" fontId="0" fillId="0" borderId="68" xfId="0" applyBorder="1" applyAlignment="1">
      <alignment vertical="center"/>
    </xf>
    <xf numFmtId="0" fontId="10" fillId="0" borderId="61" xfId="0" applyFont="1" applyBorder="1" applyAlignment="1">
      <alignment horizontal="center" vertical="center" wrapText="1"/>
    </xf>
    <xf numFmtId="10" fontId="44" fillId="0" borderId="2" xfId="0" applyNumberFormat="1" applyFont="1" applyBorder="1" applyAlignment="1">
      <alignment horizontal="center" vertical="center" wrapText="1"/>
    </xf>
    <xf numFmtId="0" fontId="0" fillId="0" borderId="14" xfId="0" applyBorder="1" applyAlignment="1">
      <alignment horizontal="center" vertical="center"/>
    </xf>
    <xf numFmtId="0" fontId="0" fillId="0" borderId="24" xfId="0" applyBorder="1" applyAlignment="1">
      <alignment horizontal="center" vertical="center"/>
    </xf>
    <xf numFmtId="0" fontId="0" fillId="0" borderId="68" xfId="0" applyBorder="1" applyAlignment="1">
      <alignment horizontal="center" vertical="center"/>
    </xf>
    <xf numFmtId="0" fontId="18" fillId="0" borderId="0" xfId="0" quotePrefix="1" applyFont="1" applyAlignment="1">
      <alignment horizontal="center" vertical="center"/>
    </xf>
    <xf numFmtId="166" fontId="18" fillId="0" borderId="0" xfId="4" applyNumberFormat="1" applyFont="1"/>
    <xf numFmtId="9" fontId="10" fillId="0" borderId="1" xfId="0" applyNumberFormat="1" applyFont="1" applyBorder="1" applyAlignment="1">
      <alignment horizontal="center" vertical="center" wrapText="1"/>
    </xf>
    <xf numFmtId="9" fontId="0" fillId="0" borderId="50" xfId="0" applyNumberFormat="1" applyBorder="1" applyAlignment="1">
      <alignment horizontal="center" vertical="center"/>
    </xf>
    <xf numFmtId="9" fontId="42" fillId="0" borderId="50" xfId="3" applyFont="1" applyBorder="1" applyAlignment="1">
      <alignment horizontal="center" vertical="center" wrapText="1"/>
    </xf>
    <xf numFmtId="9" fontId="0" fillId="0" borderId="35" xfId="0" applyNumberFormat="1" applyBorder="1" applyAlignment="1">
      <alignment horizontal="center" vertical="center"/>
    </xf>
    <xf numFmtId="9" fontId="0" fillId="0" borderId="22" xfId="0" applyNumberFormat="1" applyBorder="1" applyAlignment="1">
      <alignment horizontal="center" vertical="center"/>
    </xf>
    <xf numFmtId="9" fontId="28" fillId="0" borderId="37" xfId="3" applyFont="1" applyBorder="1" applyAlignment="1">
      <alignment horizontal="center" vertical="center"/>
    </xf>
    <xf numFmtId="9" fontId="20" fillId="0" borderId="37" xfId="3" applyFont="1" applyFill="1" applyBorder="1" applyAlignment="1">
      <alignment horizontal="center" vertical="center"/>
    </xf>
    <xf numFmtId="0" fontId="46" fillId="12" borderId="37" xfId="0" applyFont="1" applyFill="1" applyBorder="1" applyAlignment="1">
      <alignment vertical="center"/>
    </xf>
    <xf numFmtId="0" fontId="46" fillId="12" borderId="37" xfId="0" applyFont="1" applyFill="1" applyBorder="1" applyAlignment="1">
      <alignment horizontal="center" vertical="center"/>
    </xf>
    <xf numFmtId="0" fontId="18" fillId="0" borderId="37" xfId="0" applyFont="1" applyBorder="1" applyAlignment="1">
      <alignment horizontal="left" vertical="center" wrapText="1"/>
    </xf>
    <xf numFmtId="0" fontId="29" fillId="12" borderId="5" xfId="0" applyFont="1" applyFill="1" applyBorder="1" applyAlignment="1">
      <alignment horizontal="center" vertical="center"/>
    </xf>
    <xf numFmtId="0" fontId="29" fillId="12" borderId="5" xfId="0" applyFont="1" applyFill="1" applyBorder="1" applyAlignment="1">
      <alignment horizontal="center" vertical="center" wrapText="1"/>
    </xf>
    <xf numFmtId="165" fontId="18" fillId="0" borderId="5" xfId="0" applyNumberFormat="1" applyFont="1" applyBorder="1" applyAlignment="1">
      <alignment horizontal="center" vertical="center"/>
    </xf>
    <xf numFmtId="0" fontId="18" fillId="0" borderId="5" xfId="0" applyFont="1" applyBorder="1" applyAlignment="1">
      <alignment horizontal="center" vertical="center"/>
    </xf>
    <xf numFmtId="0" fontId="20" fillId="0" borderId="5" xfId="0" applyFont="1" applyBorder="1" applyAlignment="1">
      <alignment horizontal="left" vertical="center"/>
    </xf>
    <xf numFmtId="0" fontId="18" fillId="0" borderId="5" xfId="0" applyFont="1" applyBorder="1" applyAlignment="1">
      <alignment vertical="center"/>
    </xf>
    <xf numFmtId="0" fontId="26" fillId="0" borderId="5" xfId="0" applyFont="1" applyBorder="1" applyAlignment="1">
      <alignment horizontal="center" vertical="center"/>
    </xf>
    <xf numFmtId="9" fontId="28" fillId="0" borderId="5" xfId="3" applyFont="1" applyBorder="1" applyAlignment="1">
      <alignment horizontal="center" vertical="center"/>
    </xf>
    <xf numFmtId="9" fontId="26" fillId="0" borderId="5" xfId="3" applyFont="1" applyBorder="1" applyAlignment="1">
      <alignment horizontal="center" vertical="center"/>
    </xf>
    <xf numFmtId="0" fontId="20" fillId="0" borderId="40" xfId="0" applyFont="1" applyBorder="1" applyAlignment="1">
      <alignment horizontal="center" vertical="center"/>
    </xf>
    <xf numFmtId="0" fontId="18" fillId="0" borderId="40" xfId="0" applyFont="1" applyBorder="1" applyAlignment="1">
      <alignment vertical="center"/>
    </xf>
    <xf numFmtId="0" fontId="20" fillId="0" borderId="40" xfId="0" applyFont="1" applyBorder="1" applyAlignment="1">
      <alignment vertical="center"/>
    </xf>
    <xf numFmtId="0" fontId="44" fillId="0" borderId="5" xfId="0" applyFont="1" applyBorder="1" applyAlignment="1">
      <alignment horizontal="center" vertical="center"/>
    </xf>
    <xf numFmtId="9" fontId="42" fillId="0" borderId="5" xfId="3" applyFont="1" applyBorder="1" applyAlignment="1">
      <alignment horizontal="center" vertical="center"/>
    </xf>
    <xf numFmtId="9" fontId="44" fillId="0" borderId="5" xfId="3" applyFont="1" applyBorder="1" applyAlignment="1">
      <alignment horizontal="center" vertical="center"/>
    </xf>
    <xf numFmtId="0" fontId="20" fillId="0" borderId="5" xfId="0" applyFont="1" applyBorder="1" applyAlignment="1">
      <alignment horizontal="center" vertical="center"/>
    </xf>
    <xf numFmtId="170" fontId="18" fillId="0" borderId="5" xfId="3" applyNumberFormat="1" applyFont="1" applyBorder="1" applyAlignment="1">
      <alignment vertical="center"/>
    </xf>
    <xf numFmtId="9" fontId="18" fillId="0" borderId="5" xfId="0" applyNumberFormat="1" applyFont="1" applyBorder="1" applyAlignment="1">
      <alignment vertical="center"/>
    </xf>
    <xf numFmtId="0" fontId="20" fillId="0" borderId="5" xfId="0" applyFont="1" applyBorder="1" applyAlignment="1">
      <alignment vertical="center"/>
    </xf>
    <xf numFmtId="9" fontId="20" fillId="0" borderId="5" xfId="0" applyNumberFormat="1" applyFont="1" applyBorder="1" applyAlignment="1">
      <alignment vertical="center"/>
    </xf>
    <xf numFmtId="170" fontId="18" fillId="0" borderId="5" xfId="0" applyNumberFormat="1" applyFont="1" applyBorder="1" applyAlignment="1">
      <alignment vertical="center"/>
    </xf>
    <xf numFmtId="10" fontId="18" fillId="0" borderId="5" xfId="0" applyNumberFormat="1" applyFont="1" applyBorder="1" applyAlignment="1">
      <alignment vertical="center"/>
    </xf>
    <xf numFmtId="9" fontId="18" fillId="0" borderId="5" xfId="3" applyFont="1" applyBorder="1" applyAlignment="1">
      <alignment vertical="center"/>
    </xf>
    <xf numFmtId="2" fontId="18" fillId="0" borderId="37" xfId="0" applyNumberFormat="1" applyFont="1" applyBorder="1" applyAlignment="1">
      <alignment horizontal="center" vertical="center"/>
    </xf>
    <xf numFmtId="166" fontId="18" fillId="0" borderId="5" xfId="0" applyNumberFormat="1" applyFont="1" applyBorder="1" applyAlignment="1">
      <alignment vertical="center"/>
    </xf>
    <xf numFmtId="0" fontId="18" fillId="0" borderId="5" xfId="0" applyFont="1" applyBorder="1"/>
    <xf numFmtId="166" fontId="18" fillId="0" borderId="5" xfId="0" applyNumberFormat="1" applyFont="1" applyBorder="1"/>
    <xf numFmtId="0" fontId="20" fillId="0" borderId="5" xfId="0" applyFont="1" applyBorder="1" applyAlignment="1">
      <alignment horizontal="center"/>
    </xf>
    <xf numFmtId="0" fontId="18" fillId="0" borderId="5" xfId="0" applyFont="1" applyBorder="1" applyAlignment="1">
      <alignment vertical="center" wrapText="1"/>
    </xf>
    <xf numFmtId="0" fontId="0" fillId="0" borderId="5" xfId="0" applyBorder="1"/>
    <xf numFmtId="9" fontId="18" fillId="0" borderId="5" xfId="3" applyFont="1" applyBorder="1"/>
    <xf numFmtId="0" fontId="10" fillId="0" borderId="5" xfId="0" applyFont="1" applyBorder="1" applyAlignment="1">
      <alignment horizontal="center" vertical="center"/>
    </xf>
    <xf numFmtId="9" fontId="18" fillId="0" borderId="0" xfId="3" applyFont="1"/>
    <xf numFmtId="165" fontId="18" fillId="0" borderId="37" xfId="0" applyNumberFormat="1" applyFont="1" applyBorder="1" applyAlignment="1">
      <alignment horizontal="center" vertical="center"/>
    </xf>
    <xf numFmtId="166" fontId="18" fillId="0" borderId="5" xfId="4" applyNumberFormat="1" applyFont="1" applyFill="1" applyBorder="1" applyAlignment="1">
      <alignment vertical="center" wrapText="1"/>
    </xf>
    <xf numFmtId="166" fontId="18" fillId="0" borderId="47" xfId="4" applyNumberFormat="1" applyFont="1" applyFill="1" applyBorder="1" applyAlignment="1">
      <alignment vertical="center" wrapText="1"/>
    </xf>
    <xf numFmtId="2" fontId="18" fillId="0" borderId="0" xfId="0" applyNumberFormat="1" applyFont="1" applyAlignment="1">
      <alignment vertical="center"/>
    </xf>
    <xf numFmtId="0" fontId="27" fillId="0" borderId="0" xfId="5" applyFont="1" applyAlignment="1">
      <alignment vertical="center"/>
    </xf>
    <xf numFmtId="0" fontId="27" fillId="0" borderId="33" xfId="5" applyFont="1" applyBorder="1" applyAlignment="1">
      <alignment vertical="center"/>
    </xf>
    <xf numFmtId="0" fontId="27" fillId="0" borderId="0" xfId="5" applyFont="1" applyAlignment="1">
      <alignment horizontal="center" vertical="center"/>
    </xf>
    <xf numFmtId="0" fontId="59" fillId="0" borderId="0" xfId="6" applyFont="1" applyAlignment="1">
      <alignment vertical="center"/>
    </xf>
    <xf numFmtId="0" fontId="22" fillId="0" borderId="0" xfId="0" applyFont="1" applyAlignment="1">
      <alignment vertical="center" wrapText="1"/>
    </xf>
    <xf numFmtId="0" fontId="22" fillId="0" borderId="10" xfId="7" applyFont="1" applyBorder="1" applyAlignment="1">
      <alignment horizontal="left" vertical="center" wrapText="1"/>
    </xf>
    <xf numFmtId="0" fontId="22" fillId="0" borderId="0" xfId="0" applyFont="1"/>
    <xf numFmtId="0" fontId="22" fillId="0" borderId="37" xfId="0" applyFont="1" applyBorder="1" applyAlignment="1">
      <alignment vertical="center"/>
    </xf>
    <xf numFmtId="0" fontId="30" fillId="0" borderId="17" xfId="5" applyFont="1" applyBorder="1" applyAlignment="1">
      <alignment vertical="center" wrapText="1"/>
    </xf>
    <xf numFmtId="0" fontId="30" fillId="0" borderId="25" xfId="5" applyFont="1" applyBorder="1" applyAlignment="1">
      <alignment vertical="center" wrapText="1"/>
    </xf>
    <xf numFmtId="0" fontId="47" fillId="0" borderId="0" xfId="0" applyFont="1" applyAlignment="1">
      <alignment horizontal="left" vertical="center" wrapText="1"/>
    </xf>
    <xf numFmtId="9" fontId="22" fillId="0" borderId="0" xfId="0" applyNumberFormat="1" applyFont="1"/>
    <xf numFmtId="9" fontId="22" fillId="0" borderId="37" xfId="3" applyFont="1" applyBorder="1" applyAlignment="1">
      <alignment vertical="center"/>
    </xf>
    <xf numFmtId="0" fontId="21" fillId="0" borderId="37" xfId="0" applyFont="1" applyBorder="1" applyAlignment="1">
      <alignment vertical="center"/>
    </xf>
    <xf numFmtId="0" fontId="30" fillId="0" borderId="0" xfId="5" applyFont="1" applyAlignment="1">
      <alignment vertical="center"/>
    </xf>
    <xf numFmtId="0" fontId="21" fillId="25" borderId="15" xfId="0" applyFont="1" applyFill="1" applyBorder="1" applyAlignment="1">
      <alignment horizontal="center" vertical="center" wrapText="1"/>
    </xf>
    <xf numFmtId="0" fontId="21" fillId="25" borderId="16" xfId="0" applyFont="1" applyFill="1" applyBorder="1" applyAlignment="1">
      <alignment horizontal="center" vertical="center" wrapText="1"/>
    </xf>
    <xf numFmtId="0" fontId="21" fillId="25" borderId="35" xfId="0" applyFont="1" applyFill="1" applyBorder="1" applyAlignment="1">
      <alignment horizontal="center" vertical="center" wrapText="1"/>
    </xf>
    <xf numFmtId="170" fontId="22" fillId="0" borderId="33" xfId="0" applyNumberFormat="1" applyFont="1" applyBorder="1" applyAlignment="1">
      <alignment vertical="center"/>
    </xf>
    <xf numFmtId="9" fontId="22" fillId="0" borderId="33" xfId="3" applyFont="1" applyBorder="1" applyAlignment="1">
      <alignment vertical="center"/>
    </xf>
    <xf numFmtId="0" fontId="21" fillId="25" borderId="22" xfId="0" applyFont="1" applyFill="1" applyBorder="1" applyAlignment="1">
      <alignment horizontal="center" vertical="center" wrapText="1"/>
    </xf>
    <xf numFmtId="9" fontId="22" fillId="0" borderId="21" xfId="3" applyFont="1" applyBorder="1" applyAlignment="1">
      <alignment vertical="center"/>
    </xf>
    <xf numFmtId="9" fontId="22" fillId="0" borderId="0" xfId="3" applyFont="1"/>
    <xf numFmtId="0" fontId="58" fillId="17" borderId="35" xfId="5" applyFont="1" applyFill="1" applyBorder="1" applyAlignment="1">
      <alignment horizontal="center" vertical="center"/>
    </xf>
    <xf numFmtId="0" fontId="58" fillId="17" borderId="22" xfId="5" applyFont="1" applyFill="1" applyBorder="1" applyAlignment="1">
      <alignment horizontal="center" vertical="center"/>
    </xf>
    <xf numFmtId="9" fontId="20" fillId="0" borderId="23" xfId="5" applyNumberFormat="1" applyFont="1" applyBorder="1" applyAlignment="1">
      <alignment vertical="center"/>
    </xf>
    <xf numFmtId="0" fontId="20" fillId="0" borderId="21" xfId="5" applyFont="1" applyBorder="1" applyAlignment="1">
      <alignment vertical="center"/>
    </xf>
    <xf numFmtId="0" fontId="65" fillId="0" borderId="0" xfId="6" applyFont="1" applyAlignment="1">
      <alignment vertical="center"/>
    </xf>
    <xf numFmtId="0" fontId="22" fillId="0" borderId="0" xfId="6" applyFont="1" applyAlignment="1">
      <alignment vertical="center" wrapText="1"/>
    </xf>
    <xf numFmtId="0" fontId="22" fillId="0" borderId="0" xfId="6" applyFont="1" applyAlignment="1">
      <alignment horizontal="center" vertical="center" wrapText="1"/>
    </xf>
    <xf numFmtId="0" fontId="62" fillId="26" borderId="10" xfId="6" applyFont="1" applyFill="1" applyBorder="1" applyAlignment="1">
      <alignment horizontal="center" vertical="center" wrapText="1"/>
    </xf>
    <xf numFmtId="0" fontId="66" fillId="0" borderId="12" xfId="6" applyFont="1" applyBorder="1" applyAlignment="1">
      <alignment horizontal="center" vertical="center" wrapText="1"/>
    </xf>
    <xf numFmtId="0" fontId="21" fillId="27" borderId="49" xfId="6" applyFont="1" applyFill="1" applyBorder="1" applyAlignment="1">
      <alignment horizontal="center" vertical="center" wrapText="1"/>
    </xf>
    <xf numFmtId="0" fontId="66" fillId="0" borderId="12" xfId="6" applyFont="1" applyBorder="1" applyAlignment="1">
      <alignment horizontal="center" vertical="center"/>
    </xf>
    <xf numFmtId="0" fontId="21" fillId="28" borderId="49" xfId="6" applyFont="1" applyFill="1" applyBorder="1" applyAlignment="1">
      <alignment horizontal="center" vertical="center" wrapText="1"/>
    </xf>
    <xf numFmtId="0" fontId="21" fillId="20" borderId="49" xfId="6" applyFont="1" applyFill="1" applyBorder="1" applyAlignment="1">
      <alignment horizontal="center" vertical="center" wrapText="1"/>
    </xf>
    <xf numFmtId="0" fontId="22" fillId="0" borderId="0" xfId="6" applyFont="1" applyAlignment="1">
      <alignment vertical="center"/>
    </xf>
    <xf numFmtId="0" fontId="67" fillId="0" borderId="0" xfId="2" applyFont="1" applyAlignment="1" applyProtection="1">
      <alignment vertical="center"/>
    </xf>
    <xf numFmtId="0" fontId="63" fillId="0" borderId="0" xfId="0" applyFont="1" applyAlignment="1">
      <alignment vertical="center"/>
    </xf>
    <xf numFmtId="0" fontId="20" fillId="22" borderId="44" xfId="5" applyFont="1" applyFill="1" applyBorder="1" applyAlignment="1">
      <alignment vertical="center" wrapText="1"/>
    </xf>
    <xf numFmtId="0" fontId="68" fillId="22" borderId="66" xfId="5" applyFont="1" applyFill="1" applyBorder="1" applyAlignment="1">
      <alignment horizontal="center" vertical="center"/>
    </xf>
    <xf numFmtId="0" fontId="27" fillId="0" borderId="17" xfId="5" applyFont="1" applyBorder="1" applyAlignment="1">
      <alignment vertical="center" wrapText="1"/>
    </xf>
    <xf numFmtId="39" fontId="27" fillId="0" borderId="14" xfId="4" applyNumberFormat="1" applyFont="1" applyBorder="1" applyAlignment="1">
      <alignment horizontal="center" vertical="center"/>
    </xf>
    <xf numFmtId="0" fontId="69" fillId="16" borderId="66" xfId="0" applyFont="1" applyFill="1" applyBorder="1" applyAlignment="1">
      <alignment horizontal="left" vertical="center" wrapText="1"/>
    </xf>
    <xf numFmtId="0" fontId="48" fillId="16" borderId="66" xfId="0" applyFont="1" applyFill="1" applyBorder="1" applyAlignment="1">
      <alignment horizontal="left" vertical="center" wrapText="1"/>
    </xf>
    <xf numFmtId="0" fontId="69" fillId="16" borderId="66" xfId="0" applyFont="1" applyFill="1" applyBorder="1" applyAlignment="1">
      <alignment horizontal="center" vertical="center" wrapText="1"/>
    </xf>
    <xf numFmtId="0" fontId="70" fillId="30" borderId="11" xfId="5" applyFont="1" applyFill="1" applyBorder="1" applyAlignment="1">
      <alignment horizontal="center" vertical="center"/>
    </xf>
    <xf numFmtId="0" fontId="27" fillId="0" borderId="25" xfId="5" applyFont="1" applyBorder="1" applyAlignment="1">
      <alignment vertical="center" wrapText="1"/>
    </xf>
    <xf numFmtId="39" fontId="27" fillId="0" borderId="24" xfId="4" applyNumberFormat="1" applyFont="1" applyBorder="1" applyAlignment="1">
      <alignment horizontal="center" vertical="center"/>
    </xf>
    <xf numFmtId="0" fontId="71" fillId="0" borderId="35" xfId="0" applyFont="1" applyBorder="1" applyAlignment="1">
      <alignment horizontal="left" vertical="center" wrapText="1"/>
    </xf>
    <xf numFmtId="172" fontId="22" fillId="0" borderId="37" xfId="4" applyNumberFormat="1" applyFont="1" applyBorder="1" applyAlignment="1">
      <alignment vertical="center"/>
    </xf>
    <xf numFmtId="0" fontId="64" fillId="0" borderId="16" xfId="5" applyFont="1" applyBorder="1" applyAlignment="1">
      <alignment vertical="center"/>
    </xf>
    <xf numFmtId="0" fontId="71" fillId="31" borderId="35" xfId="0" applyFont="1" applyFill="1" applyBorder="1" applyAlignment="1">
      <alignment horizontal="left" vertical="center" wrapText="1"/>
    </xf>
    <xf numFmtId="9" fontId="64" fillId="0" borderId="33" xfId="3" applyFont="1" applyBorder="1" applyAlignment="1">
      <alignment horizontal="center" vertical="center"/>
    </xf>
    <xf numFmtId="0" fontId="27" fillId="0" borderId="29" xfId="5" applyFont="1" applyBorder="1" applyAlignment="1">
      <alignment vertical="center" wrapText="1"/>
    </xf>
    <xf numFmtId="39" fontId="27" fillId="0" borderId="28" xfId="4" applyNumberFormat="1" applyFont="1" applyBorder="1" applyAlignment="1">
      <alignment horizontal="center" vertical="center"/>
    </xf>
    <xf numFmtId="0" fontId="71" fillId="32" borderId="35" xfId="0" applyFont="1" applyFill="1" applyBorder="1" applyAlignment="1">
      <alignment horizontal="left" vertical="center" wrapText="1"/>
    </xf>
    <xf numFmtId="9" fontId="18" fillId="0" borderId="66" xfId="3" quotePrefix="1" applyFont="1" applyBorder="1" applyAlignment="1">
      <alignment horizontal="center" vertical="center"/>
    </xf>
    <xf numFmtId="9" fontId="18" fillId="0" borderId="18" xfId="3" quotePrefix="1" applyFont="1" applyBorder="1" applyAlignment="1">
      <alignment horizontal="center" vertical="center"/>
    </xf>
    <xf numFmtId="0" fontId="71" fillId="33" borderId="35" xfId="0" applyFont="1" applyFill="1" applyBorder="1" applyAlignment="1">
      <alignment horizontal="left" vertical="center" wrapText="1"/>
    </xf>
    <xf numFmtId="9" fontId="18" fillId="0" borderId="24" xfId="3" quotePrefix="1" applyFont="1" applyBorder="1" applyAlignment="1">
      <alignment horizontal="center" vertical="center"/>
    </xf>
    <xf numFmtId="9" fontId="18" fillId="0" borderId="26" xfId="3" applyFont="1" applyBorder="1" applyAlignment="1">
      <alignment horizontal="center" vertical="center"/>
    </xf>
    <xf numFmtId="0" fontId="71" fillId="0" borderId="22" xfId="0" applyFont="1" applyBorder="1" applyAlignment="1">
      <alignment horizontal="left" vertical="center" wrapText="1"/>
    </xf>
    <xf numFmtId="172" fontId="22" fillId="0" borderId="23" xfId="4" applyNumberFormat="1" applyFont="1" applyBorder="1" applyAlignment="1">
      <alignment vertical="center"/>
    </xf>
    <xf numFmtId="9" fontId="47" fillId="0" borderId="21" xfId="3" applyFont="1" applyBorder="1" applyAlignment="1">
      <alignment vertical="center"/>
    </xf>
    <xf numFmtId="0" fontId="27" fillId="0" borderId="10" xfId="5" applyFont="1" applyBorder="1" applyAlignment="1">
      <alignment vertical="center" wrapText="1"/>
    </xf>
    <xf numFmtId="166" fontId="18" fillId="0" borderId="49" xfId="4" applyNumberFormat="1" applyFont="1" applyBorder="1" applyAlignment="1">
      <alignment vertical="center"/>
    </xf>
    <xf numFmtId="166" fontId="18" fillId="0" borderId="11" xfId="4" applyNumberFormat="1" applyFont="1" applyBorder="1" applyAlignment="1">
      <alignment vertical="center"/>
    </xf>
    <xf numFmtId="0" fontId="62" fillId="34" borderId="80" xfId="5" applyFont="1" applyFill="1" applyBorder="1" applyAlignment="1">
      <alignment vertical="center" wrapText="1"/>
    </xf>
    <xf numFmtId="10" fontId="27" fillId="0" borderId="0" xfId="5" applyNumberFormat="1" applyFont="1" applyAlignment="1">
      <alignment vertical="center"/>
    </xf>
    <xf numFmtId="0" fontId="72" fillId="0" borderId="0" xfId="0" applyFont="1" applyAlignment="1">
      <alignment vertical="center"/>
    </xf>
    <xf numFmtId="0" fontId="20" fillId="19" borderId="82" xfId="8" applyFont="1" applyFill="1" applyBorder="1" applyAlignment="1">
      <alignment vertical="center" wrapText="1"/>
    </xf>
    <xf numFmtId="0" fontId="20" fillId="19" borderId="86" xfId="8" applyFont="1" applyFill="1" applyBorder="1" applyAlignment="1">
      <alignment vertical="center" wrapText="1"/>
    </xf>
    <xf numFmtId="0" fontId="20" fillId="19" borderId="88" xfId="8" applyFont="1" applyFill="1" applyBorder="1" applyAlignment="1">
      <alignment vertical="center" wrapText="1"/>
    </xf>
    <xf numFmtId="0" fontId="74" fillId="0" borderId="0" xfId="0" applyFont="1"/>
    <xf numFmtId="0" fontId="18" fillId="0" borderId="0" xfId="8" applyFont="1" applyAlignment="1">
      <alignment vertical="center"/>
    </xf>
    <xf numFmtId="0" fontId="20" fillId="0" borderId="0" xfId="9" applyFont="1"/>
    <xf numFmtId="0" fontId="18" fillId="0" borderId="0" xfId="9" applyFont="1"/>
    <xf numFmtId="0" fontId="27" fillId="0" borderId="0" xfId="0" applyFont="1"/>
    <xf numFmtId="0" fontId="27" fillId="0" borderId="0" xfId="0" applyFont="1" applyAlignment="1">
      <alignment horizontal="center"/>
    </xf>
    <xf numFmtId="0" fontId="75" fillId="26" borderId="92" xfId="0" applyFont="1" applyFill="1" applyBorder="1" applyAlignment="1">
      <alignment horizontal="center" vertical="center"/>
    </xf>
    <xf numFmtId="0" fontId="75" fillId="26" borderId="93" xfId="0" applyFont="1" applyFill="1" applyBorder="1" applyAlignment="1">
      <alignment horizontal="center" vertical="center"/>
    </xf>
    <xf numFmtId="0" fontId="75" fillId="26" borderId="94" xfId="0" applyFont="1" applyFill="1" applyBorder="1" applyAlignment="1">
      <alignment horizontal="center" vertical="center"/>
    </xf>
    <xf numFmtId="1" fontId="18" fillId="36" borderId="37" xfId="0" applyNumberFormat="1" applyFont="1" applyFill="1" applyBorder="1"/>
    <xf numFmtId="0" fontId="18" fillId="0" borderId="0" xfId="0" applyFont="1" applyAlignment="1">
      <alignment horizontal="left" vertical="top"/>
    </xf>
    <xf numFmtId="0" fontId="20" fillId="0" borderId="0" xfId="9" applyFont="1" applyAlignment="1">
      <alignment vertical="center"/>
    </xf>
    <xf numFmtId="168" fontId="18" fillId="3" borderId="74" xfId="0" applyNumberFormat="1" applyFont="1" applyFill="1" applyBorder="1" applyAlignment="1">
      <alignment wrapText="1"/>
    </xf>
    <xf numFmtId="168" fontId="18" fillId="3" borderId="78" xfId="0" applyNumberFormat="1" applyFont="1" applyFill="1" applyBorder="1" applyAlignment="1">
      <alignment wrapText="1"/>
    </xf>
    <xf numFmtId="168" fontId="18" fillId="3" borderId="76" xfId="0" applyNumberFormat="1" applyFont="1" applyFill="1" applyBorder="1" applyAlignment="1">
      <alignment wrapText="1"/>
    </xf>
    <xf numFmtId="0" fontId="75" fillId="26" borderId="49" xfId="0" applyFont="1" applyFill="1" applyBorder="1" applyAlignment="1">
      <alignment horizontal="center" vertical="center"/>
    </xf>
    <xf numFmtId="0" fontId="75" fillId="26" borderId="73" xfId="0" applyFont="1" applyFill="1" applyBorder="1" applyAlignment="1">
      <alignment horizontal="center" vertical="center"/>
    </xf>
    <xf numFmtId="166" fontId="27" fillId="0" borderId="95" xfId="4" applyNumberFormat="1" applyFont="1" applyBorder="1"/>
    <xf numFmtId="0" fontId="14" fillId="0" borderId="0" xfId="5" applyFont="1" applyAlignment="1">
      <alignment vertical="center"/>
    </xf>
    <xf numFmtId="0" fontId="20" fillId="0" borderId="0" xfId="0" applyFont="1" applyAlignment="1">
      <alignment horizontal="left" vertical="top"/>
    </xf>
    <xf numFmtId="37" fontId="18" fillId="36" borderId="79" xfId="4" applyNumberFormat="1" applyFont="1" applyFill="1" applyBorder="1" applyAlignment="1">
      <alignment horizontal="center" vertical="center"/>
    </xf>
    <xf numFmtId="37" fontId="18" fillId="36" borderId="77" xfId="4" applyNumberFormat="1" applyFont="1" applyFill="1" applyBorder="1" applyAlignment="1">
      <alignment horizontal="center" vertical="center"/>
    </xf>
    <xf numFmtId="0" fontId="74" fillId="0" borderId="0" xfId="0" applyFont="1" applyAlignment="1">
      <alignment vertical="center"/>
    </xf>
    <xf numFmtId="168" fontId="20" fillId="3" borderId="15" xfId="0" applyNumberFormat="1" applyFont="1" applyFill="1" applyBorder="1" applyAlignment="1">
      <alignment horizontal="center" vertical="center" wrapText="1"/>
    </xf>
    <xf numFmtId="168" fontId="20" fillId="3" borderId="35" xfId="0" applyNumberFormat="1" applyFont="1" applyFill="1" applyBorder="1" applyAlignment="1">
      <alignment horizontal="center" vertical="center" wrapText="1"/>
    </xf>
    <xf numFmtId="168" fontId="20" fillId="3" borderId="22" xfId="0" applyNumberFormat="1" applyFont="1" applyFill="1" applyBorder="1" applyAlignment="1">
      <alignment horizontal="center" vertical="center" wrapText="1"/>
    </xf>
    <xf numFmtId="37" fontId="18" fillId="36" borderId="75" xfId="4" applyNumberFormat="1" applyFont="1" applyFill="1" applyBorder="1" applyAlignment="1">
      <alignment horizontal="center" vertical="center"/>
    </xf>
    <xf numFmtId="166" fontId="27" fillId="0" borderId="96" xfId="4" applyNumberFormat="1" applyFont="1" applyBorder="1"/>
    <xf numFmtId="168" fontId="18" fillId="3" borderId="15" xfId="0" applyNumberFormat="1" applyFont="1" applyFill="1" applyBorder="1" applyAlignment="1">
      <alignment wrapText="1"/>
    </xf>
    <xf numFmtId="9" fontId="18" fillId="36" borderId="16" xfId="3" applyFont="1" applyFill="1" applyBorder="1" applyAlignment="1">
      <alignment horizontal="center" vertical="center"/>
    </xf>
    <xf numFmtId="168" fontId="18" fillId="3" borderId="35" xfId="0" applyNumberFormat="1" applyFont="1" applyFill="1" applyBorder="1" applyAlignment="1">
      <alignment wrapText="1"/>
    </xf>
    <xf numFmtId="9" fontId="18" fillId="36" borderId="33" xfId="3" applyFont="1" applyFill="1" applyBorder="1" applyAlignment="1">
      <alignment horizontal="center" vertical="center"/>
    </xf>
    <xf numFmtId="168" fontId="18" fillId="3" borderId="22" xfId="0" applyNumberFormat="1" applyFont="1" applyFill="1" applyBorder="1" applyAlignment="1">
      <alignment wrapText="1"/>
    </xf>
    <xf numFmtId="9" fontId="18" fillId="36" borderId="21" xfId="3" applyFont="1" applyFill="1" applyBorder="1" applyAlignment="1">
      <alignment horizontal="center" vertical="center"/>
    </xf>
    <xf numFmtId="9" fontId="27" fillId="0" borderId="96" xfId="3" applyFont="1" applyBorder="1" applyAlignment="1">
      <alignment horizontal="center" vertical="center"/>
    </xf>
    <xf numFmtId="0" fontId="18" fillId="0" borderId="12" xfId="0" applyFont="1" applyBorder="1" applyAlignment="1">
      <alignment vertical="center" wrapText="1"/>
    </xf>
    <xf numFmtId="0" fontId="18" fillId="0" borderId="8" xfId="0" applyFont="1" applyBorder="1" applyAlignment="1">
      <alignment vertical="center" wrapText="1"/>
    </xf>
    <xf numFmtId="0" fontId="21" fillId="0" borderId="8" xfId="0" applyFont="1" applyBorder="1" applyAlignment="1">
      <alignment vertical="center" wrapText="1"/>
    </xf>
    <xf numFmtId="1" fontId="18" fillId="0" borderId="37" xfId="0" applyNumberFormat="1" applyFont="1" applyBorder="1" applyAlignment="1">
      <alignment vertical="center"/>
    </xf>
    <xf numFmtId="9" fontId="18" fillId="0" borderId="37" xfId="3" applyFont="1" applyFill="1" applyBorder="1" applyAlignment="1">
      <alignment vertical="center"/>
    </xf>
    <xf numFmtId="1" fontId="18" fillId="0" borderId="0" xfId="0" applyNumberFormat="1" applyFont="1" applyAlignment="1">
      <alignment vertical="center"/>
    </xf>
    <xf numFmtId="1" fontId="20" fillId="0" borderId="37" xfId="0" applyNumberFormat="1" applyFont="1" applyBorder="1" applyAlignment="1">
      <alignment vertical="center"/>
    </xf>
    <xf numFmtId="0" fontId="18" fillId="0" borderId="71" xfId="0" applyFont="1" applyBorder="1" applyAlignment="1">
      <alignment vertical="center"/>
    </xf>
    <xf numFmtId="9" fontId="20" fillId="0" borderId="5" xfId="3" applyFont="1" applyBorder="1" applyAlignment="1">
      <alignment vertical="center"/>
    </xf>
    <xf numFmtId="9" fontId="18" fillId="0" borderId="0" xfId="0" applyNumberFormat="1" applyFont="1" applyAlignment="1">
      <alignment vertical="center"/>
    </xf>
    <xf numFmtId="0" fontId="20" fillId="0" borderId="37" xfId="0" quotePrefix="1" applyFont="1" applyBorder="1" applyAlignment="1">
      <alignment horizontal="left" vertical="center"/>
    </xf>
    <xf numFmtId="166" fontId="20" fillId="0" borderId="37" xfId="4" quotePrefix="1" applyNumberFormat="1" applyFont="1" applyBorder="1" applyAlignment="1">
      <alignment horizontal="left" vertical="center"/>
    </xf>
    <xf numFmtId="0" fontId="76" fillId="0" borderId="0" xfId="0" quotePrefix="1" applyFont="1" applyAlignment="1">
      <alignment vertical="center"/>
    </xf>
    <xf numFmtId="0" fontId="77" fillId="0" borderId="0" xfId="0" applyFont="1" applyAlignment="1">
      <alignment vertical="center"/>
    </xf>
    <xf numFmtId="166" fontId="26" fillId="0" borderId="0" xfId="4" applyNumberFormat="1" applyFont="1" applyFill="1" applyBorder="1" applyAlignment="1">
      <alignment horizontal="center" vertical="center" wrapText="1"/>
    </xf>
    <xf numFmtId="0" fontId="28" fillId="0" borderId="0" xfId="0" applyFont="1" applyAlignment="1">
      <alignment horizontal="center" vertical="center" wrapText="1"/>
    </xf>
    <xf numFmtId="9" fontId="44" fillId="0" borderId="0" xfId="3" applyFont="1" applyBorder="1" applyAlignment="1">
      <alignment horizontal="center" vertical="center"/>
    </xf>
    <xf numFmtId="0" fontId="78" fillId="0" borderId="0" xfId="0" applyFont="1" applyAlignment="1">
      <alignment vertical="center"/>
    </xf>
    <xf numFmtId="164" fontId="27" fillId="0" borderId="37" xfId="4" applyFont="1" applyBorder="1" applyAlignment="1">
      <alignment horizontal="center" vertical="center"/>
    </xf>
    <xf numFmtId="164" fontId="18" fillId="0" borderId="0" xfId="4" applyFont="1" applyFill="1" applyBorder="1" applyAlignment="1">
      <alignment horizontal="center" vertical="center"/>
    </xf>
    <xf numFmtId="0" fontId="27" fillId="0" borderId="20" xfId="5" applyFont="1" applyBorder="1" applyAlignment="1">
      <alignment vertical="center" wrapText="1"/>
    </xf>
    <xf numFmtId="170" fontId="18" fillId="0" borderId="24" xfId="3" quotePrefix="1" applyNumberFormat="1" applyFont="1" applyBorder="1" applyAlignment="1">
      <alignment horizontal="center" vertical="center"/>
    </xf>
    <xf numFmtId="168" fontId="18" fillId="0" borderId="0" xfId="0" applyNumberFormat="1" applyFont="1" applyAlignment="1">
      <alignment wrapText="1"/>
    </xf>
    <xf numFmtId="1" fontId="18" fillId="0" borderId="0" xfId="0" applyNumberFormat="1" applyFont="1"/>
    <xf numFmtId="168" fontId="18" fillId="3" borderId="99" xfId="0" applyNumberFormat="1" applyFont="1" applyFill="1" applyBorder="1" applyAlignment="1">
      <alignment wrapText="1"/>
    </xf>
    <xf numFmtId="9" fontId="18" fillId="36" borderId="100" xfId="3" applyFont="1" applyFill="1" applyBorder="1" applyAlignment="1">
      <alignment horizontal="center" vertical="center"/>
    </xf>
    <xf numFmtId="168" fontId="18" fillId="3" borderId="101" xfId="0" applyNumberFormat="1" applyFont="1" applyFill="1" applyBorder="1" applyAlignment="1">
      <alignment wrapText="1"/>
    </xf>
    <xf numFmtId="9" fontId="18" fillId="36" borderId="102" xfId="3" applyFont="1" applyFill="1" applyBorder="1" applyAlignment="1">
      <alignment horizontal="center" vertical="center"/>
    </xf>
    <xf numFmtId="168" fontId="18" fillId="3" borderId="103" xfId="0" applyNumberFormat="1" applyFont="1" applyFill="1" applyBorder="1" applyAlignment="1">
      <alignment wrapText="1"/>
    </xf>
    <xf numFmtId="9" fontId="27" fillId="0" borderId="104" xfId="5" applyNumberFormat="1" applyFont="1" applyBorder="1" applyAlignment="1">
      <alignment horizontal="center" vertical="center"/>
    </xf>
    <xf numFmtId="164" fontId="18" fillId="36" borderId="16" xfId="4" applyFont="1" applyFill="1" applyBorder="1" applyAlignment="1">
      <alignment horizontal="center" vertical="center"/>
    </xf>
    <xf numFmtId="164" fontId="18" fillId="36" borderId="33" xfId="4" applyFont="1" applyFill="1" applyBorder="1" applyAlignment="1">
      <alignment horizontal="center" vertical="center"/>
    </xf>
    <xf numFmtId="164" fontId="18" fillId="36" borderId="21" xfId="4" applyFont="1" applyFill="1" applyBorder="1" applyAlignment="1">
      <alignment horizontal="center" vertical="center"/>
    </xf>
    <xf numFmtId="1" fontId="18" fillId="36" borderId="37" xfId="0" applyNumberFormat="1" applyFont="1" applyFill="1" applyBorder="1" applyAlignment="1">
      <alignment horizontal="center" vertical="center"/>
    </xf>
    <xf numFmtId="1" fontId="18" fillId="36" borderId="46" xfId="0" applyNumberFormat="1" applyFont="1" applyFill="1" applyBorder="1" applyAlignment="1">
      <alignment horizontal="center" vertical="center"/>
    </xf>
    <xf numFmtId="1" fontId="18" fillId="36" borderId="23" xfId="0" applyNumberFormat="1" applyFont="1" applyFill="1" applyBorder="1" applyAlignment="1">
      <alignment horizontal="center" vertical="center"/>
    </xf>
    <xf numFmtId="1" fontId="18" fillId="36" borderId="46" xfId="0" applyNumberFormat="1" applyFont="1" applyFill="1" applyBorder="1"/>
    <xf numFmtId="1" fontId="18" fillId="36" borderId="16" xfId="0" applyNumberFormat="1" applyFont="1" applyFill="1" applyBorder="1"/>
    <xf numFmtId="1" fontId="18" fillId="36" borderId="33" xfId="0" applyNumberFormat="1" applyFont="1" applyFill="1" applyBorder="1"/>
    <xf numFmtId="1" fontId="18" fillId="36" borderId="23" xfId="0" applyNumberFormat="1" applyFont="1" applyFill="1" applyBorder="1"/>
    <xf numFmtId="1" fontId="18" fillId="36" borderId="21" xfId="0" applyNumberFormat="1" applyFont="1" applyFill="1" applyBorder="1"/>
    <xf numFmtId="0" fontId="75" fillId="26" borderId="66" xfId="0" applyFont="1" applyFill="1" applyBorder="1" applyAlignment="1">
      <alignment horizontal="center" vertical="center"/>
    </xf>
    <xf numFmtId="170" fontId="18" fillId="36" borderId="33" xfId="3" applyNumberFormat="1" applyFont="1" applyFill="1" applyBorder="1" applyAlignment="1">
      <alignment horizontal="center" vertical="center"/>
    </xf>
    <xf numFmtId="37" fontId="18" fillId="36" borderId="16" xfId="4" applyNumberFormat="1" applyFont="1" applyFill="1" applyBorder="1" applyAlignment="1">
      <alignment horizontal="center" vertical="center"/>
    </xf>
    <xf numFmtId="37" fontId="18" fillId="36" borderId="33" xfId="4" applyNumberFormat="1" applyFont="1" applyFill="1" applyBorder="1" applyAlignment="1">
      <alignment horizontal="center" vertical="center"/>
    </xf>
    <xf numFmtId="37" fontId="18" fillId="36" borderId="21" xfId="4" applyNumberFormat="1" applyFont="1" applyFill="1" applyBorder="1" applyAlignment="1">
      <alignment horizontal="center" vertical="center"/>
    </xf>
    <xf numFmtId="0" fontId="29" fillId="26" borderId="58" xfId="5" applyFont="1" applyFill="1" applyBorder="1" applyAlignment="1">
      <alignment horizontal="center" vertical="center"/>
    </xf>
    <xf numFmtId="166" fontId="27" fillId="0" borderId="37" xfId="4" applyNumberFormat="1" applyFont="1" applyBorder="1" applyAlignment="1">
      <alignment vertical="center"/>
    </xf>
    <xf numFmtId="172" fontId="22" fillId="0" borderId="23" xfId="4" applyNumberFormat="1" applyFont="1" applyFill="1" applyBorder="1" applyAlignment="1">
      <alignment vertical="center"/>
    </xf>
    <xf numFmtId="0" fontId="79" fillId="0" borderId="12" xfId="7" applyFont="1" applyBorder="1" applyAlignment="1">
      <alignment horizontal="center" vertical="center" wrapText="1"/>
    </xf>
    <xf numFmtId="0" fontId="21" fillId="18" borderId="49" xfId="7" applyFont="1" applyFill="1" applyBorder="1" applyAlignment="1">
      <alignment horizontal="center" vertical="center" wrapText="1"/>
    </xf>
    <xf numFmtId="0" fontId="79" fillId="0" borderId="12" xfId="7" applyFont="1" applyBorder="1" applyAlignment="1">
      <alignment horizontal="center" vertical="center"/>
    </xf>
    <xf numFmtId="0" fontId="21" fillId="19" borderId="49" xfId="7" applyFont="1" applyFill="1" applyBorder="1" applyAlignment="1">
      <alignment horizontal="center" vertical="center" wrapText="1"/>
    </xf>
    <xf numFmtId="0" fontId="21" fillId="20" borderId="49" xfId="7" applyFont="1" applyFill="1" applyBorder="1" applyAlignment="1">
      <alignment horizontal="center" vertical="center" wrapText="1"/>
    </xf>
    <xf numFmtId="0" fontId="21" fillId="21" borderId="49" xfId="7" applyFont="1" applyFill="1" applyBorder="1" applyAlignment="1">
      <alignment horizontal="center" vertical="center" wrapText="1"/>
    </xf>
    <xf numFmtId="166" fontId="0" fillId="0" borderId="0" xfId="4" applyNumberFormat="1" applyFont="1" applyAlignment="1">
      <alignment vertical="center"/>
    </xf>
    <xf numFmtId="0" fontId="68" fillId="0" borderId="0" xfId="6" applyFont="1" applyAlignment="1">
      <alignment horizontal="left" vertical="center" indent="2"/>
    </xf>
    <xf numFmtId="0" fontId="63" fillId="0" borderId="0" xfId="5" applyFont="1" applyAlignment="1">
      <alignment horizontal="left" vertical="center" indent="4"/>
    </xf>
    <xf numFmtId="0" fontId="48" fillId="12" borderId="10" xfId="7" applyFont="1" applyFill="1" applyBorder="1" applyAlignment="1">
      <alignment horizontal="center" vertical="center" wrapText="1"/>
    </xf>
    <xf numFmtId="0" fontId="8" fillId="0" borderId="0" xfId="0" applyFont="1" applyAlignment="1">
      <alignment vertical="center"/>
    </xf>
    <xf numFmtId="0" fontId="80" fillId="0" borderId="0" xfId="0" applyFont="1" applyAlignment="1">
      <alignment vertical="center"/>
    </xf>
    <xf numFmtId="0" fontId="81" fillId="0" borderId="0" xfId="0" applyFont="1" applyAlignment="1">
      <alignment vertical="center"/>
    </xf>
    <xf numFmtId="9" fontId="20" fillId="0" borderId="0" xfId="3" applyFont="1" applyFill="1" applyBorder="1" applyAlignment="1">
      <alignment vertical="center"/>
    </xf>
    <xf numFmtId="9" fontId="20" fillId="0" borderId="0" xfId="0" applyNumberFormat="1" applyFont="1" applyAlignment="1">
      <alignment horizontal="center" vertical="center"/>
    </xf>
    <xf numFmtId="0" fontId="28" fillId="0" borderId="0" xfId="0" applyFont="1" applyAlignment="1">
      <alignment horizontal="left" vertical="center" wrapText="1"/>
    </xf>
    <xf numFmtId="0" fontId="83" fillId="0" borderId="0" xfId="0" applyFont="1" applyAlignment="1">
      <alignment vertical="center"/>
    </xf>
    <xf numFmtId="0" fontId="83" fillId="0" borderId="0" xfId="0" applyFont="1"/>
    <xf numFmtId="0" fontId="82" fillId="0" borderId="37" xfId="0" applyFont="1" applyBorder="1" applyAlignment="1">
      <alignment horizontal="center" vertical="center"/>
    </xf>
    <xf numFmtId="0" fontId="83" fillId="0" borderId="37" xfId="0" applyFont="1" applyBorder="1" applyAlignment="1">
      <alignment vertical="center" wrapText="1"/>
    </xf>
    <xf numFmtId="166" fontId="83" fillId="0" borderId="37" xfId="0" applyNumberFormat="1" applyFont="1" applyBorder="1" applyAlignment="1">
      <alignment vertical="center"/>
    </xf>
    <xf numFmtId="166" fontId="83" fillId="0" borderId="37" xfId="4" applyNumberFormat="1" applyFont="1" applyBorder="1" applyAlignment="1">
      <alignment vertical="center"/>
    </xf>
    <xf numFmtId="0" fontId="82" fillId="0" borderId="37" xfId="0" applyFont="1" applyBorder="1" applyAlignment="1">
      <alignment vertical="center" wrapText="1"/>
    </xf>
    <xf numFmtId="166" fontId="82" fillId="0" borderId="37" xfId="0" applyNumberFormat="1" applyFont="1" applyBorder="1" applyAlignment="1">
      <alignment vertical="center"/>
    </xf>
    <xf numFmtId="166" fontId="82" fillId="0" borderId="37" xfId="4" applyNumberFormat="1" applyFont="1" applyBorder="1" applyAlignment="1">
      <alignment vertical="center"/>
    </xf>
    <xf numFmtId="0" fontId="82" fillId="0" borderId="0" xfId="0" applyFont="1" applyAlignment="1">
      <alignment vertical="center" wrapText="1"/>
    </xf>
    <xf numFmtId="166" fontId="82" fillId="0" borderId="0" xfId="0" applyNumberFormat="1" applyFont="1" applyAlignment="1">
      <alignment vertical="center"/>
    </xf>
    <xf numFmtId="166" fontId="82" fillId="0" borderId="0" xfId="4" applyNumberFormat="1" applyFont="1" applyBorder="1" applyAlignment="1">
      <alignment vertical="center"/>
    </xf>
    <xf numFmtId="0" fontId="78" fillId="0" borderId="0" xfId="0" applyFont="1"/>
    <xf numFmtId="0" fontId="8" fillId="0" borderId="37" xfId="0" applyFont="1" applyBorder="1" applyAlignment="1">
      <alignment vertical="center"/>
    </xf>
    <xf numFmtId="166" fontId="0" fillId="0" borderId="0" xfId="0" applyNumberFormat="1"/>
    <xf numFmtId="9" fontId="42" fillId="0" borderId="16" xfId="0" applyNumberFormat="1" applyFont="1" applyBorder="1" applyAlignment="1">
      <alignment vertical="center"/>
    </xf>
    <xf numFmtId="9" fontId="42" fillId="0" borderId="33" xfId="0" applyNumberFormat="1" applyFont="1" applyBorder="1" applyAlignment="1">
      <alignment vertical="center"/>
    </xf>
    <xf numFmtId="9" fontId="42" fillId="0" borderId="21" xfId="0" applyNumberFormat="1" applyFont="1" applyBorder="1" applyAlignment="1">
      <alignment vertical="center"/>
    </xf>
    <xf numFmtId="0" fontId="8" fillId="0" borderId="0" xfId="0" quotePrefix="1" applyFont="1"/>
    <xf numFmtId="0" fontId="84" fillId="0" borderId="0" xfId="0" applyFont="1"/>
    <xf numFmtId="0" fontId="85" fillId="0" borderId="0" xfId="0" applyFont="1"/>
    <xf numFmtId="0" fontId="8" fillId="0" borderId="0" xfId="0" applyFont="1"/>
    <xf numFmtId="0" fontId="10" fillId="0" borderId="0" xfId="0" applyFont="1" applyAlignment="1">
      <alignment horizontal="center"/>
    </xf>
    <xf numFmtId="0" fontId="10" fillId="0" borderId="0" xfId="0" applyFont="1"/>
    <xf numFmtId="9" fontId="10" fillId="0" borderId="0" xfId="3" applyFont="1" applyBorder="1"/>
    <xf numFmtId="0" fontId="0" fillId="0" borderId="37" xfId="0" applyBorder="1" applyAlignment="1">
      <alignment vertical="center" wrapText="1"/>
    </xf>
    <xf numFmtId="166" fontId="0" fillId="0" borderId="37" xfId="4" applyNumberFormat="1" applyFont="1" applyFill="1" applyBorder="1" applyAlignment="1">
      <alignment vertical="center" wrapText="1"/>
    </xf>
    <xf numFmtId="9" fontId="42" fillId="0" borderId="37" xfId="0" applyNumberFormat="1" applyFont="1" applyBorder="1" applyAlignment="1">
      <alignment vertical="center" wrapText="1"/>
    </xf>
    <xf numFmtId="0" fontId="8" fillId="0" borderId="37" xfId="0" applyFont="1" applyBorder="1" applyAlignment="1">
      <alignment vertical="center" wrapText="1"/>
    </xf>
    <xf numFmtId="166" fontId="0" fillId="0" borderId="37" xfId="0" applyNumberFormat="1" applyBorder="1" applyAlignment="1">
      <alignment vertical="center" wrapText="1"/>
    </xf>
    <xf numFmtId="9" fontId="42" fillId="0" borderId="37" xfId="3" applyFont="1" applyFill="1" applyBorder="1" applyAlignment="1">
      <alignment vertical="center" wrapText="1"/>
    </xf>
    <xf numFmtId="0" fontId="8" fillId="0" borderId="37" xfId="0" applyFont="1" applyBorder="1" applyAlignment="1">
      <alignment horizontal="left" vertical="center"/>
    </xf>
    <xf numFmtId="0" fontId="26" fillId="0" borderId="37" xfId="0" applyFont="1" applyBorder="1" applyAlignment="1">
      <alignment horizontal="center" vertical="center"/>
    </xf>
    <xf numFmtId="0" fontId="28" fillId="0" borderId="37" xfId="0" applyFont="1" applyBorder="1" applyAlignment="1">
      <alignment horizontal="left" vertical="center"/>
    </xf>
    <xf numFmtId="0" fontId="8" fillId="0" borderId="0" xfId="0" applyFont="1" applyAlignment="1">
      <alignment vertical="center" wrapText="1"/>
    </xf>
    <xf numFmtId="164" fontId="18" fillId="0" borderId="37" xfId="4" applyFont="1" applyBorder="1" applyAlignment="1">
      <alignment vertical="center"/>
    </xf>
    <xf numFmtId="164" fontId="34" fillId="0" borderId="37" xfId="4" applyFont="1" applyFill="1" applyBorder="1"/>
    <xf numFmtId="0" fontId="10" fillId="0" borderId="37" xfId="0" applyFont="1" applyBorder="1" applyAlignment="1">
      <alignment horizontal="left" vertical="center"/>
    </xf>
    <xf numFmtId="0" fontId="22" fillId="0" borderId="22" xfId="0" applyFont="1" applyBorder="1" applyAlignment="1">
      <alignment horizontal="left" vertical="center" wrapText="1"/>
    </xf>
    <xf numFmtId="0" fontId="28" fillId="0" borderId="37" xfId="0" quotePrefix="1" applyFont="1" applyBorder="1" applyAlignment="1">
      <alignment horizontal="left" vertical="top" wrapText="1"/>
    </xf>
    <xf numFmtId="166" fontId="0" fillId="0" borderId="37" xfId="0" applyNumberFormat="1" applyBorder="1" applyAlignment="1">
      <alignment horizontal="center" vertical="center" wrapText="1"/>
    </xf>
    <xf numFmtId="166" fontId="10" fillId="0" borderId="37" xfId="0" applyNumberFormat="1" applyFont="1" applyBorder="1" applyAlignment="1">
      <alignment vertical="center"/>
    </xf>
    <xf numFmtId="9" fontId="10" fillId="0" borderId="37" xfId="0" applyNumberFormat="1" applyFont="1" applyBorder="1" applyAlignment="1">
      <alignment vertical="center"/>
    </xf>
    <xf numFmtId="0" fontId="8" fillId="0" borderId="19" xfId="0" applyFont="1" applyBorder="1" applyAlignment="1">
      <alignment vertical="center"/>
    </xf>
    <xf numFmtId="0" fontId="8" fillId="0" borderId="31" xfId="0" applyFont="1" applyBorder="1" applyAlignment="1">
      <alignment vertical="center"/>
    </xf>
    <xf numFmtId="0" fontId="8" fillId="0" borderId="32" xfId="0" applyFont="1" applyBorder="1" applyAlignment="1">
      <alignment vertical="center"/>
    </xf>
    <xf numFmtId="0" fontId="10" fillId="0" borderId="66" xfId="0" applyFont="1" applyBorder="1" applyAlignment="1">
      <alignment horizontal="center" vertical="center"/>
    </xf>
    <xf numFmtId="0" fontId="10" fillId="0" borderId="38" xfId="0" applyFont="1" applyBorder="1" applyAlignment="1">
      <alignment horizontal="center" vertical="center"/>
    </xf>
    <xf numFmtId="9" fontId="0" fillId="0" borderId="14" xfId="0" applyNumberFormat="1" applyBorder="1" applyAlignment="1">
      <alignment horizontal="center" vertical="center"/>
    </xf>
    <xf numFmtId="9" fontId="0" fillId="0" borderId="24" xfId="0" applyNumberFormat="1" applyBorder="1" applyAlignment="1">
      <alignment horizontal="center" vertical="center"/>
    </xf>
    <xf numFmtId="9" fontId="0" fillId="0" borderId="28" xfId="0" applyNumberFormat="1" applyBorder="1" applyAlignment="1">
      <alignment horizontal="center" vertical="center"/>
    </xf>
    <xf numFmtId="9" fontId="0" fillId="0" borderId="52" xfId="0" applyNumberFormat="1" applyBorder="1" applyAlignment="1">
      <alignment horizontal="center" vertical="center"/>
    </xf>
    <xf numFmtId="9" fontId="18" fillId="0" borderId="46" xfId="3" applyFont="1" applyBorder="1" applyAlignment="1">
      <alignment vertical="center"/>
    </xf>
    <xf numFmtId="164" fontId="18" fillId="0" borderId="46" xfId="4" applyFont="1" applyBorder="1" applyAlignment="1">
      <alignment vertical="center"/>
    </xf>
    <xf numFmtId="166" fontId="20" fillId="0" borderId="16" xfId="4" applyNumberFormat="1" applyFont="1" applyBorder="1" applyAlignment="1">
      <alignment vertical="center"/>
    </xf>
    <xf numFmtId="166" fontId="20" fillId="0" borderId="33" xfId="4" applyNumberFormat="1" applyFont="1" applyBorder="1" applyAlignment="1">
      <alignment vertical="center"/>
    </xf>
    <xf numFmtId="9" fontId="18" fillId="0" borderId="23" xfId="3" applyFont="1" applyBorder="1" applyAlignment="1">
      <alignment vertical="center"/>
    </xf>
    <xf numFmtId="164" fontId="18" fillId="0" borderId="23" xfId="4" applyFont="1" applyBorder="1" applyAlignment="1">
      <alignment vertical="center"/>
    </xf>
    <xf numFmtId="166" fontId="20" fillId="0" borderId="21" xfId="4" applyNumberFormat="1" applyFont="1" applyBorder="1" applyAlignment="1">
      <alignment vertical="center"/>
    </xf>
    <xf numFmtId="0" fontId="82" fillId="0" borderId="0" xfId="0" applyFont="1" applyAlignment="1">
      <alignment horizontal="center" vertical="center"/>
    </xf>
    <xf numFmtId="166" fontId="0" fillId="0" borderId="14" xfId="0" applyNumberFormat="1" applyBorder="1" applyAlignment="1">
      <alignment vertical="center"/>
    </xf>
    <xf numFmtId="166" fontId="0" fillId="0" borderId="24" xfId="0" applyNumberFormat="1" applyBorder="1" applyAlignment="1">
      <alignment vertical="center"/>
    </xf>
    <xf numFmtId="166" fontId="0" fillId="0" borderId="28" xfId="0" applyNumberFormat="1" applyBorder="1" applyAlignment="1">
      <alignment vertical="center"/>
    </xf>
    <xf numFmtId="166" fontId="0" fillId="0" borderId="52" xfId="0" applyNumberFormat="1" applyBorder="1" applyAlignment="1">
      <alignment vertical="center"/>
    </xf>
    <xf numFmtId="166" fontId="10" fillId="0" borderId="37" xfId="4" applyNumberFormat="1" applyFont="1" applyBorder="1" applyAlignment="1">
      <alignment vertical="center"/>
    </xf>
    <xf numFmtId="0" fontId="0" fillId="0" borderId="37" xfId="0" applyBorder="1" applyAlignment="1">
      <alignment vertical="center"/>
    </xf>
    <xf numFmtId="9" fontId="0" fillId="0" borderId="37" xfId="3" applyFont="1" applyFill="1" applyBorder="1" applyAlignment="1">
      <alignment vertical="center"/>
    </xf>
    <xf numFmtId="166" fontId="18" fillId="0" borderId="46" xfId="0" applyNumberFormat="1" applyFont="1" applyBorder="1" applyAlignment="1">
      <alignment vertical="center"/>
    </xf>
    <xf numFmtId="166" fontId="18" fillId="0" borderId="23" xfId="0" applyNumberFormat="1" applyFont="1" applyBorder="1" applyAlignment="1">
      <alignment vertical="center"/>
    </xf>
    <xf numFmtId="0" fontId="20" fillId="0" borderId="59" xfId="0" applyFont="1" applyBorder="1" applyAlignment="1">
      <alignment horizontal="center" vertical="center" wrapText="1"/>
    </xf>
    <xf numFmtId="0" fontId="41" fillId="0" borderId="10" xfId="0" applyFont="1" applyBorder="1" applyAlignment="1">
      <alignment vertical="center"/>
    </xf>
    <xf numFmtId="166" fontId="41" fillId="0" borderId="49" xfId="0" applyNumberFormat="1" applyFont="1" applyBorder="1" applyAlignment="1">
      <alignment vertical="center"/>
    </xf>
    <xf numFmtId="0" fontId="21" fillId="0" borderId="10" xfId="7" applyFont="1" applyBorder="1" applyAlignment="1">
      <alignment vertical="center" wrapText="1"/>
    </xf>
    <xf numFmtId="0" fontId="61" fillId="38" borderId="10" xfId="5" applyFont="1" applyFill="1" applyBorder="1" applyAlignment="1">
      <alignment horizontal="center" vertical="center" wrapText="1"/>
    </xf>
    <xf numFmtId="0" fontId="18" fillId="0" borderId="10" xfId="7" applyFont="1" applyBorder="1" applyAlignment="1">
      <alignment vertical="center" wrapText="1"/>
    </xf>
    <xf numFmtId="0" fontId="18" fillId="0" borderId="17" xfId="7" applyFont="1" applyBorder="1" applyAlignment="1">
      <alignment vertical="center" wrapText="1"/>
    </xf>
    <xf numFmtId="0" fontId="18" fillId="0" borderId="29" xfId="7" applyFont="1" applyBorder="1" applyAlignment="1">
      <alignment vertical="center" wrapText="1"/>
    </xf>
    <xf numFmtId="0" fontId="11" fillId="43" borderId="11" xfId="7" applyFont="1" applyFill="1" applyBorder="1" applyAlignment="1">
      <alignment horizontal="center" vertical="center" wrapText="1"/>
    </xf>
    <xf numFmtId="166" fontId="86" fillId="0" borderId="11" xfId="5" applyNumberFormat="1" applyFont="1" applyBorder="1" applyAlignment="1">
      <alignment horizontal="center" vertical="center" wrapText="1"/>
    </xf>
    <xf numFmtId="166" fontId="86" fillId="0" borderId="18" xfId="5" applyNumberFormat="1" applyFont="1" applyBorder="1" applyAlignment="1">
      <alignment horizontal="center" vertical="center" wrapText="1"/>
    </xf>
    <xf numFmtId="166" fontId="87" fillId="0" borderId="30" xfId="5" applyNumberFormat="1" applyFont="1" applyBorder="1" applyAlignment="1">
      <alignment horizontal="center" vertical="center" wrapText="1"/>
    </xf>
    <xf numFmtId="9" fontId="83" fillId="0" borderId="18" xfId="0" applyNumberFormat="1" applyFont="1" applyBorder="1" applyAlignment="1">
      <alignment vertical="center"/>
    </xf>
    <xf numFmtId="9" fontId="83" fillId="0" borderId="26" xfId="0" applyNumberFormat="1" applyFont="1" applyBorder="1" applyAlignment="1">
      <alignment vertical="center"/>
    </xf>
    <xf numFmtId="9" fontId="83" fillId="0" borderId="26" xfId="3" applyFont="1" applyBorder="1" applyAlignment="1">
      <alignment vertical="center"/>
    </xf>
    <xf numFmtId="9" fontId="83" fillId="0" borderId="30" xfId="0" applyNumberFormat="1" applyFont="1" applyBorder="1" applyAlignment="1">
      <alignment vertical="center"/>
    </xf>
    <xf numFmtId="171" fontId="83" fillId="0" borderId="18" xfId="4" applyNumberFormat="1" applyFont="1" applyBorder="1" applyAlignment="1">
      <alignment vertical="center" wrapText="1"/>
    </xf>
    <xf numFmtId="171" fontId="83" fillId="0" borderId="26" xfId="4" applyNumberFormat="1" applyFont="1" applyBorder="1" applyAlignment="1">
      <alignment vertical="center" wrapText="1"/>
    </xf>
    <xf numFmtId="171" fontId="83" fillId="0" borderId="30" xfId="4" applyNumberFormat="1" applyFont="1" applyBorder="1" applyAlignment="1">
      <alignment vertical="center" wrapText="1"/>
    </xf>
    <xf numFmtId="166" fontId="21" fillId="40" borderId="11" xfId="0" applyNumberFormat="1" applyFont="1" applyFill="1" applyBorder="1" applyAlignment="1">
      <alignment vertical="center"/>
    </xf>
    <xf numFmtId="0" fontId="11" fillId="43" borderId="49" xfId="7" applyFont="1" applyFill="1" applyBorder="1" applyAlignment="1">
      <alignment horizontal="center" vertical="center" wrapText="1"/>
    </xf>
    <xf numFmtId="166" fontId="86" fillId="0" borderId="49" xfId="5" applyNumberFormat="1" applyFont="1" applyBorder="1" applyAlignment="1">
      <alignment horizontal="center" vertical="center" wrapText="1"/>
    </xf>
    <xf numFmtId="166" fontId="86" fillId="0" borderId="14" xfId="5" applyNumberFormat="1" applyFont="1" applyBorder="1" applyAlignment="1">
      <alignment horizontal="center" vertical="center" wrapText="1"/>
    </xf>
    <xf numFmtId="166" fontId="87" fillId="0" borderId="28" xfId="5" applyNumberFormat="1" applyFont="1" applyBorder="1" applyAlignment="1">
      <alignment horizontal="center" vertical="center" wrapText="1"/>
    </xf>
    <xf numFmtId="9" fontId="83" fillId="0" borderId="14" xfId="0" applyNumberFormat="1" applyFont="1" applyBorder="1" applyAlignment="1">
      <alignment vertical="center"/>
    </xf>
    <xf numFmtId="170" fontId="83" fillId="0" borderId="24" xfId="0" applyNumberFormat="1" applyFont="1" applyBorder="1" applyAlignment="1">
      <alignment vertical="center"/>
    </xf>
    <xf numFmtId="9" fontId="83" fillId="0" borderId="24" xfId="0" applyNumberFormat="1" applyFont="1" applyBorder="1" applyAlignment="1">
      <alignment vertical="center"/>
    </xf>
    <xf numFmtId="9" fontId="83" fillId="0" borderId="28" xfId="0" applyNumberFormat="1" applyFont="1" applyBorder="1" applyAlignment="1">
      <alignment vertical="center"/>
    </xf>
    <xf numFmtId="171" fontId="83" fillId="0" borderId="14" xfId="4" applyNumberFormat="1" applyFont="1" applyBorder="1" applyAlignment="1">
      <alignment vertical="center" wrapText="1"/>
    </xf>
    <xf numFmtId="171" fontId="83" fillId="0" borderId="24" xfId="4" applyNumberFormat="1" applyFont="1" applyBorder="1" applyAlignment="1">
      <alignment vertical="center" wrapText="1"/>
    </xf>
    <xf numFmtId="171" fontId="83" fillId="0" borderId="28" xfId="4" applyNumberFormat="1" applyFont="1" applyBorder="1" applyAlignment="1">
      <alignment vertical="center" wrapText="1"/>
    </xf>
    <xf numFmtId="166" fontId="21" fillId="40" borderId="49" xfId="0" applyNumberFormat="1" applyFont="1" applyFill="1" applyBorder="1" applyAlignment="1">
      <alignment vertical="center"/>
    </xf>
    <xf numFmtId="9" fontId="83" fillId="0" borderId="14" xfId="3" applyFont="1" applyBorder="1" applyAlignment="1">
      <alignment vertical="center" wrapText="1"/>
    </xf>
    <xf numFmtId="9" fontId="83" fillId="0" borderId="24" xfId="3" applyFont="1" applyBorder="1" applyAlignment="1">
      <alignment vertical="center" wrapText="1"/>
    </xf>
    <xf numFmtId="170" fontId="83" fillId="0" borderId="24" xfId="3" applyNumberFormat="1" applyFont="1" applyBorder="1" applyAlignment="1">
      <alignment vertical="center" wrapText="1"/>
    </xf>
    <xf numFmtId="9" fontId="83" fillId="0" borderId="28" xfId="3" applyFont="1" applyBorder="1" applyAlignment="1">
      <alignment vertical="center" wrapText="1"/>
    </xf>
    <xf numFmtId="0" fontId="61" fillId="41" borderId="44" xfId="5" applyFont="1" applyFill="1" applyBorder="1" applyAlignment="1">
      <alignment horizontal="center" vertical="center"/>
    </xf>
    <xf numFmtId="0" fontId="21" fillId="18" borderId="66" xfId="7" applyFont="1" applyFill="1" applyBorder="1" applyAlignment="1">
      <alignment horizontal="center" vertical="center" wrapText="1"/>
    </xf>
    <xf numFmtId="166" fontId="62" fillId="24" borderId="70" xfId="4" applyNumberFormat="1" applyFont="1" applyFill="1" applyBorder="1" applyAlignment="1">
      <alignment vertical="center"/>
    </xf>
    <xf numFmtId="0" fontId="30" fillId="0" borderId="29" xfId="5" applyFont="1" applyBorder="1" applyAlignment="1">
      <alignment vertical="center" wrapText="1"/>
    </xf>
    <xf numFmtId="0" fontId="22" fillId="0" borderId="17" xfId="7" applyFont="1" applyBorder="1" applyAlignment="1">
      <alignment horizontal="left" vertical="center" wrapText="1"/>
    </xf>
    <xf numFmtId="0" fontId="22" fillId="0" borderId="29" xfId="7" applyFont="1" applyBorder="1" applyAlignment="1">
      <alignment horizontal="left" vertical="center" wrapText="1"/>
    </xf>
    <xf numFmtId="0" fontId="88" fillId="23" borderId="70" xfId="5" applyFont="1" applyFill="1" applyBorder="1" applyAlignment="1">
      <alignment vertical="center" wrapText="1"/>
    </xf>
    <xf numFmtId="166" fontId="48" fillId="24" borderId="2" xfId="4" applyNumberFormat="1" applyFont="1" applyFill="1" applyBorder="1" applyAlignment="1">
      <alignment vertical="center" wrapText="1"/>
    </xf>
    <xf numFmtId="10" fontId="22" fillId="0" borderId="0" xfId="0" applyNumberFormat="1" applyFont="1" applyAlignment="1">
      <alignment vertical="center"/>
    </xf>
    <xf numFmtId="9" fontId="22" fillId="0" borderId="37" xfId="0" quotePrefix="1" applyNumberFormat="1" applyFont="1" applyBorder="1" applyAlignment="1">
      <alignment vertical="center"/>
    </xf>
    <xf numFmtId="0" fontId="22" fillId="0" borderId="15" xfId="0" applyFont="1" applyBorder="1" applyAlignment="1">
      <alignment vertical="center"/>
    </xf>
    <xf numFmtId="0" fontId="22" fillId="0" borderId="35" xfId="0" applyFont="1" applyBorder="1" applyAlignment="1">
      <alignment horizontal="left" vertical="center" wrapText="1"/>
    </xf>
    <xf numFmtId="0" fontId="28" fillId="0" borderId="37" xfId="0" quotePrefix="1" applyFont="1" applyBorder="1" applyAlignment="1">
      <alignment horizontal="left" vertical="center" wrapText="1"/>
    </xf>
    <xf numFmtId="9" fontId="22" fillId="0" borderId="33" xfId="0" quotePrefix="1" applyNumberFormat="1" applyFont="1" applyBorder="1" applyAlignment="1">
      <alignment vertical="center"/>
    </xf>
    <xf numFmtId="9" fontId="21" fillId="0" borderId="23" xfId="3" applyFont="1" applyBorder="1" applyAlignment="1">
      <alignment vertical="center"/>
    </xf>
    <xf numFmtId="9" fontId="21" fillId="0" borderId="21" xfId="3" applyFont="1" applyBorder="1" applyAlignment="1">
      <alignment vertical="center"/>
    </xf>
    <xf numFmtId="0" fontId="21" fillId="20" borderId="49" xfId="0" quotePrefix="1" applyFont="1" applyFill="1" applyBorder="1" applyAlignment="1">
      <alignment horizontal="center" vertical="center"/>
    </xf>
    <xf numFmtId="0" fontId="22" fillId="0" borderId="24" xfId="0" applyFont="1" applyBorder="1" applyAlignment="1">
      <alignment vertical="center"/>
    </xf>
    <xf numFmtId="0" fontId="21" fillId="0" borderId="28" xfId="0" applyFont="1" applyBorder="1" applyAlignment="1">
      <alignment vertical="center"/>
    </xf>
    <xf numFmtId="9" fontId="22" fillId="0" borderId="40" xfId="3" applyFont="1" applyBorder="1" applyAlignment="1">
      <alignment vertical="center"/>
    </xf>
    <xf numFmtId="9" fontId="21" fillId="0" borderId="56" xfId="3" applyFont="1" applyBorder="1" applyAlignment="1">
      <alignment vertical="center"/>
    </xf>
    <xf numFmtId="9" fontId="22" fillId="0" borderId="35" xfId="0" quotePrefix="1" applyNumberFormat="1" applyFont="1" applyBorder="1" applyAlignment="1">
      <alignment vertical="center"/>
    </xf>
    <xf numFmtId="9" fontId="21" fillId="0" borderId="22" xfId="3" applyFont="1" applyBorder="1" applyAlignment="1">
      <alignment vertical="center"/>
    </xf>
    <xf numFmtId="0" fontId="22" fillId="0" borderId="52" xfId="0" applyFont="1" applyBorder="1" applyAlignment="1">
      <alignment vertical="center"/>
    </xf>
    <xf numFmtId="0" fontId="21" fillId="0" borderId="49" xfId="0" applyFont="1" applyBorder="1" applyAlignment="1">
      <alignment horizontal="center" vertical="center"/>
    </xf>
    <xf numFmtId="0" fontId="63" fillId="0" borderId="0" xfId="5" applyFont="1" applyAlignment="1">
      <alignment vertical="center"/>
    </xf>
    <xf numFmtId="0" fontId="30" fillId="0" borderId="35" xfId="5" applyFont="1" applyBorder="1" applyAlignment="1">
      <alignment vertical="center" wrapText="1"/>
    </xf>
    <xf numFmtId="171" fontId="22" fillId="0" borderId="37" xfId="4" applyNumberFormat="1" applyFont="1" applyBorder="1" applyAlignment="1">
      <alignment vertical="center" wrapText="1"/>
    </xf>
    <xf numFmtId="173" fontId="30" fillId="0" borderId="37" xfId="5" applyNumberFormat="1" applyFont="1" applyBorder="1" applyAlignment="1">
      <alignment vertical="center" wrapText="1"/>
    </xf>
    <xf numFmtId="9" fontId="22" fillId="0" borderId="37" xfId="3" applyFont="1" applyBorder="1" applyAlignment="1">
      <alignment horizontal="center" vertical="center"/>
    </xf>
    <xf numFmtId="0" fontId="22" fillId="0" borderId="33" xfId="0" applyFont="1" applyBorder="1" applyAlignment="1">
      <alignment vertical="center" wrapText="1"/>
    </xf>
    <xf numFmtId="171" fontId="22" fillId="0" borderId="23" xfId="4" applyNumberFormat="1" applyFont="1" applyBorder="1" applyAlignment="1">
      <alignment vertical="center" wrapText="1"/>
    </xf>
    <xf numFmtId="173" fontId="30" fillId="0" borderId="23" xfId="5" applyNumberFormat="1" applyFont="1" applyBorder="1" applyAlignment="1">
      <alignment vertical="center" wrapText="1"/>
    </xf>
    <xf numFmtId="9" fontId="22" fillId="0" borderId="23" xfId="3" applyFont="1" applyBorder="1" applyAlignment="1">
      <alignment horizontal="center" vertical="center"/>
    </xf>
    <xf numFmtId="0" fontId="22" fillId="0" borderId="21" xfId="0" applyFont="1" applyBorder="1" applyAlignment="1">
      <alignment vertical="center" wrapText="1"/>
    </xf>
    <xf numFmtId="0" fontId="89" fillId="0" borderId="49" xfId="0" quotePrefix="1" applyFont="1" applyBorder="1" applyAlignment="1">
      <alignment horizontal="center" vertical="center"/>
    </xf>
    <xf numFmtId="0" fontId="21" fillId="0" borderId="15"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0" xfId="0" applyFont="1" applyAlignment="1">
      <alignment horizontal="left" vertical="center"/>
    </xf>
    <xf numFmtId="0" fontId="62" fillId="16" borderId="15" xfId="0" applyFont="1" applyFill="1" applyBorder="1" applyAlignment="1">
      <alignment horizontal="center" vertical="center"/>
    </xf>
    <xf numFmtId="0" fontId="62" fillId="16" borderId="46" xfId="0" applyFont="1" applyFill="1" applyBorder="1" applyAlignment="1">
      <alignment horizontal="center" vertical="center"/>
    </xf>
    <xf numFmtId="0" fontId="62" fillId="16" borderId="16" xfId="0" applyFont="1" applyFill="1" applyBorder="1" applyAlignment="1">
      <alignment horizontal="center" vertical="center"/>
    </xf>
    <xf numFmtId="2" fontId="22" fillId="0" borderId="40" xfId="0" applyNumberFormat="1" applyFont="1" applyBorder="1" applyAlignment="1">
      <alignment horizontal="center" vertical="center"/>
    </xf>
    <xf numFmtId="0" fontId="22" fillId="0" borderId="33" xfId="0" applyFont="1" applyBorder="1" applyAlignment="1">
      <alignment vertical="center"/>
    </xf>
    <xf numFmtId="0" fontId="22" fillId="0" borderId="23" xfId="0" applyFont="1" applyBorder="1" applyAlignment="1">
      <alignment vertical="center"/>
    </xf>
    <xf numFmtId="0" fontId="22" fillId="0" borderId="21" xfId="0" applyFont="1" applyBorder="1" applyAlignment="1">
      <alignment vertical="center"/>
    </xf>
    <xf numFmtId="0" fontId="47" fillId="0" borderId="0" xfId="0" applyFont="1" applyAlignment="1">
      <alignment vertical="center"/>
    </xf>
    <xf numFmtId="0" fontId="21" fillId="25" borderId="1" xfId="0" applyFont="1" applyFill="1" applyBorder="1" applyAlignment="1">
      <alignment horizontal="center" vertical="center" wrapText="1"/>
    </xf>
    <xf numFmtId="170" fontId="21" fillId="44" borderId="2" xfId="3" applyNumberFormat="1" applyFont="1" applyFill="1" applyBorder="1" applyAlignment="1">
      <alignment vertical="center"/>
    </xf>
    <xf numFmtId="0" fontId="22" fillId="0" borderId="46" xfId="0" applyFont="1" applyBorder="1" applyAlignment="1">
      <alignment vertical="center"/>
    </xf>
    <xf numFmtId="0" fontId="22" fillId="0" borderId="16" xfId="0" applyFont="1" applyBorder="1" applyAlignment="1">
      <alignment vertical="center"/>
    </xf>
    <xf numFmtId="9" fontId="22" fillId="0" borderId="23" xfId="3" applyFont="1" applyBorder="1" applyAlignment="1">
      <alignment vertical="center"/>
    </xf>
    <xf numFmtId="0" fontId="22" fillId="0" borderId="109" xfId="0" applyFont="1" applyBorder="1" applyAlignment="1">
      <alignment vertical="center"/>
    </xf>
    <xf numFmtId="0" fontId="21" fillId="25" borderId="46" xfId="0" applyFont="1" applyFill="1" applyBorder="1" applyAlignment="1">
      <alignment horizontal="center" vertical="center" wrapText="1"/>
    </xf>
    <xf numFmtId="170" fontId="22" fillId="0" borderId="2" xfId="3" applyNumberFormat="1" applyFont="1" applyBorder="1" applyAlignment="1">
      <alignment vertical="center"/>
    </xf>
    <xf numFmtId="168" fontId="22" fillId="0" borderId="46" xfId="0" applyNumberFormat="1" applyFont="1" applyBorder="1" applyAlignment="1">
      <alignment vertical="center" wrapText="1"/>
    </xf>
    <xf numFmtId="0" fontId="22" fillId="0" borderId="16" xfId="0" applyFont="1" applyBorder="1" applyAlignment="1">
      <alignment vertical="center" wrapText="1"/>
    </xf>
    <xf numFmtId="168" fontId="22" fillId="0" borderId="37" xfId="0" applyNumberFormat="1" applyFont="1" applyBorder="1" applyAlignment="1">
      <alignment vertical="center"/>
    </xf>
    <xf numFmtId="167" fontId="30" fillId="0" borderId="23" xfId="4" applyNumberFormat="1" applyFont="1" applyBorder="1" applyAlignment="1">
      <alignment vertical="center"/>
    </xf>
    <xf numFmtId="167" fontId="30" fillId="0" borderId="21" xfId="4" applyNumberFormat="1" applyFont="1" applyBorder="1" applyAlignment="1">
      <alignment vertical="center"/>
    </xf>
    <xf numFmtId="9" fontId="22" fillId="0" borderId="109" xfId="0" applyNumberFormat="1" applyFont="1" applyBorder="1" applyAlignment="1">
      <alignment vertical="center"/>
    </xf>
    <xf numFmtId="9" fontId="22" fillId="0" borderId="0" xfId="3" applyFont="1" applyAlignment="1">
      <alignment vertical="center"/>
    </xf>
    <xf numFmtId="171" fontId="21" fillId="44" borderId="2" xfId="4" applyNumberFormat="1" applyFont="1" applyFill="1" applyBorder="1" applyAlignment="1">
      <alignment vertical="center"/>
    </xf>
    <xf numFmtId="173" fontId="22" fillId="0" borderId="0" xfId="0" applyNumberFormat="1" applyFont="1" applyAlignment="1">
      <alignment vertical="center"/>
    </xf>
    <xf numFmtId="170" fontId="22" fillId="0" borderId="0" xfId="0" applyNumberFormat="1" applyFont="1" applyAlignment="1">
      <alignment vertical="center"/>
    </xf>
    <xf numFmtId="0" fontId="21" fillId="25" borderId="14" xfId="0" applyFont="1" applyFill="1" applyBorder="1" applyAlignment="1">
      <alignment horizontal="center" vertical="center" wrapText="1"/>
    </xf>
    <xf numFmtId="0" fontId="21" fillId="25" borderId="18" xfId="0" applyFont="1" applyFill="1" applyBorder="1" applyAlignment="1">
      <alignment horizontal="center" vertical="center" wrapText="1"/>
    </xf>
    <xf numFmtId="0" fontId="21" fillId="25" borderId="24" xfId="0" applyFont="1" applyFill="1" applyBorder="1" applyAlignment="1">
      <alignment horizontal="center" vertical="center" wrapText="1"/>
    </xf>
    <xf numFmtId="170" fontId="22" fillId="0" borderId="26" xfId="0" applyNumberFormat="1" applyFont="1" applyBorder="1" applyAlignment="1">
      <alignment vertical="center"/>
    </xf>
    <xf numFmtId="9" fontId="22" fillId="0" borderId="26" xfId="3" applyFont="1" applyBorder="1" applyAlignment="1">
      <alignment vertical="center"/>
    </xf>
    <xf numFmtId="0" fontId="21" fillId="25" borderId="28" xfId="0" applyFont="1" applyFill="1" applyBorder="1" applyAlignment="1">
      <alignment horizontal="center" vertical="center" wrapText="1"/>
    </xf>
    <xf numFmtId="9" fontId="22" fillId="0" borderId="30" xfId="3" applyFont="1" applyBorder="1" applyAlignment="1">
      <alignment vertical="center"/>
    </xf>
    <xf numFmtId="168" fontId="22" fillId="0" borderId="46" xfId="0" applyNumberFormat="1" applyFont="1" applyBorder="1" applyAlignment="1">
      <alignment horizontal="right" vertical="center" wrapText="1"/>
    </xf>
    <xf numFmtId="0" fontId="11" fillId="45" borderId="35" xfId="0" applyFont="1" applyFill="1" applyBorder="1" applyAlignment="1">
      <alignment horizontal="center" vertical="center"/>
    </xf>
    <xf numFmtId="0" fontId="0" fillId="0" borderId="33" xfId="0" applyBorder="1"/>
    <xf numFmtId="164" fontId="22" fillId="0" borderId="23" xfId="4" applyFont="1" applyFill="1" applyBorder="1" applyAlignment="1">
      <alignment vertical="center"/>
    </xf>
    <xf numFmtId="0" fontId="22" fillId="0" borderId="33" xfId="0" applyFont="1" applyBorder="1" applyAlignment="1">
      <alignment horizontal="left" vertical="center" wrapText="1"/>
    </xf>
    <xf numFmtId="2" fontId="22" fillId="0" borderId="25" xfId="0" applyNumberFormat="1" applyFont="1" applyBorder="1" applyAlignment="1">
      <alignment horizontal="left" vertical="center"/>
    </xf>
    <xf numFmtId="2" fontId="22" fillId="0" borderId="29" xfId="0" applyNumberFormat="1" applyFont="1" applyBorder="1" applyAlignment="1">
      <alignment horizontal="left" vertical="center"/>
    </xf>
    <xf numFmtId="2" fontId="22" fillId="0" borderId="56" xfId="0" applyNumberFormat="1" applyFont="1" applyBorder="1" applyAlignment="1">
      <alignment horizontal="center" vertical="center"/>
    </xf>
    <xf numFmtId="2" fontId="22" fillId="0" borderId="37" xfId="0" applyNumberFormat="1" applyFont="1" applyBorder="1" applyAlignment="1">
      <alignment vertical="center"/>
    </xf>
    <xf numFmtId="9" fontId="30" fillId="0" borderId="37" xfId="3" applyFont="1" applyFill="1" applyBorder="1" applyAlignment="1">
      <alignment vertical="center" wrapText="1"/>
    </xf>
    <xf numFmtId="9" fontId="30" fillId="0" borderId="15" xfId="3" applyFont="1" applyFill="1" applyBorder="1" applyAlignment="1">
      <alignment vertical="center" wrapText="1"/>
    </xf>
    <xf numFmtId="9" fontId="30" fillId="0" borderId="46" xfId="3" applyFont="1" applyFill="1" applyBorder="1" applyAlignment="1">
      <alignment vertical="center" wrapText="1"/>
    </xf>
    <xf numFmtId="9" fontId="30" fillId="0" borderId="16" xfId="3" applyFont="1" applyFill="1" applyBorder="1" applyAlignment="1">
      <alignment vertical="center" wrapText="1"/>
    </xf>
    <xf numFmtId="9" fontId="30" fillId="0" borderId="35" xfId="3" applyFont="1" applyFill="1" applyBorder="1" applyAlignment="1">
      <alignment vertical="center" wrapText="1"/>
    </xf>
    <xf numFmtId="9" fontId="30" fillId="0" borderId="33" xfId="3" applyFont="1" applyFill="1" applyBorder="1" applyAlignment="1">
      <alignment vertical="center" wrapText="1"/>
    </xf>
    <xf numFmtId="9" fontId="30" fillId="0" borderId="22" xfId="3" applyFont="1" applyFill="1" applyBorder="1" applyAlignment="1">
      <alignment vertical="center" wrapText="1"/>
    </xf>
    <xf numFmtId="9" fontId="30" fillId="0" borderId="23" xfId="3" applyFont="1" applyFill="1" applyBorder="1" applyAlignment="1">
      <alignment vertical="center" wrapText="1"/>
    </xf>
    <xf numFmtId="9" fontId="30" fillId="0" borderId="21" xfId="3" applyFont="1" applyFill="1" applyBorder="1" applyAlignment="1">
      <alignment vertical="center" wrapText="1"/>
    </xf>
    <xf numFmtId="164" fontId="22" fillId="0" borderId="37" xfId="4" applyFont="1" applyBorder="1" applyAlignment="1">
      <alignment vertical="center" wrapText="1"/>
    </xf>
    <xf numFmtId="164" fontId="22" fillId="0" borderId="15" xfId="4" applyFont="1" applyBorder="1" applyAlignment="1">
      <alignment vertical="center" wrapText="1"/>
    </xf>
    <xf numFmtId="164" fontId="22" fillId="0" borderId="46" xfId="4" applyFont="1" applyBorder="1" applyAlignment="1">
      <alignment vertical="center" wrapText="1"/>
    </xf>
    <xf numFmtId="164" fontId="22" fillId="0" borderId="16" xfId="4" applyFont="1" applyBorder="1" applyAlignment="1">
      <alignment vertical="center" wrapText="1"/>
    </xf>
    <xf numFmtId="164" fontId="22" fillId="0" borderId="35" xfId="4" applyFont="1" applyBorder="1" applyAlignment="1">
      <alignment vertical="center" wrapText="1"/>
    </xf>
    <xf numFmtId="164" fontId="22" fillId="0" borderId="33" xfId="4" applyFont="1" applyBorder="1" applyAlignment="1">
      <alignment vertical="center" wrapText="1"/>
    </xf>
    <xf numFmtId="164" fontId="22" fillId="0" borderId="22" xfId="4" applyFont="1" applyBorder="1" applyAlignment="1">
      <alignment vertical="center" wrapText="1"/>
    </xf>
    <xf numFmtId="164" fontId="22" fillId="0" borderId="23" xfId="4" applyFont="1" applyBorder="1" applyAlignment="1">
      <alignment vertical="center" wrapText="1"/>
    </xf>
    <xf numFmtId="164" fontId="22" fillId="0" borderId="21" xfId="4" applyFont="1" applyBorder="1" applyAlignment="1">
      <alignment vertical="center" wrapText="1"/>
    </xf>
    <xf numFmtId="9" fontId="30" fillId="0" borderId="37" xfId="3" applyFont="1" applyBorder="1" applyAlignment="1">
      <alignment vertical="center" wrapText="1"/>
    </xf>
    <xf numFmtId="9" fontId="30" fillId="0" borderId="35" xfId="3" applyFont="1" applyBorder="1" applyAlignment="1">
      <alignment vertical="center" wrapText="1"/>
    </xf>
    <xf numFmtId="9" fontId="30" fillId="0" borderId="33" xfId="3" applyFont="1" applyBorder="1" applyAlignment="1">
      <alignment vertical="center" wrapText="1"/>
    </xf>
    <xf numFmtId="9" fontId="30" fillId="0" borderId="72" xfId="3" applyFont="1" applyFill="1" applyBorder="1" applyAlignment="1">
      <alignment vertical="center" wrapText="1"/>
    </xf>
    <xf numFmtId="9" fontId="30" fillId="0" borderId="42" xfId="3" applyFont="1" applyFill="1" applyBorder="1" applyAlignment="1">
      <alignment vertical="center" wrapText="1"/>
    </xf>
    <xf numFmtId="9" fontId="30" fillId="0" borderId="57" xfId="3" applyFont="1" applyFill="1" applyBorder="1" applyAlignment="1">
      <alignment vertical="center" wrapText="1"/>
    </xf>
    <xf numFmtId="0" fontId="11" fillId="42" borderId="1" xfId="7" applyFont="1" applyFill="1" applyBorder="1" applyAlignment="1">
      <alignment horizontal="center" vertical="center" wrapText="1"/>
    </xf>
    <xf numFmtId="0" fontId="11" fillId="42" borderId="61" xfId="7" applyFont="1" applyFill="1" applyBorder="1" applyAlignment="1">
      <alignment horizontal="center" vertical="center" wrapText="1"/>
    </xf>
    <xf numFmtId="0" fontId="11" fillId="42" borderId="2" xfId="7" applyFont="1" applyFill="1" applyBorder="1" applyAlignment="1">
      <alignment horizontal="center" vertical="center" wrapText="1"/>
    </xf>
    <xf numFmtId="166" fontId="22" fillId="0" borderId="1" xfId="4" applyNumberFormat="1" applyFont="1" applyFill="1" applyBorder="1" applyAlignment="1">
      <alignment vertical="center" wrapText="1"/>
    </xf>
    <xf numFmtId="166" fontId="22" fillId="0" borderId="61" xfId="4" applyNumberFormat="1" applyFont="1" applyFill="1" applyBorder="1" applyAlignment="1">
      <alignment vertical="center" wrapText="1"/>
    </xf>
    <xf numFmtId="166" fontId="22" fillId="0" borderId="2" xfId="4" applyNumberFormat="1" applyFont="1" applyFill="1" applyBorder="1" applyAlignment="1">
      <alignment vertical="center" wrapText="1"/>
    </xf>
    <xf numFmtId="166" fontId="22" fillId="0" borderId="15" xfId="4" applyNumberFormat="1" applyFont="1" applyFill="1" applyBorder="1" applyAlignment="1">
      <alignment vertical="center" wrapText="1"/>
    </xf>
    <xf numFmtId="166" fontId="22" fillId="0" borderId="46" xfId="4" applyNumberFormat="1" applyFont="1" applyFill="1" applyBorder="1" applyAlignment="1">
      <alignment vertical="center" wrapText="1"/>
    </xf>
    <xf numFmtId="166" fontId="22" fillId="0" borderId="16" xfId="4" applyNumberFormat="1" applyFont="1" applyFill="1" applyBorder="1" applyAlignment="1">
      <alignment vertical="center" wrapText="1"/>
    </xf>
    <xf numFmtId="166" fontId="22" fillId="0" borderId="22" xfId="4" applyNumberFormat="1" applyFont="1" applyFill="1" applyBorder="1" applyAlignment="1">
      <alignment vertical="center" wrapText="1"/>
    </xf>
    <xf numFmtId="166" fontId="22" fillId="0" borderId="23" xfId="4" applyNumberFormat="1" applyFont="1" applyFill="1" applyBorder="1" applyAlignment="1">
      <alignment vertical="center" wrapText="1"/>
    </xf>
    <xf numFmtId="166" fontId="22" fillId="0" borderId="21" xfId="4" applyNumberFormat="1" applyFont="1" applyFill="1" applyBorder="1" applyAlignment="1">
      <alignment vertical="center" wrapText="1"/>
    </xf>
    <xf numFmtId="9" fontId="30" fillId="0" borderId="15" xfId="3" applyFont="1" applyBorder="1" applyAlignment="1">
      <alignment vertical="center" wrapText="1"/>
    </xf>
    <xf numFmtId="9" fontId="30" fillId="0" borderId="46" xfId="3" applyFont="1" applyBorder="1" applyAlignment="1">
      <alignment vertical="center" wrapText="1"/>
    </xf>
    <xf numFmtId="9" fontId="30" fillId="0" borderId="16" xfId="3" applyFont="1" applyBorder="1" applyAlignment="1">
      <alignment vertical="center" wrapText="1"/>
    </xf>
    <xf numFmtId="9" fontId="30" fillId="0" borderId="22" xfId="3" applyFont="1" applyBorder="1" applyAlignment="1">
      <alignment vertical="center" wrapText="1"/>
    </xf>
    <xf numFmtId="9" fontId="30" fillId="0" borderId="23" xfId="3" applyFont="1" applyBorder="1" applyAlignment="1">
      <alignment vertical="center" wrapText="1"/>
    </xf>
    <xf numFmtId="9" fontId="30" fillId="0" borderId="21" xfId="3" applyFont="1" applyBorder="1" applyAlignment="1">
      <alignment vertical="center" wrapText="1"/>
    </xf>
    <xf numFmtId="164" fontId="22" fillId="0" borderId="110" xfId="4" applyFont="1" applyBorder="1" applyAlignment="1">
      <alignment vertical="center" wrapText="1"/>
    </xf>
    <xf numFmtId="164" fontId="22" fillId="0" borderId="40" xfId="4" applyFont="1" applyBorder="1" applyAlignment="1">
      <alignment vertical="center" wrapText="1"/>
    </xf>
    <xf numFmtId="164" fontId="22" fillId="0" borderId="56" xfId="4" applyFont="1" applyBorder="1" applyAlignment="1">
      <alignment vertical="center" wrapText="1"/>
    </xf>
    <xf numFmtId="0" fontId="30" fillId="0" borderId="33" xfId="5" applyFont="1" applyBorder="1" applyAlignment="1">
      <alignment vertical="center"/>
    </xf>
    <xf numFmtId="0" fontId="27" fillId="0" borderId="51" xfId="5" applyFont="1" applyBorder="1" applyAlignment="1">
      <alignment vertical="center"/>
    </xf>
    <xf numFmtId="1" fontId="27" fillId="0" borderId="35" xfId="5" applyNumberFormat="1" applyFont="1" applyBorder="1" applyAlignment="1">
      <alignment vertical="center"/>
    </xf>
    <xf numFmtId="0" fontId="29" fillId="17" borderId="14" xfId="5" applyFont="1" applyFill="1" applyBorder="1" applyAlignment="1">
      <alignment horizontal="center" vertical="center"/>
    </xf>
    <xf numFmtId="166" fontId="30" fillId="0" borderId="3" xfId="4" applyNumberFormat="1" applyFont="1" applyBorder="1" applyAlignment="1">
      <alignment vertical="center"/>
    </xf>
    <xf numFmtId="0" fontId="30" fillId="0" borderId="51" xfId="5" applyFont="1" applyBorder="1" applyAlignment="1">
      <alignment vertical="center"/>
    </xf>
    <xf numFmtId="0" fontId="20" fillId="0" borderId="59" xfId="0" applyFont="1" applyBorder="1" applyAlignment="1">
      <alignment horizontal="center" vertical="center"/>
    </xf>
    <xf numFmtId="0" fontId="20" fillId="0" borderId="60" xfId="0" applyFont="1" applyBorder="1" applyAlignment="1">
      <alignment horizontal="center" vertical="center" wrapText="1"/>
    </xf>
    <xf numFmtId="166" fontId="20" fillId="0" borderId="70" xfId="0" applyNumberFormat="1" applyFont="1" applyBorder="1" applyAlignment="1">
      <alignment vertical="center"/>
    </xf>
    <xf numFmtId="166" fontId="20" fillId="0" borderId="108" xfId="0" applyNumberFormat="1" applyFont="1" applyBorder="1" applyAlignment="1">
      <alignment vertical="center"/>
    </xf>
    <xf numFmtId="166" fontId="18" fillId="0" borderId="46" xfId="4" applyNumberFormat="1" applyFont="1" applyBorder="1" applyAlignment="1">
      <alignment vertical="center"/>
    </xf>
    <xf numFmtId="166" fontId="18" fillId="0" borderId="23" xfId="4" applyNumberFormat="1" applyFont="1" applyBorder="1" applyAlignment="1">
      <alignment vertical="center"/>
    </xf>
    <xf numFmtId="166" fontId="27" fillId="0" borderId="48" xfId="4" applyNumberFormat="1" applyFont="1" applyBorder="1" applyAlignment="1">
      <alignment vertical="center"/>
    </xf>
    <xf numFmtId="1" fontId="27" fillId="0" borderId="34" xfId="5" applyNumberFormat="1" applyFont="1" applyBorder="1" applyAlignment="1">
      <alignment vertical="center"/>
    </xf>
    <xf numFmtId="0" fontId="29" fillId="17" borderId="24" xfId="5" applyFont="1" applyFill="1" applyBorder="1" applyAlignment="1">
      <alignment horizontal="center" vertical="center"/>
    </xf>
    <xf numFmtId="0" fontId="29" fillId="17" borderId="28" xfId="5" applyFont="1" applyFill="1" applyBorder="1" applyAlignment="1">
      <alignment horizontal="center" vertical="center"/>
    </xf>
    <xf numFmtId="0" fontId="75" fillId="17" borderId="50" xfId="5" applyFont="1" applyFill="1" applyBorder="1" applyAlignment="1">
      <alignment horizontal="center" vertical="center"/>
    </xf>
    <xf numFmtId="0" fontId="75" fillId="17" borderId="35" xfId="5" applyFont="1" applyFill="1" applyBorder="1" applyAlignment="1">
      <alignment horizontal="center" vertical="center"/>
    </xf>
    <xf numFmtId="166" fontId="30" fillId="0" borderId="37" xfId="4" applyNumberFormat="1" applyFont="1" applyBorder="1" applyAlignment="1">
      <alignment vertical="center"/>
    </xf>
    <xf numFmtId="0" fontId="75" fillId="17" borderId="22" xfId="5" applyFont="1" applyFill="1" applyBorder="1" applyAlignment="1">
      <alignment horizontal="center" vertical="center"/>
    </xf>
    <xf numFmtId="0" fontId="27" fillId="0" borderId="0" xfId="5" applyFont="1" applyAlignment="1">
      <alignment horizontal="left" vertical="center" wrapText="1"/>
    </xf>
    <xf numFmtId="0" fontId="48" fillId="30" borderId="10" xfId="10" applyFont="1" applyFill="1" applyBorder="1" applyAlignment="1">
      <alignment horizontal="center" vertical="center" wrapText="1"/>
    </xf>
    <xf numFmtId="0" fontId="79" fillId="0" borderId="12" xfId="10" applyFont="1" applyBorder="1" applyAlignment="1">
      <alignment horizontal="center" vertical="center" wrapText="1"/>
    </xf>
    <xf numFmtId="0" fontId="21" fillId="46" borderId="49" xfId="10" applyFont="1" applyFill="1" applyBorder="1" applyAlignment="1">
      <alignment horizontal="center" vertical="center" wrapText="1"/>
    </xf>
    <xf numFmtId="0" fontId="79" fillId="0" borderId="12" xfId="10" applyFont="1" applyBorder="1" applyAlignment="1">
      <alignment horizontal="center" vertical="center"/>
    </xf>
    <xf numFmtId="0" fontId="21" fillId="47" borderId="49" xfId="6" applyFont="1" applyFill="1" applyBorder="1" applyAlignment="1">
      <alignment horizontal="center" vertical="center" wrapText="1"/>
    </xf>
    <xf numFmtId="0" fontId="21" fillId="48" borderId="49" xfId="10" applyFont="1" applyFill="1" applyBorder="1" applyAlignment="1">
      <alignment horizontal="center" vertical="center" wrapText="1"/>
    </xf>
    <xf numFmtId="0" fontId="22" fillId="0" borderId="17" xfId="5" applyFont="1" applyBorder="1" applyAlignment="1">
      <alignment vertical="center" wrapText="1"/>
    </xf>
    <xf numFmtId="166" fontId="22" fillId="0" borderId="14" xfId="4" applyNumberFormat="1" applyFont="1" applyFill="1" applyBorder="1" applyAlignment="1">
      <alignment vertical="center"/>
    </xf>
    <xf numFmtId="166" fontId="22" fillId="0" borderId="18" xfId="4" applyNumberFormat="1" applyFont="1" applyFill="1" applyBorder="1" applyAlignment="1">
      <alignment vertical="center"/>
    </xf>
    <xf numFmtId="0" fontId="24" fillId="51" borderId="35" xfId="0" applyFont="1" applyFill="1" applyBorder="1" applyAlignment="1">
      <alignment vertical="center" wrapText="1"/>
    </xf>
    <xf numFmtId="166" fontId="22" fillId="0" borderId="37" xfId="4" applyNumberFormat="1" applyFont="1" applyBorder="1" applyAlignment="1">
      <alignment vertical="center"/>
    </xf>
    <xf numFmtId="0" fontId="22" fillId="0" borderId="17" xfId="5" applyFont="1" applyBorder="1" applyAlignment="1">
      <alignment horizontal="left" vertical="center" wrapText="1"/>
    </xf>
    <xf numFmtId="0" fontId="24" fillId="52" borderId="35" xfId="0" applyFont="1" applyFill="1" applyBorder="1" applyAlignment="1">
      <alignment vertical="center" wrapText="1"/>
    </xf>
    <xf numFmtId="0" fontId="22" fillId="0" borderId="25" xfId="5" applyFont="1" applyBorder="1" applyAlignment="1">
      <alignment horizontal="left" vertical="center" wrapText="1"/>
    </xf>
    <xf numFmtId="9" fontId="22" fillId="0" borderId="26" xfId="3" applyFont="1" applyFill="1" applyBorder="1" applyAlignment="1">
      <alignment horizontal="right" vertical="center"/>
    </xf>
    <xf numFmtId="0" fontId="24" fillId="0" borderId="22" xfId="0" applyFont="1" applyBorder="1" applyAlignment="1">
      <alignment vertical="center" wrapText="1"/>
    </xf>
    <xf numFmtId="166" fontId="22" fillId="0" borderId="23" xfId="4" applyNumberFormat="1" applyFont="1" applyBorder="1" applyAlignment="1">
      <alignment vertical="center"/>
    </xf>
    <xf numFmtId="0" fontId="64" fillId="0" borderId="21" xfId="5" applyFont="1" applyBorder="1" applyAlignment="1">
      <alignment horizontal="center" vertical="center"/>
    </xf>
    <xf numFmtId="0" fontId="22" fillId="0" borderId="25" xfId="5" applyFont="1" applyBorder="1" applyAlignment="1">
      <alignment vertical="center" wrapText="1"/>
    </xf>
    <xf numFmtId="166" fontId="30" fillId="0" borderId="26" xfId="4" applyNumberFormat="1" applyFont="1" applyFill="1" applyBorder="1" applyAlignment="1">
      <alignment horizontal="right" vertical="center"/>
    </xf>
    <xf numFmtId="0" fontId="22" fillId="0" borderId="29" xfId="5" applyFont="1" applyBorder="1" applyAlignment="1">
      <alignment vertical="center" wrapText="1"/>
    </xf>
    <xf numFmtId="9" fontId="22" fillId="0" borderId="30" xfId="3" applyFont="1" applyFill="1" applyBorder="1" applyAlignment="1">
      <alignment horizontal="right" vertical="center"/>
    </xf>
    <xf numFmtId="164" fontId="27" fillId="0" borderId="0" xfId="4" applyFont="1" applyAlignment="1">
      <alignment vertical="center"/>
    </xf>
    <xf numFmtId="0" fontId="93" fillId="0" borderId="25" xfId="5" applyFont="1" applyBorder="1" applyAlignment="1">
      <alignment horizontal="left" vertical="center" wrapText="1"/>
    </xf>
    <xf numFmtId="164" fontId="22" fillId="0" borderId="26" xfId="4" applyFont="1" applyFill="1" applyBorder="1" applyAlignment="1">
      <alignment horizontal="right" vertical="center"/>
    </xf>
    <xf numFmtId="43" fontId="93" fillId="0" borderId="24" xfId="5" applyNumberFormat="1" applyFont="1" applyBorder="1" applyAlignment="1">
      <alignment horizontal="right" vertical="center"/>
    </xf>
    <xf numFmtId="0" fontId="93" fillId="0" borderId="29" xfId="5" applyFont="1" applyBorder="1" applyAlignment="1">
      <alignment horizontal="left" vertical="center" wrapText="1"/>
    </xf>
    <xf numFmtId="164" fontId="22" fillId="0" borderId="30" xfId="4" applyFont="1" applyFill="1" applyBorder="1" applyAlignment="1">
      <alignment horizontal="right" vertical="center"/>
    </xf>
    <xf numFmtId="0" fontId="49" fillId="53" borderId="10" xfId="6" applyFont="1" applyFill="1" applyBorder="1" applyAlignment="1">
      <alignment horizontal="center" vertical="center" wrapText="1"/>
    </xf>
    <xf numFmtId="0" fontId="49" fillId="54" borderId="67" xfId="5" applyFont="1" applyFill="1" applyBorder="1" applyAlignment="1">
      <alignment vertical="center" wrapText="1"/>
    </xf>
    <xf numFmtId="166" fontId="49" fillId="54" borderId="67" xfId="4" applyNumberFormat="1" applyFont="1" applyFill="1" applyBorder="1" applyAlignment="1">
      <alignment vertical="center"/>
    </xf>
    <xf numFmtId="166" fontId="27" fillId="0" borderId="0" xfId="5" applyNumberFormat="1" applyFont="1" applyAlignment="1">
      <alignment vertical="center"/>
    </xf>
    <xf numFmtId="166" fontId="27" fillId="0" borderId="0" xfId="4" applyNumberFormat="1" applyFont="1" applyAlignment="1">
      <alignment vertical="center"/>
    </xf>
    <xf numFmtId="9" fontId="27" fillId="0" borderId="0" xfId="3" applyFont="1" applyAlignment="1">
      <alignment vertical="center"/>
    </xf>
    <xf numFmtId="9" fontId="27" fillId="0" borderId="0" xfId="3" applyFont="1"/>
    <xf numFmtId="164" fontId="27" fillId="0" borderId="0" xfId="4" applyFont="1"/>
    <xf numFmtId="0" fontId="61" fillId="0" borderId="0" xfId="0" applyFont="1" applyAlignment="1">
      <alignment vertical="center"/>
    </xf>
    <xf numFmtId="0" fontId="30" fillId="0" borderId="0" xfId="0" applyFont="1" applyAlignment="1">
      <alignment vertical="center"/>
    </xf>
    <xf numFmtId="0" fontId="94" fillId="0" borderId="0" xfId="0" applyFont="1" applyAlignment="1">
      <alignment horizontal="left" vertical="center"/>
    </xf>
    <xf numFmtId="0" fontId="92" fillId="0" borderId="0" xfId="0" applyFont="1" applyAlignment="1">
      <alignment vertical="center"/>
    </xf>
    <xf numFmtId="0" fontId="21" fillId="55" borderId="37" xfId="0" applyFont="1" applyFill="1" applyBorder="1" applyAlignment="1">
      <alignment horizontal="center" vertical="center"/>
    </xf>
    <xf numFmtId="0" fontId="21" fillId="56" borderId="37" xfId="0" applyFont="1" applyFill="1" applyBorder="1" applyAlignment="1">
      <alignment horizontal="left" vertical="center" wrapText="1"/>
    </xf>
    <xf numFmtId="0" fontId="21" fillId="56" borderId="37" xfId="0" applyFont="1" applyFill="1" applyBorder="1" applyAlignment="1">
      <alignment horizontal="center" vertical="center"/>
    </xf>
    <xf numFmtId="0" fontId="24" fillId="56" borderId="37" xfId="0" applyFont="1" applyFill="1" applyBorder="1" applyAlignment="1">
      <alignment horizontal="center" vertical="center"/>
    </xf>
    <xf numFmtId="0" fontId="47" fillId="0" borderId="37" xfId="0" applyFont="1" applyBorder="1" applyAlignment="1">
      <alignment vertical="center"/>
    </xf>
    <xf numFmtId="0" fontId="47" fillId="0" borderId="37" xfId="0" applyFont="1" applyBorder="1" applyAlignment="1">
      <alignment horizontal="left" vertical="center" wrapText="1"/>
    </xf>
    <xf numFmtId="9" fontId="47" fillId="0" borderId="37" xfId="0" applyNumberFormat="1" applyFont="1" applyBorder="1" applyAlignment="1">
      <alignment horizontal="right" vertical="center"/>
    </xf>
    <xf numFmtId="0" fontId="64" fillId="0" borderId="37" xfId="5" applyFont="1" applyBorder="1" applyAlignment="1">
      <alignment vertical="center"/>
    </xf>
    <xf numFmtId="0" fontId="22" fillId="0" borderId="37" xfId="0" applyFont="1" applyBorder="1" applyAlignment="1">
      <alignment horizontal="left" vertical="center" wrapText="1"/>
    </xf>
    <xf numFmtId="164" fontId="22" fillId="0" borderId="37" xfId="4" applyFont="1" applyFill="1" applyBorder="1" applyAlignment="1">
      <alignment horizontal="right" vertical="center"/>
    </xf>
    <xf numFmtId="0" fontId="21" fillId="0" borderId="37" xfId="0" applyFont="1" applyBorder="1" applyAlignment="1">
      <alignment horizontal="left" vertical="center" wrapText="1"/>
    </xf>
    <xf numFmtId="0" fontId="47" fillId="0" borderId="37" xfId="0" applyFont="1" applyBorder="1" applyAlignment="1">
      <alignment vertical="center" wrapText="1"/>
    </xf>
    <xf numFmtId="0" fontId="21" fillId="0" borderId="0" xfId="0" applyFont="1" applyAlignment="1">
      <alignment horizontal="left" vertical="center" wrapText="1"/>
    </xf>
    <xf numFmtId="2" fontId="22" fillId="0" borderId="0" xfId="4" applyNumberFormat="1" applyFont="1" applyBorder="1" applyAlignment="1">
      <alignment horizontal="center" vertical="center"/>
    </xf>
    <xf numFmtId="164" fontId="22" fillId="0" borderId="0" xfId="4" applyFont="1" applyBorder="1" applyAlignment="1">
      <alignment horizontal="right" vertical="center"/>
    </xf>
    <xf numFmtId="0" fontId="95" fillId="0" borderId="0" xfId="0" applyFont="1" applyAlignment="1">
      <alignment vertical="center"/>
    </xf>
    <xf numFmtId="0" fontId="96" fillId="0" borderId="0" xfId="0" applyFont="1" applyAlignment="1">
      <alignment vertical="center"/>
    </xf>
    <xf numFmtId="0" fontId="97" fillId="0" borderId="0" xfId="0" applyFont="1" applyAlignment="1">
      <alignment vertical="center"/>
    </xf>
    <xf numFmtId="166" fontId="22" fillId="0" borderId="37" xfId="0" applyNumberFormat="1" applyFont="1" applyBorder="1" applyAlignment="1">
      <alignment horizontal="right" vertical="center"/>
    </xf>
    <xf numFmtId="0" fontId="47" fillId="0" borderId="37" xfId="0" quotePrefix="1" applyFont="1" applyBorder="1" applyAlignment="1">
      <alignment horizontal="left" vertical="top" wrapText="1"/>
    </xf>
    <xf numFmtId="0" fontId="47" fillId="0" borderId="37" xfId="0" applyFont="1" applyBorder="1" applyAlignment="1">
      <alignment vertical="top" wrapText="1"/>
    </xf>
    <xf numFmtId="165" fontId="21" fillId="0" borderId="0" xfId="4" applyNumberFormat="1" applyFont="1" applyBorder="1" applyAlignment="1">
      <alignment horizontal="center" vertical="center"/>
    </xf>
    <xf numFmtId="0" fontId="98" fillId="0" borderId="1" xfId="0" applyFont="1" applyBorder="1" applyAlignment="1">
      <alignment vertical="center" wrapText="1"/>
    </xf>
    <xf numFmtId="166" fontId="98" fillId="0" borderId="61" xfId="4" applyNumberFormat="1" applyFont="1" applyFill="1" applyBorder="1" applyAlignment="1">
      <alignment vertical="center"/>
    </xf>
    <xf numFmtId="0" fontId="98" fillId="0" borderId="2" xfId="0" applyFont="1" applyBorder="1" applyAlignment="1">
      <alignment vertical="center"/>
    </xf>
    <xf numFmtId="9" fontId="0" fillId="0" borderId="0" xfId="3" applyFont="1"/>
    <xf numFmtId="167" fontId="0" fillId="0" borderId="37" xfId="0" applyNumberFormat="1" applyBorder="1"/>
    <xf numFmtId="164" fontId="18" fillId="0" borderId="37" xfId="4" applyFont="1" applyBorder="1" applyAlignment="1">
      <alignment horizontal="center"/>
    </xf>
    <xf numFmtId="0" fontId="44" fillId="0" borderId="37" xfId="0" applyFont="1" applyBorder="1"/>
    <xf numFmtId="9" fontId="18" fillId="0" borderId="6" xfId="0" applyNumberFormat="1" applyFont="1" applyBorder="1" applyAlignment="1">
      <alignment vertical="center"/>
    </xf>
    <xf numFmtId="0" fontId="20" fillId="11" borderId="31" xfId="0" applyFont="1" applyFill="1" applyBorder="1" applyAlignment="1">
      <alignment horizontal="center" vertical="center"/>
    </xf>
    <xf numFmtId="164" fontId="18" fillId="0" borderId="37" xfId="0" applyNumberFormat="1" applyFont="1" applyBorder="1" applyAlignment="1">
      <alignment vertical="center"/>
    </xf>
    <xf numFmtId="166" fontId="18" fillId="0" borderId="7" xfId="4" applyNumberFormat="1" applyFont="1" applyFill="1" applyBorder="1" applyAlignment="1">
      <alignment vertical="center"/>
    </xf>
    <xf numFmtId="174" fontId="18" fillId="0" borderId="37" xfId="4" applyNumberFormat="1" applyFont="1" applyBorder="1" applyAlignment="1">
      <alignment vertical="center"/>
    </xf>
    <xf numFmtId="0" fontId="99" fillId="0" borderId="0" xfId="0" applyFont="1" applyAlignment="1">
      <alignment vertical="center"/>
    </xf>
    <xf numFmtId="0" fontId="18" fillId="0" borderId="37" xfId="0" applyFont="1" applyBorder="1" applyAlignment="1">
      <alignment vertical="top" wrapText="1"/>
    </xf>
    <xf numFmtId="0" fontId="18" fillId="0" borderId="37" xfId="3" applyNumberFormat="1" applyFont="1" applyFill="1" applyBorder="1" applyAlignment="1">
      <alignment horizontal="center" vertical="center"/>
    </xf>
    <xf numFmtId="174" fontId="62" fillId="35" borderId="81" xfId="4" applyNumberFormat="1" applyFont="1" applyFill="1" applyBorder="1" applyAlignment="1">
      <alignment vertical="center"/>
    </xf>
    <xf numFmtId="39" fontId="22" fillId="0" borderId="13" xfId="0" applyNumberFormat="1" applyFont="1" applyBorder="1" applyAlignment="1">
      <alignment horizontal="center" vertical="center"/>
    </xf>
    <xf numFmtId="0" fontId="27" fillId="0" borderId="35" xfId="5" applyFont="1" applyBorder="1" applyAlignment="1">
      <alignment vertical="center"/>
    </xf>
    <xf numFmtId="168" fontId="18" fillId="3" borderId="15" xfId="0" applyNumberFormat="1" applyFont="1" applyFill="1" applyBorder="1" applyAlignment="1">
      <alignment vertical="center" wrapText="1"/>
    </xf>
    <xf numFmtId="168" fontId="18" fillId="3" borderId="35" xfId="0" applyNumberFormat="1" applyFont="1" applyFill="1" applyBorder="1" applyAlignment="1">
      <alignment vertical="center" wrapText="1"/>
    </xf>
    <xf numFmtId="168" fontId="18" fillId="3" borderId="22" xfId="0" applyNumberFormat="1" applyFont="1" applyFill="1" applyBorder="1" applyAlignment="1">
      <alignment vertical="center" wrapText="1"/>
    </xf>
    <xf numFmtId="164" fontId="27" fillId="0" borderId="33" xfId="4" applyFont="1" applyFill="1" applyBorder="1" applyAlignment="1">
      <alignment vertical="center"/>
    </xf>
    <xf numFmtId="170" fontId="18" fillId="0" borderId="26" xfId="3" applyNumberFormat="1" applyFont="1" applyBorder="1" applyAlignment="1">
      <alignment horizontal="center" vertical="center"/>
    </xf>
    <xf numFmtId="168" fontId="18" fillId="0" borderId="97" xfId="0" applyNumberFormat="1" applyFont="1" applyBorder="1" applyAlignment="1">
      <alignment wrapText="1"/>
    </xf>
    <xf numFmtId="37" fontId="18" fillId="0" borderId="98" xfId="4" applyNumberFormat="1" applyFont="1" applyFill="1" applyBorder="1" applyAlignment="1">
      <alignment horizontal="center" vertical="center"/>
    </xf>
    <xf numFmtId="168" fontId="20" fillId="0" borderId="72" xfId="0" applyNumberFormat="1" applyFont="1" applyBorder="1" applyAlignment="1">
      <alignment horizontal="center" vertical="center" wrapText="1"/>
    </xf>
    <xf numFmtId="172" fontId="22" fillId="0" borderId="37" xfId="4" applyNumberFormat="1" applyFont="1" applyFill="1" applyBorder="1" applyAlignment="1">
      <alignment vertical="center"/>
    </xf>
    <xf numFmtId="0" fontId="11" fillId="43" borderId="73" xfId="0" applyFont="1" applyFill="1" applyBorder="1" applyAlignment="1">
      <alignment vertical="center"/>
    </xf>
    <xf numFmtId="0" fontId="11" fillId="43" borderId="96" xfId="0" applyFont="1" applyFill="1" applyBorder="1" applyAlignment="1">
      <alignment horizontal="center" vertical="center"/>
    </xf>
    <xf numFmtId="166" fontId="22" fillId="0" borderId="117" xfId="4" applyNumberFormat="1" applyFont="1" applyFill="1" applyBorder="1" applyAlignment="1">
      <alignment vertical="center"/>
    </xf>
    <xf numFmtId="164" fontId="93" fillId="0" borderId="119" xfId="4" applyFont="1" applyBorder="1" applyAlignment="1">
      <alignment horizontal="right" vertical="center"/>
    </xf>
    <xf numFmtId="0" fontId="93" fillId="0" borderId="118" xfId="5" applyFont="1" applyBorder="1" applyAlignment="1">
      <alignment horizontal="left" vertical="center" wrapText="1"/>
    </xf>
    <xf numFmtId="164" fontId="93" fillId="0" borderId="115" xfId="4" applyFont="1" applyBorder="1" applyAlignment="1">
      <alignment horizontal="right" vertical="center"/>
    </xf>
    <xf numFmtId="43" fontId="93" fillId="0" borderId="115" xfId="5" applyNumberFormat="1" applyFont="1" applyBorder="1" applyAlignment="1">
      <alignment horizontal="right" vertical="center"/>
    </xf>
    <xf numFmtId="166" fontId="21" fillId="57" borderId="73" xfId="4" applyNumberFormat="1" applyFont="1" applyFill="1" applyBorder="1" applyAlignment="1">
      <alignment vertical="center"/>
    </xf>
    <xf numFmtId="0" fontId="18" fillId="0" borderId="0" xfId="0" applyFont="1" applyAlignment="1">
      <alignment horizontal="center"/>
    </xf>
    <xf numFmtId="0" fontId="20" fillId="0" borderId="2" xfId="0" applyFont="1" applyBorder="1" applyAlignment="1">
      <alignment horizontal="center" vertical="center"/>
    </xf>
    <xf numFmtId="0" fontId="20" fillId="0" borderId="63" xfId="0" applyFont="1" applyBorder="1" applyAlignment="1">
      <alignment horizontal="center" vertical="center"/>
    </xf>
    <xf numFmtId="174" fontId="18" fillId="0" borderId="48" xfId="4" applyNumberFormat="1" applyFont="1" applyBorder="1" applyAlignment="1">
      <alignment horizontal="center" vertical="center"/>
    </xf>
    <xf numFmtId="174" fontId="18" fillId="0" borderId="36" xfId="4" applyNumberFormat="1" applyFont="1" applyBorder="1" applyAlignment="1">
      <alignment horizontal="center" vertical="center"/>
    </xf>
    <xf numFmtId="166" fontId="18" fillId="0" borderId="52" xfId="4" applyNumberFormat="1" applyFont="1" applyBorder="1" applyAlignment="1">
      <alignment vertical="center"/>
    </xf>
    <xf numFmtId="166" fontId="18" fillId="0" borderId="28" xfId="4" applyNumberFormat="1" applyFont="1" applyBorder="1" applyAlignment="1">
      <alignment vertical="center"/>
    </xf>
    <xf numFmtId="9" fontId="18" fillId="0" borderId="51" xfId="3" applyFont="1" applyBorder="1" applyAlignment="1">
      <alignment horizontal="center" vertical="center"/>
    </xf>
    <xf numFmtId="9" fontId="18" fillId="0" borderId="21" xfId="3" applyFont="1" applyBorder="1" applyAlignment="1">
      <alignment horizontal="center" vertical="center"/>
    </xf>
    <xf numFmtId="166" fontId="20" fillId="0" borderId="0" xfId="4" applyNumberFormat="1" applyFont="1" applyBorder="1" applyAlignment="1">
      <alignment horizontal="center" vertical="center"/>
    </xf>
    <xf numFmtId="0" fontId="10" fillId="0" borderId="0" xfId="0" applyFont="1" applyAlignment="1">
      <alignment horizontal="left" vertical="center"/>
    </xf>
    <xf numFmtId="166" fontId="22" fillId="0" borderId="122" xfId="4" applyNumberFormat="1" applyFont="1" applyFill="1" applyBorder="1" applyAlignment="1">
      <alignment vertical="center"/>
    </xf>
    <xf numFmtId="9" fontId="47" fillId="0" borderId="126" xfId="3" applyFont="1" applyFill="1" applyBorder="1" applyAlignment="1">
      <alignment horizontal="right" vertical="center"/>
    </xf>
    <xf numFmtId="9" fontId="47" fillId="0" borderId="127" xfId="3" applyFont="1" applyFill="1" applyBorder="1" applyAlignment="1">
      <alignment horizontal="right" vertical="center"/>
    </xf>
    <xf numFmtId="9" fontId="47" fillId="0" borderId="128" xfId="3" applyFont="1" applyFill="1" applyBorder="1" applyAlignment="1">
      <alignment horizontal="right" vertical="center"/>
    </xf>
    <xf numFmtId="0" fontId="22" fillId="0" borderId="116" xfId="5" applyFont="1" applyBorder="1" applyAlignment="1">
      <alignment vertical="center" wrapText="1"/>
    </xf>
    <xf numFmtId="0" fontId="22" fillId="0" borderId="120" xfId="5" applyFont="1" applyBorder="1" applyAlignment="1">
      <alignment vertical="center" wrapText="1"/>
    </xf>
    <xf numFmtId="0" fontId="22" fillId="0" borderId="124" xfId="5" applyFont="1" applyBorder="1" applyAlignment="1">
      <alignment horizontal="left" vertical="center" wrapText="1"/>
    </xf>
    <xf numFmtId="0" fontId="22" fillId="0" borderId="125" xfId="5" applyFont="1" applyBorder="1" applyAlignment="1">
      <alignment vertical="center" wrapText="1"/>
    </xf>
    <xf numFmtId="0" fontId="22" fillId="0" borderId="124" xfId="5" applyFont="1" applyBorder="1" applyAlignment="1">
      <alignment vertical="center" wrapText="1"/>
    </xf>
    <xf numFmtId="166" fontId="28" fillId="0" borderId="37" xfId="0" applyNumberFormat="1" applyFont="1" applyBorder="1" applyAlignment="1">
      <alignment vertical="center"/>
    </xf>
    <xf numFmtId="0" fontId="27" fillId="0" borderId="37" xfId="0" applyFont="1" applyBorder="1" applyAlignment="1">
      <alignment vertical="top" wrapText="1"/>
    </xf>
    <xf numFmtId="164" fontId="22" fillId="0" borderId="24" xfId="4" applyFont="1" applyFill="1" applyBorder="1" applyAlignment="1">
      <alignment horizontal="right" vertical="center"/>
    </xf>
    <xf numFmtId="0" fontId="20" fillId="22" borderId="66" xfId="5" applyFont="1" applyFill="1" applyBorder="1" applyAlignment="1">
      <alignment vertical="center" wrapText="1"/>
    </xf>
    <xf numFmtId="0" fontId="64" fillId="0" borderId="42" xfId="5" applyFont="1" applyBorder="1" applyAlignment="1">
      <alignment horizontal="left" vertical="center" wrapText="1"/>
    </xf>
    <xf numFmtId="174" fontId="21" fillId="0" borderId="37" xfId="4" applyNumberFormat="1" applyFont="1" applyBorder="1" applyAlignment="1">
      <alignment horizontal="center" vertical="center"/>
    </xf>
    <xf numFmtId="0" fontId="24" fillId="0" borderId="0" xfId="0" applyFont="1" applyAlignment="1">
      <alignment vertical="center" wrapText="1"/>
    </xf>
    <xf numFmtId="0" fontId="22" fillId="0" borderId="29" xfId="5" applyFont="1" applyBorder="1" applyAlignment="1">
      <alignment horizontal="left" vertical="center" wrapText="1"/>
    </xf>
    <xf numFmtId="0" fontId="93" fillId="0" borderId="17" xfId="5" applyFont="1" applyBorder="1" applyAlignment="1">
      <alignment horizontal="left" vertical="center" wrapText="1"/>
    </xf>
    <xf numFmtId="166" fontId="22" fillId="0" borderId="30" xfId="4" applyNumberFormat="1" applyFont="1" applyFill="1" applyBorder="1" applyAlignment="1">
      <alignment vertical="center"/>
    </xf>
    <xf numFmtId="164" fontId="22" fillId="0" borderId="18" xfId="4" applyFont="1" applyFill="1" applyBorder="1" applyAlignment="1">
      <alignment horizontal="right" vertical="center"/>
    </xf>
    <xf numFmtId="166" fontId="30" fillId="0" borderId="18" xfId="4" applyNumberFormat="1" applyFont="1" applyFill="1" applyBorder="1" applyAlignment="1">
      <alignment horizontal="right" vertical="center"/>
    </xf>
    <xf numFmtId="166" fontId="22" fillId="0" borderId="28" xfId="4" applyNumberFormat="1" applyFont="1" applyFill="1" applyBorder="1" applyAlignment="1">
      <alignment vertical="center"/>
    </xf>
    <xf numFmtId="9" fontId="22" fillId="0" borderId="14" xfId="3" applyFont="1" applyFill="1" applyBorder="1" applyAlignment="1">
      <alignment horizontal="right" vertical="center"/>
    </xf>
    <xf numFmtId="9" fontId="22" fillId="0" borderId="24" xfId="3" applyFont="1" applyFill="1" applyBorder="1" applyAlignment="1">
      <alignment horizontal="right" vertical="center"/>
    </xf>
    <xf numFmtId="164" fontId="22" fillId="0" borderId="28" xfId="4" applyFont="1" applyFill="1" applyBorder="1" applyAlignment="1">
      <alignment horizontal="right" vertical="center"/>
    </xf>
    <xf numFmtId="164" fontId="93" fillId="0" borderId="14" xfId="4" applyFont="1" applyBorder="1" applyAlignment="1">
      <alignment horizontal="left" vertical="center" wrapText="1"/>
    </xf>
    <xf numFmtId="164" fontId="93" fillId="0" borderId="24" xfId="4" applyFont="1" applyBorder="1" applyAlignment="1">
      <alignment horizontal="left" vertical="center" wrapText="1"/>
    </xf>
    <xf numFmtId="43" fontId="93" fillId="0" borderId="14" xfId="5" applyNumberFormat="1" applyFont="1" applyBorder="1" applyAlignment="1">
      <alignment horizontal="right" vertical="center"/>
    </xf>
    <xf numFmtId="164" fontId="93" fillId="0" borderId="24" xfId="4" applyFont="1" applyBorder="1" applyAlignment="1">
      <alignment horizontal="right" vertical="center" wrapText="1"/>
    </xf>
    <xf numFmtId="164" fontId="93" fillId="0" borderId="28" xfId="4" applyFont="1" applyBorder="1" applyAlignment="1">
      <alignment horizontal="right" vertical="center" wrapText="1"/>
    </xf>
    <xf numFmtId="0" fontId="22" fillId="0" borderId="123" xfId="5" applyFont="1" applyBorder="1" applyAlignment="1">
      <alignment horizontal="left" vertical="center" wrapText="1"/>
    </xf>
    <xf numFmtId="0" fontId="22" fillId="0" borderId="0" xfId="0" applyFont="1" applyAlignment="1">
      <alignment horizontal="left" vertical="center" wrapText="1"/>
    </xf>
    <xf numFmtId="0" fontId="21" fillId="0" borderId="37" xfId="0" applyFont="1" applyBorder="1" applyAlignment="1">
      <alignment horizontal="center" vertical="center"/>
    </xf>
    <xf numFmtId="0" fontId="21" fillId="0" borderId="110" xfId="0" applyFont="1" applyBorder="1" applyAlignment="1">
      <alignment horizontal="center" vertical="center"/>
    </xf>
    <xf numFmtId="9" fontId="22" fillId="0" borderId="40" xfId="0" applyNumberFormat="1" applyFont="1" applyBorder="1" applyAlignment="1">
      <alignment horizontal="center" vertical="center"/>
    </xf>
    <xf numFmtId="9" fontId="22" fillId="0" borderId="56" xfId="0" applyNumberFormat="1" applyFont="1" applyBorder="1" applyAlignment="1">
      <alignment horizontal="center" vertical="center"/>
    </xf>
    <xf numFmtId="0" fontId="24" fillId="0" borderId="16" xfId="0" applyFont="1" applyBorder="1" applyAlignment="1">
      <alignment horizontal="center" vertical="center" wrapText="1"/>
    </xf>
    <xf numFmtId="175" fontId="47" fillId="0" borderId="33" xfId="4" applyNumberFormat="1" applyFont="1" applyBorder="1" applyAlignment="1">
      <alignment horizontal="left" vertical="center" wrapText="1"/>
    </xf>
    <xf numFmtId="175" fontId="47" fillId="0" borderId="33" xfId="4" applyNumberFormat="1" applyFont="1" applyBorder="1" applyAlignment="1">
      <alignment horizontal="center" vertical="center" wrapText="1"/>
    </xf>
    <xf numFmtId="175" fontId="47" fillId="0" borderId="21" xfId="4" applyNumberFormat="1" applyFont="1" applyBorder="1" applyAlignment="1">
      <alignment horizontal="left" vertical="center" wrapText="1"/>
    </xf>
    <xf numFmtId="9" fontId="22" fillId="0" borderId="0" xfId="0" applyNumberFormat="1" applyFont="1" applyAlignment="1">
      <alignment vertical="center"/>
    </xf>
    <xf numFmtId="164" fontId="22" fillId="0" borderId="0" xfId="4" applyFont="1" applyAlignment="1">
      <alignment vertical="center"/>
    </xf>
    <xf numFmtId="0" fontId="21" fillId="0" borderId="58" xfId="0" applyFont="1" applyBorder="1" applyAlignment="1">
      <alignment horizontal="center" vertical="center" wrapText="1"/>
    </xf>
    <xf numFmtId="0" fontId="21" fillId="0" borderId="59" xfId="0" applyFont="1" applyBorder="1" applyAlignment="1">
      <alignment horizontal="center" vertical="center" wrapText="1"/>
    </xf>
    <xf numFmtId="0" fontId="21" fillId="0" borderId="60" xfId="0" applyFont="1" applyBorder="1" applyAlignment="1">
      <alignment horizontal="center" vertical="center" wrapText="1"/>
    </xf>
    <xf numFmtId="0" fontId="21" fillId="0" borderId="129" xfId="0" applyFont="1" applyBorder="1" applyAlignment="1">
      <alignment horizontal="center" vertical="center" wrapText="1"/>
    </xf>
    <xf numFmtId="0" fontId="21" fillId="0" borderId="130" xfId="0" applyFont="1" applyBorder="1" applyAlignment="1">
      <alignment horizontal="center" vertical="center" wrapText="1"/>
    </xf>
    <xf numFmtId="9" fontId="22" fillId="0" borderId="15" xfId="3" applyFont="1" applyBorder="1" applyAlignment="1">
      <alignment vertical="center"/>
    </xf>
    <xf numFmtId="9" fontId="22" fillId="0" borderId="46" xfId="3" applyFont="1" applyBorder="1" applyAlignment="1">
      <alignment vertical="center"/>
    </xf>
    <xf numFmtId="9" fontId="22" fillId="0" borderId="110" xfId="3" applyFont="1" applyBorder="1" applyAlignment="1">
      <alignment vertical="center"/>
    </xf>
    <xf numFmtId="9" fontId="22" fillId="0" borderId="46" xfId="0" quotePrefix="1" applyNumberFormat="1" applyFont="1" applyBorder="1" applyAlignment="1">
      <alignment vertical="center"/>
    </xf>
    <xf numFmtId="9" fontId="22" fillId="0" borderId="16" xfId="0" quotePrefix="1" applyNumberFormat="1" applyFont="1" applyBorder="1" applyAlignment="1">
      <alignment vertical="center"/>
    </xf>
    <xf numFmtId="9" fontId="22" fillId="0" borderId="35" xfId="3" applyFont="1" applyBorder="1" applyAlignment="1">
      <alignment vertical="center"/>
    </xf>
    <xf numFmtId="9" fontId="22" fillId="0" borderId="15" xfId="0" quotePrefix="1" applyNumberFormat="1" applyFont="1" applyBorder="1" applyAlignment="1">
      <alignment vertical="center"/>
    </xf>
    <xf numFmtId="0" fontId="30" fillId="0" borderId="23" xfId="0" applyFont="1" applyBorder="1" applyAlignment="1">
      <alignment vertical="center" wrapText="1"/>
    </xf>
    <xf numFmtId="0" fontId="30" fillId="0" borderId="21" xfId="0" applyFont="1" applyBorder="1" applyAlignment="1">
      <alignment vertical="center" wrapText="1"/>
    </xf>
    <xf numFmtId="9" fontId="6" fillId="0" borderId="37" xfId="0" applyNumberFormat="1" applyFont="1" applyBorder="1" applyAlignment="1">
      <alignment horizontal="right" vertical="center"/>
    </xf>
    <xf numFmtId="2" fontId="22" fillId="0" borderId="46" xfId="0" applyNumberFormat="1" applyFont="1" applyBorder="1" applyAlignment="1">
      <alignment vertical="center" wrapText="1"/>
    </xf>
    <xf numFmtId="0" fontId="5" fillId="0" borderId="33" xfId="0" applyFont="1" applyBorder="1" applyAlignment="1">
      <alignment vertical="center"/>
    </xf>
    <xf numFmtId="0" fontId="100" fillId="0" borderId="8" xfId="0" applyFont="1" applyBorder="1" applyAlignment="1">
      <alignment vertical="top" wrapText="1"/>
    </xf>
    <xf numFmtId="9" fontId="0" fillId="0" borderId="0" xfId="0" applyNumberFormat="1"/>
    <xf numFmtId="174" fontId="22" fillId="0" borderId="0" xfId="4" applyNumberFormat="1" applyFont="1"/>
    <xf numFmtId="174" fontId="22" fillId="0" borderId="0" xfId="4" applyNumberFormat="1" applyFont="1" applyAlignment="1">
      <alignment vertical="center"/>
    </xf>
    <xf numFmtId="170" fontId="22" fillId="0" borderId="0" xfId="3" applyNumberFormat="1" applyFont="1" applyAlignment="1">
      <alignment vertical="center"/>
    </xf>
    <xf numFmtId="176" fontId="22" fillId="0" borderId="0" xfId="0" applyNumberFormat="1" applyFont="1" applyAlignment="1">
      <alignment vertical="center"/>
    </xf>
    <xf numFmtId="0" fontId="22" fillId="0" borderId="16" xfId="0" applyFont="1" applyBorder="1" applyAlignment="1">
      <alignment vertical="top" wrapText="1"/>
    </xf>
    <xf numFmtId="0" fontId="10" fillId="0" borderId="37" xfId="0" applyFont="1" applyBorder="1" applyAlignment="1">
      <alignment horizontal="center" vertical="center"/>
    </xf>
    <xf numFmtId="0" fontId="44" fillId="0" borderId="37" xfId="0" applyFont="1" applyBorder="1" applyAlignment="1">
      <alignment horizontal="center" vertical="center"/>
    </xf>
    <xf numFmtId="9" fontId="27" fillId="0" borderId="0" xfId="5" applyNumberFormat="1" applyFont="1" applyAlignment="1">
      <alignment vertical="center"/>
    </xf>
    <xf numFmtId="0" fontId="8" fillId="0" borderId="0" xfId="0" applyFont="1" applyAlignment="1">
      <alignment horizontal="left" vertical="center" wrapText="1"/>
    </xf>
    <xf numFmtId="0" fontId="15" fillId="0" borderId="0" xfId="2"/>
    <xf numFmtId="164" fontId="0" fillId="0" borderId="0" xfId="4" applyFont="1"/>
    <xf numFmtId="0" fontId="27" fillId="0" borderId="37" xfId="5" applyFont="1" applyBorder="1" applyAlignment="1">
      <alignment vertical="center"/>
    </xf>
    <xf numFmtId="0" fontId="98" fillId="0" borderId="0" xfId="0" applyFont="1" applyAlignment="1">
      <alignment vertical="center"/>
    </xf>
    <xf numFmtId="0" fontId="8" fillId="0" borderId="0" xfId="0" applyFont="1" applyAlignment="1">
      <alignment horizontal="left" vertical="center"/>
    </xf>
    <xf numFmtId="0" fontId="42" fillId="0" borderId="0" xfId="0" applyFont="1" applyAlignment="1">
      <alignment horizontal="left" vertical="center"/>
    </xf>
    <xf numFmtId="0" fontId="8" fillId="0" borderId="0" xfId="0" quotePrefix="1" applyFont="1" applyAlignment="1">
      <alignment vertical="center"/>
    </xf>
    <xf numFmtId="0" fontId="42" fillId="0" borderId="37" xfId="0" applyFont="1" applyBorder="1" applyAlignment="1">
      <alignment vertical="center" wrapText="1"/>
    </xf>
    <xf numFmtId="9" fontId="8" fillId="0" borderId="37" xfId="3" applyFont="1" applyBorder="1" applyAlignment="1">
      <alignment horizontal="center" vertical="center"/>
    </xf>
    <xf numFmtId="0" fontId="18" fillId="0" borderId="0" xfId="0" applyFont="1" applyAlignment="1">
      <alignment vertical="top" wrapText="1"/>
    </xf>
    <xf numFmtId="0" fontId="28" fillId="0" borderId="0" xfId="0" quotePrefix="1" applyFont="1" applyAlignment="1">
      <alignment horizontal="left" vertical="top" wrapText="1"/>
    </xf>
    <xf numFmtId="0" fontId="26" fillId="0" borderId="37" xfId="0" applyFont="1" applyBorder="1" applyAlignment="1">
      <alignment vertical="center"/>
    </xf>
    <xf numFmtId="0" fontId="20" fillId="0" borderId="0" xfId="0" applyFont="1" applyAlignment="1">
      <alignment horizontal="center"/>
    </xf>
    <xf numFmtId="1" fontId="20" fillId="0" borderId="0" xfId="0" applyNumberFormat="1" applyFont="1" applyAlignment="1">
      <alignment horizontal="right"/>
    </xf>
    <xf numFmtId="0" fontId="20" fillId="0" borderId="0" xfId="0" applyFont="1" applyAlignment="1">
      <alignment horizontal="left" vertical="center"/>
    </xf>
    <xf numFmtId="0" fontId="28" fillId="0" borderId="0" xfId="0" quotePrefix="1" applyFont="1" applyAlignment="1">
      <alignment horizontal="left" vertical="center" wrapText="1"/>
    </xf>
    <xf numFmtId="0" fontId="20" fillId="0" borderId="0" xfId="0" applyFont="1" applyAlignment="1">
      <alignment horizontal="center" vertical="center"/>
    </xf>
    <xf numFmtId="1" fontId="20" fillId="0" borderId="0" xfId="0" applyNumberFormat="1" applyFont="1" applyAlignment="1">
      <alignment horizontal="right" vertical="center"/>
    </xf>
    <xf numFmtId="0" fontId="28" fillId="0" borderId="0" xfId="0" applyFont="1" applyAlignment="1">
      <alignment horizontal="left" vertical="center"/>
    </xf>
    <xf numFmtId="0" fontId="21" fillId="0" borderId="1" xfId="0" applyFont="1" applyBorder="1" applyAlignment="1">
      <alignment vertical="center"/>
    </xf>
    <xf numFmtId="166" fontId="21" fillId="0" borderId="2" xfId="0" applyNumberFormat="1" applyFont="1" applyBorder="1" applyAlignment="1">
      <alignment vertical="center"/>
    </xf>
    <xf numFmtId="0" fontId="21" fillId="0" borderId="11" xfId="0" applyFont="1" applyBorder="1" applyAlignment="1">
      <alignment vertical="center"/>
    </xf>
    <xf numFmtId="166" fontId="21" fillId="0" borderId="61" xfId="0" applyNumberFormat="1" applyFont="1" applyBorder="1" applyAlignment="1">
      <alignment vertical="center"/>
    </xf>
    <xf numFmtId="166" fontId="18" fillId="0" borderId="0" xfId="4" applyNumberFormat="1" applyFont="1" applyFill="1" applyBorder="1" applyAlignment="1">
      <alignment horizontal="center" vertical="center"/>
    </xf>
    <xf numFmtId="0" fontId="18" fillId="0" borderId="37" xfId="0" quotePrefix="1" applyFont="1" applyBorder="1" applyAlignment="1">
      <alignment vertical="center" wrapText="1"/>
    </xf>
    <xf numFmtId="0" fontId="28" fillId="0" borderId="37" xfId="0" applyFont="1" applyBorder="1" applyAlignment="1">
      <alignment vertical="center" wrapText="1"/>
    </xf>
    <xf numFmtId="174" fontId="20" fillId="0" borderId="37" xfId="4" applyNumberFormat="1" applyFont="1" applyBorder="1" applyAlignment="1">
      <alignment horizontal="left" vertical="center"/>
    </xf>
    <xf numFmtId="0" fontId="31" fillId="0" borderId="0" xfId="0" applyFont="1" applyAlignment="1">
      <alignment vertical="center"/>
    </xf>
    <xf numFmtId="0" fontId="32" fillId="0" borderId="0" xfId="0" applyFont="1" applyAlignment="1">
      <alignment vertical="center"/>
    </xf>
    <xf numFmtId="174" fontId="20" fillId="0" borderId="0" xfId="4" applyNumberFormat="1" applyFont="1" applyBorder="1" applyAlignment="1">
      <alignment vertical="center"/>
    </xf>
    <xf numFmtId="0" fontId="26" fillId="0" borderId="37" xfId="0" applyFont="1" applyBorder="1" applyAlignment="1">
      <alignment vertical="center" wrapText="1"/>
    </xf>
    <xf numFmtId="0" fontId="104" fillId="0" borderId="0" xfId="0" applyFont="1" applyAlignment="1">
      <alignment vertical="center"/>
    </xf>
    <xf numFmtId="0" fontId="26" fillId="0" borderId="35" xfId="0" applyFont="1" applyBorder="1" applyAlignment="1">
      <alignment horizontal="right" vertical="center" wrapText="1"/>
    </xf>
    <xf numFmtId="166" fontId="26" fillId="0" borderId="37" xfId="4" applyNumberFormat="1" applyFont="1" applyBorder="1" applyAlignment="1">
      <alignment horizontal="center" vertical="center" wrapText="1"/>
    </xf>
    <xf numFmtId="174" fontId="18" fillId="0" borderId="37" xfId="4" applyNumberFormat="1" applyFont="1" applyFill="1" applyBorder="1" applyAlignment="1">
      <alignment vertical="center"/>
    </xf>
    <xf numFmtId="166" fontId="10" fillId="0" borderId="0" xfId="0" applyNumberFormat="1" applyFont="1" applyAlignment="1">
      <alignment vertical="center"/>
    </xf>
    <xf numFmtId="0" fontId="105" fillId="0" borderId="0" xfId="0" applyFont="1"/>
    <xf numFmtId="0" fontId="35" fillId="0" borderId="37" xfId="0" applyFont="1" applyBorder="1" applyAlignment="1">
      <alignment vertical="top" wrapText="1"/>
    </xf>
    <xf numFmtId="0" fontId="106" fillId="0" borderId="0" xfId="0" applyFont="1" applyAlignment="1">
      <alignment vertical="center"/>
    </xf>
    <xf numFmtId="0" fontId="21" fillId="0" borderId="61" xfId="0" applyFont="1" applyBorder="1" applyAlignment="1">
      <alignment horizontal="center" vertical="center"/>
    </xf>
    <xf numFmtId="0" fontId="21" fillId="0" borderId="2" xfId="0" applyFont="1" applyBorder="1" applyAlignment="1">
      <alignment horizontal="center" vertical="center"/>
    </xf>
    <xf numFmtId="0" fontId="21" fillId="0" borderId="63" xfId="0" applyFont="1" applyBorder="1" applyAlignment="1">
      <alignment horizontal="center" vertical="center"/>
    </xf>
    <xf numFmtId="0" fontId="22" fillId="0" borderId="66" xfId="0" applyFont="1" applyBorder="1" applyAlignment="1">
      <alignment vertical="center"/>
    </xf>
    <xf numFmtId="0" fontId="22" fillId="0" borderId="14" xfId="0" applyFont="1" applyBorder="1" applyAlignment="1">
      <alignment horizontal="left" vertical="center" wrapText="1"/>
    </xf>
    <xf numFmtId="0" fontId="22" fillId="0" borderId="24" xfId="0" applyFont="1" applyBorder="1" applyAlignment="1">
      <alignment horizontal="left" vertical="center" wrapText="1"/>
    </xf>
    <xf numFmtId="0" fontId="22" fillId="0" borderId="28" xfId="0" applyFont="1" applyBorder="1" applyAlignment="1">
      <alignment horizontal="left" vertical="center" wrapText="1"/>
    </xf>
    <xf numFmtId="0" fontId="47" fillId="0" borderId="52" xfId="0" applyFont="1" applyBorder="1" applyAlignment="1">
      <alignment horizontal="left" vertical="center" wrapText="1"/>
    </xf>
    <xf numFmtId="0" fontId="47" fillId="0" borderId="28" xfId="0" applyFont="1" applyBorder="1" applyAlignment="1">
      <alignment horizontal="left" vertical="center" wrapText="1"/>
    </xf>
    <xf numFmtId="9" fontId="47" fillId="0" borderId="48" xfId="0" applyNumberFormat="1" applyFont="1" applyBorder="1" applyAlignment="1">
      <alignment horizontal="left" vertical="top" wrapText="1"/>
    </xf>
    <xf numFmtId="9" fontId="22" fillId="0" borderId="37" xfId="0" applyNumberFormat="1" applyFont="1" applyBorder="1" applyAlignment="1">
      <alignment vertical="center"/>
    </xf>
    <xf numFmtId="175" fontId="22" fillId="0" borderId="0" xfId="4" applyNumberFormat="1" applyFont="1" applyAlignment="1">
      <alignment vertical="center"/>
    </xf>
    <xf numFmtId="175" fontId="22" fillId="0" borderId="46" xfId="0" applyNumberFormat="1" applyFont="1" applyBorder="1" applyAlignment="1">
      <alignment horizontal="center" vertical="center"/>
    </xf>
    <xf numFmtId="174" fontId="22" fillId="0" borderId="37" xfId="4" applyNumberFormat="1" applyFont="1" applyFill="1" applyBorder="1" applyAlignment="1">
      <alignment horizontal="center" vertical="center"/>
    </xf>
    <xf numFmtId="174" fontId="22" fillId="0" borderId="34" xfId="4" applyNumberFormat="1" applyFont="1" applyFill="1" applyBorder="1" applyAlignment="1">
      <alignment horizontal="center" vertical="center"/>
    </xf>
    <xf numFmtId="175" fontId="22" fillId="0" borderId="23" xfId="4" applyNumberFormat="1" applyFont="1" applyFill="1" applyBorder="1" applyAlignment="1">
      <alignment horizontal="center" vertical="center"/>
    </xf>
    <xf numFmtId="9" fontId="47" fillId="0" borderId="3" xfId="0" applyNumberFormat="1" applyFont="1" applyBorder="1" applyAlignment="1">
      <alignment horizontal="left" vertical="top" wrapText="1"/>
    </xf>
    <xf numFmtId="9" fontId="47" fillId="0" borderId="23" xfId="0" applyNumberFormat="1" applyFont="1" applyBorder="1" applyAlignment="1">
      <alignment horizontal="left" vertical="top" wrapText="1"/>
    </xf>
    <xf numFmtId="0" fontId="47" fillId="0" borderId="3" xfId="0" applyFont="1" applyBorder="1" applyAlignment="1">
      <alignment horizontal="left" vertical="top" wrapText="1"/>
    </xf>
    <xf numFmtId="0" fontId="47" fillId="0" borderId="23" xfId="0" applyFont="1" applyBorder="1" applyAlignment="1">
      <alignment horizontal="left" vertical="top" wrapText="1"/>
    </xf>
    <xf numFmtId="175" fontId="22" fillId="0" borderId="16" xfId="0" applyNumberFormat="1" applyFont="1" applyBorder="1" applyAlignment="1">
      <alignment horizontal="center" vertical="center"/>
    </xf>
    <xf numFmtId="174" fontId="22" fillId="0" borderId="33" xfId="4" applyNumberFormat="1" applyFont="1" applyFill="1" applyBorder="1" applyAlignment="1">
      <alignment horizontal="center" vertical="center"/>
    </xf>
    <xf numFmtId="175" fontId="22" fillId="0" borderId="21" xfId="4" applyNumberFormat="1" applyFont="1" applyFill="1" applyBorder="1" applyAlignment="1">
      <alignment horizontal="center" vertical="center"/>
    </xf>
    <xf numFmtId="0" fontId="47" fillId="0" borderId="51" xfId="0" applyFont="1" applyBorder="1" applyAlignment="1">
      <alignment vertical="top" wrapText="1"/>
    </xf>
    <xf numFmtId="0" fontId="47" fillId="0" borderId="21" xfId="0" applyFont="1" applyBorder="1" applyAlignment="1">
      <alignment vertical="top" wrapText="1"/>
    </xf>
    <xf numFmtId="0" fontId="98" fillId="0" borderId="0" xfId="0" applyFont="1"/>
    <xf numFmtId="0" fontId="107" fillId="0" borderId="0" xfId="0" quotePrefix="1" applyFont="1" applyAlignment="1">
      <alignment vertical="center"/>
    </xf>
    <xf numFmtId="0" fontId="108" fillId="0" borderId="0" xfId="0" applyFont="1" applyAlignment="1">
      <alignment vertical="center"/>
    </xf>
    <xf numFmtId="0" fontId="68" fillId="0" borderId="0" xfId="0" applyFont="1" applyAlignment="1">
      <alignment vertical="center"/>
    </xf>
    <xf numFmtId="0" fontId="4" fillId="0" borderId="0" xfId="0" applyFont="1" applyAlignment="1">
      <alignment vertical="center"/>
    </xf>
    <xf numFmtId="0" fontId="109" fillId="0" borderId="0" xfId="0" applyFont="1" applyAlignment="1">
      <alignment vertical="center" wrapText="1"/>
    </xf>
    <xf numFmtId="1" fontId="109" fillId="42" borderId="132" xfId="0" applyNumberFormat="1" applyFont="1" applyFill="1" applyBorder="1" applyAlignment="1">
      <alignment horizontal="center" vertical="center" wrapText="1"/>
    </xf>
    <xf numFmtId="1" fontId="109" fillId="42" borderId="133" xfId="0" applyNumberFormat="1" applyFont="1" applyFill="1" applyBorder="1" applyAlignment="1">
      <alignment horizontal="center" vertical="center" wrapText="1"/>
    </xf>
    <xf numFmtId="1" fontId="109" fillId="42" borderId="134" xfId="0" applyNumberFormat="1" applyFont="1" applyFill="1" applyBorder="1" applyAlignment="1">
      <alignment horizontal="center" vertical="center" wrapText="1"/>
    </xf>
    <xf numFmtId="0" fontId="102" fillId="42" borderId="66" xfId="0" applyFont="1" applyFill="1" applyBorder="1" applyAlignment="1">
      <alignment horizontal="center" vertical="center"/>
    </xf>
    <xf numFmtId="0" fontId="21" fillId="0" borderId="73" xfId="7" applyFont="1" applyBorder="1" applyAlignment="1">
      <alignment horizontal="center" vertical="center" wrapText="1"/>
    </xf>
    <xf numFmtId="0" fontId="18" fillId="0" borderId="135" xfId="7" applyFont="1" applyBorder="1" applyAlignment="1">
      <alignment horizontal="left" vertical="center" wrapText="1"/>
    </xf>
    <xf numFmtId="166" fontId="18" fillId="0" borderId="132" xfId="4" applyNumberFormat="1" applyFont="1" applyFill="1" applyBorder="1" applyAlignment="1">
      <alignment vertical="center" wrapText="1"/>
    </xf>
    <xf numFmtId="166" fontId="27" fillId="0" borderId="133" xfId="4" applyNumberFormat="1" applyFont="1" applyFill="1" applyBorder="1" applyAlignment="1">
      <alignment vertical="center"/>
    </xf>
    <xf numFmtId="166" fontId="83" fillId="0" borderId="132" xfId="4" applyNumberFormat="1" applyFont="1" applyFill="1" applyBorder="1" applyAlignment="1">
      <alignment vertical="center"/>
    </xf>
    <xf numFmtId="166" fontId="83" fillId="0" borderId="133" xfId="4" applyNumberFormat="1" applyFont="1" applyFill="1" applyBorder="1" applyAlignment="1">
      <alignment vertical="center"/>
    </xf>
    <xf numFmtId="166" fontId="83" fillId="0" borderId="134" xfId="4" applyNumberFormat="1" applyFont="1" applyFill="1" applyBorder="1" applyAlignment="1">
      <alignment vertical="center"/>
    </xf>
    <xf numFmtId="0" fontId="18" fillId="0" borderId="136" xfId="7" applyFont="1" applyBorder="1" applyAlignment="1">
      <alignment horizontal="left" vertical="center" wrapText="1"/>
    </xf>
    <xf numFmtId="166" fontId="18" fillId="0" borderId="74" xfId="4" applyNumberFormat="1" applyFont="1" applyBorder="1" applyAlignment="1">
      <alignment vertical="center" wrapText="1"/>
    </xf>
    <xf numFmtId="166" fontId="83" fillId="0" borderId="74" xfId="4" applyNumberFormat="1" applyFont="1" applyFill="1" applyBorder="1" applyAlignment="1">
      <alignment vertical="center"/>
    </xf>
    <xf numFmtId="0" fontId="18" fillId="0" borderId="139" xfId="7" applyFont="1" applyBorder="1" applyAlignment="1">
      <alignment horizontal="left" vertical="center" wrapText="1"/>
    </xf>
    <xf numFmtId="166" fontId="18" fillId="0" borderId="76" xfId="4" applyNumberFormat="1" applyFont="1" applyBorder="1" applyAlignment="1">
      <alignment vertical="center" wrapText="1"/>
    </xf>
    <xf numFmtId="166" fontId="27" fillId="0" borderId="77" xfId="4" applyNumberFormat="1" applyFont="1" applyBorder="1" applyAlignment="1">
      <alignment vertical="center" wrapText="1"/>
    </xf>
    <xf numFmtId="166" fontId="83" fillId="0" borderId="77" xfId="4" applyNumberFormat="1" applyFont="1" applyFill="1" applyBorder="1" applyAlignment="1">
      <alignment vertical="center"/>
    </xf>
    <xf numFmtId="166" fontId="83" fillId="0" borderId="140" xfId="4" applyNumberFormat="1" applyFont="1" applyFill="1" applyBorder="1" applyAlignment="1">
      <alignment vertical="center"/>
    </xf>
    <xf numFmtId="0" fontId="18" fillId="0" borderId="136" xfId="0" applyFont="1" applyBorder="1" applyAlignment="1">
      <alignment horizontal="left" vertical="center"/>
    </xf>
    <xf numFmtId="9" fontId="28" fillId="0" borderId="74" xfId="3" applyFont="1" applyBorder="1" applyAlignment="1">
      <alignment vertical="center" wrapText="1"/>
    </xf>
    <xf numFmtId="9" fontId="54" fillId="0" borderId="75" xfId="5" applyNumberFormat="1" applyFont="1" applyBorder="1" applyAlignment="1">
      <alignment vertical="center" wrapText="1"/>
    </xf>
    <xf numFmtId="9" fontId="83" fillId="0" borderId="74" xfId="3" applyFont="1" applyFill="1" applyBorder="1" applyAlignment="1">
      <alignment vertical="center"/>
    </xf>
    <xf numFmtId="9" fontId="83" fillId="0" borderId="75" xfId="0" applyNumberFormat="1" applyFont="1" applyBorder="1" applyAlignment="1">
      <alignment vertical="center"/>
    </xf>
    <xf numFmtId="9" fontId="83" fillId="0" borderId="137" xfId="3" applyFont="1" applyFill="1" applyBorder="1" applyAlignment="1">
      <alignment vertical="center"/>
    </xf>
    <xf numFmtId="0" fontId="18" fillId="0" borderId="7" xfId="0" applyFont="1" applyBorder="1" applyAlignment="1">
      <alignment horizontal="left" vertical="center"/>
    </xf>
    <xf numFmtId="9" fontId="28" fillId="0" borderId="78" xfId="3" applyFont="1" applyBorder="1" applyAlignment="1">
      <alignment vertical="center" wrapText="1"/>
    </xf>
    <xf numFmtId="0" fontId="54" fillId="0" borderId="79" xfId="5" applyFont="1" applyBorder="1" applyAlignment="1">
      <alignment vertical="center" wrapText="1"/>
    </xf>
    <xf numFmtId="9" fontId="83" fillId="0" borderId="78" xfId="3" applyFont="1" applyFill="1" applyBorder="1" applyAlignment="1">
      <alignment vertical="center"/>
    </xf>
    <xf numFmtId="9" fontId="83" fillId="0" borderId="79" xfId="4" applyNumberFormat="1" applyFont="1" applyFill="1" applyBorder="1" applyAlignment="1">
      <alignment vertical="center"/>
    </xf>
    <xf numFmtId="9" fontId="83" fillId="0" borderId="6" xfId="3" applyFont="1" applyFill="1" applyBorder="1" applyAlignment="1">
      <alignment vertical="center"/>
    </xf>
    <xf numFmtId="9" fontId="83" fillId="0" borderId="79" xfId="0" applyNumberFormat="1" applyFont="1" applyBorder="1" applyAlignment="1">
      <alignment horizontal="center" vertical="center"/>
    </xf>
    <xf numFmtId="9" fontId="54" fillId="0" borderId="79" xfId="5" applyNumberFormat="1" applyFont="1" applyBorder="1" applyAlignment="1">
      <alignment vertical="center" wrapText="1"/>
    </xf>
    <xf numFmtId="9" fontId="83" fillId="0" borderId="79" xfId="0" applyNumberFormat="1" applyFont="1" applyBorder="1" applyAlignment="1">
      <alignment vertical="center"/>
    </xf>
    <xf numFmtId="0" fontId="83" fillId="0" borderId="78" xfId="0" applyFont="1" applyBorder="1" applyAlignment="1">
      <alignment vertical="center"/>
    </xf>
    <xf numFmtId="0" fontId="18" fillId="0" borderId="139" xfId="0" applyFont="1" applyBorder="1" applyAlignment="1">
      <alignment horizontal="left" vertical="center"/>
    </xf>
    <xf numFmtId="9" fontId="28" fillId="0" borderId="76" xfId="3" applyFont="1" applyBorder="1" applyAlignment="1">
      <alignment vertical="center" wrapText="1"/>
    </xf>
    <xf numFmtId="9" fontId="83" fillId="0" borderId="76" xfId="3" applyFont="1" applyFill="1" applyBorder="1" applyAlignment="1">
      <alignment vertical="center"/>
    </xf>
    <xf numFmtId="9" fontId="83" fillId="0" borderId="77" xfId="0" applyNumberFormat="1" applyFont="1" applyBorder="1" applyAlignment="1">
      <alignment vertical="center"/>
    </xf>
    <xf numFmtId="0" fontId="83" fillId="0" borderId="76" xfId="0" applyFont="1" applyBorder="1" applyAlignment="1">
      <alignment vertical="center"/>
    </xf>
    <xf numFmtId="9" fontId="83" fillId="0" borderId="140" xfId="0" applyNumberFormat="1" applyFont="1" applyBorder="1" applyAlignment="1">
      <alignment vertical="center"/>
    </xf>
    <xf numFmtId="171" fontId="18" fillId="0" borderId="74" xfId="4" applyNumberFormat="1" applyFont="1" applyFill="1" applyBorder="1" applyAlignment="1">
      <alignment vertical="center" wrapText="1"/>
    </xf>
    <xf numFmtId="0" fontId="27" fillId="0" borderId="75" xfId="5" applyFont="1" applyBorder="1" applyAlignment="1">
      <alignment vertical="center" wrapText="1"/>
    </xf>
    <xf numFmtId="171" fontId="83" fillId="0" borderId="74" xfId="4" applyNumberFormat="1" applyFont="1" applyBorder="1" applyAlignment="1">
      <alignment vertical="center" wrapText="1"/>
    </xf>
    <xf numFmtId="0" fontId="87" fillId="0" borderId="75" xfId="5" applyFont="1" applyBorder="1" applyAlignment="1">
      <alignment vertical="center" wrapText="1"/>
    </xf>
    <xf numFmtId="171" fontId="83" fillId="0" borderId="137" xfId="4" applyNumberFormat="1" applyFont="1" applyBorder="1" applyAlignment="1">
      <alignment vertical="center" wrapText="1"/>
    </xf>
    <xf numFmtId="171" fontId="18" fillId="0" borderId="78" xfId="4" applyNumberFormat="1" applyFont="1" applyFill="1" applyBorder="1" applyAlignment="1">
      <alignment vertical="center" wrapText="1"/>
    </xf>
    <xf numFmtId="2" fontId="27" fillId="0" borderId="79" xfId="5" applyNumberFormat="1" applyFont="1" applyBorder="1" applyAlignment="1">
      <alignment vertical="center" wrapText="1"/>
    </xf>
    <xf numFmtId="171" fontId="83" fillId="0" borderId="78" xfId="4" applyNumberFormat="1" applyFont="1" applyBorder="1" applyAlignment="1">
      <alignment vertical="center" wrapText="1"/>
    </xf>
    <xf numFmtId="2" fontId="87" fillId="0" borderId="79" xfId="5" applyNumberFormat="1" applyFont="1" applyBorder="1" applyAlignment="1">
      <alignment vertical="center" wrapText="1"/>
    </xf>
    <xf numFmtId="171" fontId="83" fillId="0" borderId="6" xfId="4" applyNumberFormat="1" applyFont="1" applyBorder="1" applyAlignment="1">
      <alignment vertical="center" wrapText="1"/>
    </xf>
    <xf numFmtId="0" fontId="27" fillId="0" borderId="79" xfId="5" applyFont="1" applyBorder="1" applyAlignment="1">
      <alignment vertical="center" wrapText="1"/>
    </xf>
    <xf numFmtId="43" fontId="87" fillId="0" borderId="78" xfId="5" applyNumberFormat="1" applyFont="1" applyBorder="1" applyAlignment="1">
      <alignment vertical="center" wrapText="1"/>
    </xf>
    <xf numFmtId="168" fontId="27" fillId="0" borderId="79" xfId="5" applyNumberFormat="1" applyFont="1" applyBorder="1" applyAlignment="1">
      <alignment vertical="center" wrapText="1"/>
    </xf>
    <xf numFmtId="171" fontId="18" fillId="0" borderId="97" xfId="4" applyNumberFormat="1" applyFont="1" applyFill="1" applyBorder="1" applyAlignment="1">
      <alignment vertical="center" wrapText="1"/>
    </xf>
    <xf numFmtId="2" fontId="27" fillId="0" borderId="98" xfId="5" applyNumberFormat="1" applyFont="1" applyBorder="1" applyAlignment="1">
      <alignment vertical="center" wrapText="1"/>
    </xf>
    <xf numFmtId="43" fontId="87" fillId="0" borderId="97" xfId="5" applyNumberFormat="1" applyFont="1" applyBorder="1" applyAlignment="1">
      <alignment vertical="center" wrapText="1"/>
    </xf>
    <xf numFmtId="171" fontId="83" fillId="0" borderId="76" xfId="4" applyNumberFormat="1" applyFont="1" applyBorder="1" applyAlignment="1">
      <alignment vertical="center" wrapText="1"/>
    </xf>
    <xf numFmtId="0" fontId="109" fillId="39" borderId="121" xfId="5" applyFont="1" applyFill="1" applyBorder="1" applyAlignment="1">
      <alignment vertical="center" wrapText="1"/>
    </xf>
    <xf numFmtId="166" fontId="109" fillId="59" borderId="142" xfId="4" applyNumberFormat="1" applyFont="1" applyFill="1" applyBorder="1" applyAlignment="1">
      <alignment vertical="center" wrapText="1"/>
    </xf>
    <xf numFmtId="166" fontId="109" fillId="59" borderId="143" xfId="4" applyNumberFormat="1" applyFont="1" applyFill="1" applyBorder="1" applyAlignment="1">
      <alignment vertical="center" wrapText="1"/>
    </xf>
    <xf numFmtId="0" fontId="21" fillId="39" borderId="144" xfId="5" applyFont="1" applyFill="1" applyBorder="1" applyAlignment="1">
      <alignment vertical="center" wrapText="1"/>
    </xf>
    <xf numFmtId="166" fontId="21" fillId="59" borderId="49" xfId="4" applyNumberFormat="1" applyFont="1" applyFill="1" applyBorder="1" applyAlignment="1">
      <alignment vertical="center" wrapText="1"/>
    </xf>
    <xf numFmtId="0" fontId="22" fillId="0" borderId="0" xfId="4" applyNumberFormat="1" applyFont="1" applyAlignment="1">
      <alignment vertical="center"/>
    </xf>
    <xf numFmtId="9" fontId="83" fillId="0" borderId="6" xfId="0" applyNumberFormat="1" applyFont="1" applyBorder="1" applyAlignment="1">
      <alignment vertical="center"/>
    </xf>
    <xf numFmtId="166" fontId="83" fillId="0" borderId="145" xfId="4" applyNumberFormat="1" applyFont="1" applyFill="1" applyBorder="1" applyAlignment="1">
      <alignment vertical="center"/>
    </xf>
    <xf numFmtId="168" fontId="87" fillId="0" borderId="79" xfId="5" applyNumberFormat="1" applyFont="1" applyBorder="1" applyAlignment="1">
      <alignment vertical="center" wrapText="1"/>
    </xf>
    <xf numFmtId="0" fontId="42" fillId="0" borderId="49" xfId="0" quotePrefix="1" applyFont="1" applyBorder="1" applyAlignment="1">
      <alignment vertical="center"/>
    </xf>
    <xf numFmtId="0" fontId="42" fillId="0" borderId="14" xfId="0" applyFont="1" applyBorder="1" applyAlignment="1">
      <alignment vertical="center" wrapText="1"/>
    </xf>
    <xf numFmtId="0" fontId="42" fillId="0" borderId="28" xfId="0" applyFont="1" applyBorder="1" applyAlignment="1">
      <alignment vertical="center" wrapText="1"/>
    </xf>
    <xf numFmtId="0" fontId="42" fillId="0" borderId="14" xfId="0" applyFont="1" applyBorder="1" applyAlignment="1">
      <alignment vertical="center"/>
    </xf>
    <xf numFmtId="0" fontId="42" fillId="0" borderId="24" xfId="0" applyFont="1" applyBorder="1" applyAlignment="1">
      <alignment vertical="center"/>
    </xf>
    <xf numFmtId="0" fontId="42" fillId="0" borderId="28" xfId="0" applyFont="1" applyBorder="1" applyAlignment="1">
      <alignment vertical="center"/>
    </xf>
    <xf numFmtId="0" fontId="27" fillId="0" borderId="136" xfId="5" applyFont="1" applyBorder="1" applyAlignment="1">
      <alignment vertical="center" wrapText="1"/>
    </xf>
    <xf numFmtId="0" fontId="27" fillId="0" borderId="7" xfId="5" applyFont="1" applyBorder="1" applyAlignment="1">
      <alignment vertical="center" wrapText="1"/>
    </xf>
    <xf numFmtId="0" fontId="27" fillId="0" borderId="139" xfId="5" applyFont="1" applyBorder="1" applyAlignment="1">
      <alignment vertical="center" wrapText="1"/>
    </xf>
    <xf numFmtId="0" fontId="42" fillId="0" borderId="68" xfId="0" applyFont="1" applyBorder="1" applyAlignment="1">
      <alignment vertical="center"/>
    </xf>
    <xf numFmtId="0" fontId="110" fillId="40" borderId="49" xfId="0" applyFont="1" applyFill="1" applyBorder="1" applyAlignment="1">
      <alignment vertical="center"/>
    </xf>
    <xf numFmtId="166" fontId="18" fillId="0" borderId="23" xfId="4" applyNumberFormat="1" applyFont="1" applyFill="1" applyBorder="1" applyAlignment="1">
      <alignment horizontal="center" vertical="center"/>
    </xf>
    <xf numFmtId="0" fontId="111" fillId="0" borderId="0" xfId="0" applyFont="1" applyAlignment="1">
      <alignment vertical="center"/>
    </xf>
    <xf numFmtId="0" fontId="42" fillId="0" borderId="0" xfId="0" quotePrefix="1" applyFont="1" applyAlignment="1">
      <alignment vertical="center"/>
    </xf>
    <xf numFmtId="0" fontId="113" fillId="0" borderId="0" xfId="0" applyFont="1" applyAlignment="1">
      <alignment vertical="center"/>
    </xf>
    <xf numFmtId="0" fontId="88" fillId="60" borderId="1" xfId="0" applyFont="1" applyFill="1" applyBorder="1" applyAlignment="1">
      <alignment horizontal="center" vertical="center"/>
    </xf>
    <xf numFmtId="0" fontId="88" fillId="60" borderId="62" xfId="0" applyFont="1" applyFill="1" applyBorder="1" applyAlignment="1">
      <alignment horizontal="center" vertical="center" wrapText="1"/>
    </xf>
    <xf numFmtId="0" fontId="114" fillId="60" borderId="2" xfId="0" applyFont="1" applyFill="1" applyBorder="1" applyAlignment="1">
      <alignment horizontal="center" vertical="center" wrapText="1"/>
    </xf>
    <xf numFmtId="1" fontId="115" fillId="0" borderId="3" xfId="0" applyNumberFormat="1" applyFont="1" applyBorder="1" applyAlignment="1">
      <alignment horizontal="center" vertical="center"/>
    </xf>
    <xf numFmtId="0" fontId="117" fillId="0" borderId="0" xfId="0" applyFont="1" applyAlignment="1">
      <alignment vertical="center"/>
    </xf>
    <xf numFmtId="0" fontId="118" fillId="60" borderId="1" xfId="0" applyFont="1" applyFill="1" applyBorder="1" applyAlignment="1">
      <alignment horizontal="center" vertical="center"/>
    </xf>
    <xf numFmtId="0" fontId="118" fillId="60" borderId="61" xfId="0" applyFont="1" applyFill="1" applyBorder="1" applyAlignment="1">
      <alignment horizontal="center" vertical="center" wrapText="1"/>
    </xf>
    <xf numFmtId="0" fontId="119" fillId="0" borderId="50" xfId="0" applyFont="1" applyBorder="1" applyAlignment="1">
      <alignment vertical="center"/>
    </xf>
    <xf numFmtId="166" fontId="119" fillId="0" borderId="3" xfId="4" applyNumberFormat="1" applyFont="1" applyBorder="1" applyAlignment="1">
      <alignment vertical="center"/>
    </xf>
    <xf numFmtId="9" fontId="120" fillId="0" borderId="51" xfId="3" applyFont="1" applyBorder="1" applyAlignment="1">
      <alignment horizontal="center" vertical="center"/>
    </xf>
    <xf numFmtId="0" fontId="119" fillId="0" borderId="35" xfId="0" applyFont="1" applyBorder="1" applyAlignment="1">
      <alignment vertical="center"/>
    </xf>
    <xf numFmtId="166" fontId="119" fillId="0" borderId="37" xfId="4" applyNumberFormat="1" applyFont="1" applyFill="1" applyBorder="1" applyAlignment="1">
      <alignment vertical="center"/>
    </xf>
    <xf numFmtId="9" fontId="120" fillId="0" borderId="33" xfId="3" applyFont="1" applyBorder="1" applyAlignment="1">
      <alignment horizontal="center" vertical="center"/>
    </xf>
    <xf numFmtId="0" fontId="121" fillId="0" borderId="22" xfId="0" applyFont="1" applyBorder="1" applyAlignment="1">
      <alignment vertical="center"/>
    </xf>
    <xf numFmtId="166" fontId="121" fillId="0" borderId="23" xfId="4" applyNumberFormat="1" applyFont="1" applyBorder="1" applyAlignment="1">
      <alignment vertical="center"/>
    </xf>
    <xf numFmtId="0" fontId="116" fillId="0" borderId="0" xfId="0" applyFont="1" applyAlignment="1">
      <alignment vertical="center"/>
    </xf>
    <xf numFmtId="0" fontId="122" fillId="0" borderId="0" xfId="0" applyFont="1" applyAlignment="1">
      <alignment vertical="center"/>
    </xf>
    <xf numFmtId="0" fontId="123" fillId="0" borderId="0" xfId="0" applyFont="1" applyAlignment="1">
      <alignment vertical="center"/>
    </xf>
    <xf numFmtId="0" fontId="118" fillId="12" borderId="44" xfId="0" applyFont="1" applyFill="1" applyBorder="1" applyAlignment="1">
      <alignment horizontal="center" vertical="center"/>
    </xf>
    <xf numFmtId="0" fontId="118" fillId="12" borderId="60" xfId="0" applyFont="1" applyFill="1" applyBorder="1" applyAlignment="1">
      <alignment horizontal="center" vertical="center"/>
    </xf>
    <xf numFmtId="0" fontId="123" fillId="0" borderId="0" xfId="0" applyFont="1"/>
    <xf numFmtId="0" fontId="118" fillId="60" borderId="15" xfId="0" applyFont="1" applyFill="1" applyBorder="1" applyAlignment="1">
      <alignment horizontal="center" vertical="center"/>
    </xf>
    <xf numFmtId="0" fontId="118" fillId="60" borderId="129" xfId="0" applyFont="1" applyFill="1" applyBorder="1" applyAlignment="1">
      <alignment horizontal="center" vertical="center" wrapText="1"/>
    </xf>
    <xf numFmtId="0" fontId="118" fillId="60" borderId="130" xfId="0" applyFont="1" applyFill="1" applyBorder="1" applyAlignment="1">
      <alignment horizontal="center" vertical="center" wrapText="1"/>
    </xf>
    <xf numFmtId="0" fontId="124" fillId="60" borderId="60" xfId="0" applyFont="1" applyFill="1" applyBorder="1" applyAlignment="1">
      <alignment horizontal="center" vertical="center" wrapText="1"/>
    </xf>
    <xf numFmtId="164" fontId="22" fillId="0" borderId="0" xfId="4" applyFont="1"/>
    <xf numFmtId="166" fontId="22" fillId="0" borderId="0" xfId="0" applyNumberFormat="1" applyFont="1" applyAlignment="1">
      <alignment vertical="center"/>
    </xf>
    <xf numFmtId="0" fontId="123" fillId="0" borderId="1" xfId="0" applyFont="1" applyBorder="1" applyAlignment="1">
      <alignment vertical="center"/>
    </xf>
    <xf numFmtId="0" fontId="112" fillId="0" borderId="61" xfId="0" applyFont="1" applyBorder="1" applyAlignment="1">
      <alignment horizontal="center" vertical="center"/>
    </xf>
    <xf numFmtId="0" fontId="112" fillId="0" borderId="2" xfId="0" applyFont="1" applyBorder="1" applyAlignment="1">
      <alignment horizontal="center" vertical="center"/>
    </xf>
    <xf numFmtId="0" fontId="123" fillId="0" borderId="50" xfId="0" applyFont="1" applyBorder="1" applyAlignment="1">
      <alignment vertical="center"/>
    </xf>
    <xf numFmtId="0" fontId="123" fillId="0" borderId="35" xfId="0" applyFont="1" applyBorder="1" applyAlignment="1">
      <alignment vertical="center"/>
    </xf>
    <xf numFmtId="0" fontId="112" fillId="0" borderId="1" xfId="0" applyFont="1" applyBorder="1" applyAlignment="1">
      <alignment vertical="center"/>
    </xf>
    <xf numFmtId="0" fontId="112" fillId="0" borderId="12" xfId="0" applyFont="1" applyBorder="1" applyAlignment="1">
      <alignment vertical="center"/>
    </xf>
    <xf numFmtId="9" fontId="112" fillId="0" borderId="11" xfId="3" applyFont="1" applyBorder="1" applyAlignment="1">
      <alignment vertical="center"/>
    </xf>
    <xf numFmtId="0" fontId="125" fillId="0" borderId="10" xfId="0" applyFont="1" applyBorder="1" applyAlignment="1">
      <alignment vertical="center"/>
    </xf>
    <xf numFmtId="9" fontId="125" fillId="0" borderId="11" xfId="0" applyNumberFormat="1" applyFont="1" applyBorder="1" applyAlignment="1">
      <alignment vertical="center"/>
    </xf>
    <xf numFmtId="0" fontId="118" fillId="12" borderId="10" xfId="0" applyFont="1" applyFill="1" applyBorder="1" applyAlignment="1">
      <alignment horizontal="center" vertical="center"/>
    </xf>
    <xf numFmtId="0" fontId="118" fillId="12" borderId="2" xfId="0" applyFont="1" applyFill="1" applyBorder="1" applyAlignment="1">
      <alignment horizontal="center" vertical="center"/>
    </xf>
    <xf numFmtId="0" fontId="118" fillId="60" borderId="110" xfId="0" applyFont="1" applyFill="1" applyBorder="1" applyAlignment="1">
      <alignment horizontal="center" vertical="center" wrapText="1"/>
    </xf>
    <xf numFmtId="0" fontId="124" fillId="60" borderId="16" xfId="0" applyFont="1" applyFill="1" applyBorder="1" applyAlignment="1">
      <alignment horizontal="center" vertical="center" wrapText="1"/>
    </xf>
    <xf numFmtId="166" fontId="22" fillId="0" borderId="0" xfId="0" applyNumberFormat="1" applyFont="1"/>
    <xf numFmtId="0" fontId="52" fillId="12" borderId="0" xfId="0" applyFont="1" applyFill="1" applyAlignment="1">
      <alignment horizontal="left" vertical="center"/>
    </xf>
    <xf numFmtId="0" fontId="18" fillId="0" borderId="9" xfId="0" applyFont="1" applyBorder="1" applyAlignment="1">
      <alignment wrapText="1"/>
    </xf>
    <xf numFmtId="2" fontId="18" fillId="0" borderId="37" xfId="0" applyNumberFormat="1" applyFont="1" applyBorder="1" applyAlignment="1">
      <alignment horizontal="right" vertical="center"/>
    </xf>
    <xf numFmtId="167" fontId="18" fillId="0" borderId="37" xfId="4" quotePrefix="1" applyNumberFormat="1" applyFont="1" applyFill="1" applyBorder="1" applyAlignment="1">
      <alignment vertical="center"/>
    </xf>
    <xf numFmtId="166" fontId="18" fillId="0" borderId="7" xfId="4" applyNumberFormat="1" applyFont="1" applyFill="1" applyBorder="1" applyAlignment="1">
      <alignment vertical="center" wrapText="1"/>
    </xf>
    <xf numFmtId="167" fontId="18" fillId="0" borderId="37" xfId="4" quotePrefix="1" applyNumberFormat="1" applyFont="1" applyFill="1" applyBorder="1" applyAlignment="1">
      <alignment horizontal="right" vertical="center"/>
    </xf>
    <xf numFmtId="0" fontId="126" fillId="0" borderId="37" xfId="0" applyFont="1" applyBorder="1" applyAlignment="1">
      <alignment horizontal="center" vertical="center"/>
    </xf>
    <xf numFmtId="0" fontId="127" fillId="0" borderId="37" xfId="0" applyFont="1" applyBorder="1" applyAlignment="1">
      <alignment vertical="center"/>
    </xf>
    <xf numFmtId="167" fontId="127" fillId="0" borderId="37" xfId="4" applyNumberFormat="1" applyFont="1" applyFill="1" applyBorder="1" applyAlignment="1">
      <alignment vertical="center"/>
    </xf>
    <xf numFmtId="167" fontId="127" fillId="0" borderId="37" xfId="4" applyNumberFormat="1" applyFont="1" applyBorder="1" applyAlignment="1">
      <alignment vertical="center"/>
    </xf>
    <xf numFmtId="0" fontId="127" fillId="0" borderId="37" xfId="0" applyFont="1" applyBorder="1" applyAlignment="1">
      <alignment vertical="center" wrapText="1"/>
    </xf>
    <xf numFmtId="0" fontId="128" fillId="0" borderId="37" xfId="0" applyFont="1" applyBorder="1" applyAlignment="1">
      <alignment vertical="center"/>
    </xf>
    <xf numFmtId="167" fontId="128" fillId="0" borderId="37" xfId="4" applyNumberFormat="1" applyFont="1" applyBorder="1" applyAlignment="1">
      <alignment vertical="center"/>
    </xf>
    <xf numFmtId="0" fontId="128" fillId="0" borderId="0" xfId="0" applyFont="1" applyAlignment="1">
      <alignment vertical="center"/>
    </xf>
    <xf numFmtId="167" fontId="128" fillId="0" borderId="0" xfId="4" applyNumberFormat="1" applyFont="1" applyBorder="1" applyAlignment="1">
      <alignment vertical="center"/>
    </xf>
    <xf numFmtId="0" fontId="128" fillId="0" borderId="0" xfId="0" applyFont="1" applyAlignment="1">
      <alignment horizontal="left" vertical="center" wrapText="1"/>
    </xf>
    <xf numFmtId="166" fontId="128" fillId="0" borderId="37" xfId="4" applyNumberFormat="1" applyFont="1" applyBorder="1" applyAlignment="1">
      <alignment vertical="center"/>
    </xf>
    <xf numFmtId="0" fontId="129" fillId="0" borderId="1" xfId="0" applyFont="1" applyBorder="1" applyAlignment="1">
      <alignment vertical="center" wrapText="1"/>
    </xf>
    <xf numFmtId="166" fontId="129" fillId="0" borderId="61" xfId="4" applyNumberFormat="1" applyFont="1" applyFill="1" applyBorder="1" applyAlignment="1">
      <alignment vertical="center"/>
    </xf>
    <xf numFmtId="0" fontId="129" fillId="0" borderId="2" xfId="0" applyFont="1" applyBorder="1" applyAlignment="1">
      <alignment vertical="center"/>
    </xf>
    <xf numFmtId="0" fontId="68" fillId="22" borderId="38" xfId="5" applyFont="1" applyFill="1" applyBorder="1" applyAlignment="1">
      <alignment horizontal="center" vertical="center"/>
    </xf>
    <xf numFmtId="0" fontId="25" fillId="49" borderId="10" xfId="6" applyFont="1" applyFill="1" applyBorder="1" applyAlignment="1">
      <alignment horizontal="center" vertical="center" wrapText="1"/>
    </xf>
    <xf numFmtId="164" fontId="22" fillId="0" borderId="2" xfId="4" applyFont="1" applyBorder="1" applyAlignment="1">
      <alignment horizontal="center" vertical="center"/>
    </xf>
    <xf numFmtId="9" fontId="22" fillId="0" borderId="16" xfId="0" applyNumberFormat="1" applyFont="1" applyBorder="1" applyAlignment="1">
      <alignment horizontal="center" vertical="center"/>
    </xf>
    <xf numFmtId="0" fontId="30" fillId="0" borderId="0" xfId="5" applyFont="1" applyAlignment="1">
      <alignment horizontal="left" vertical="center" wrapText="1"/>
    </xf>
    <xf numFmtId="0" fontId="92" fillId="0" borderId="0" xfId="5" applyFont="1" applyAlignment="1">
      <alignment vertical="center"/>
    </xf>
    <xf numFmtId="0" fontId="27" fillId="0" borderId="0" xfId="5" applyFont="1" applyAlignment="1">
      <alignment vertical="center" wrapText="1"/>
    </xf>
    <xf numFmtId="0" fontId="27" fillId="0" borderId="0" xfId="5" applyFont="1" applyAlignment="1">
      <alignment horizontal="left" vertical="center"/>
    </xf>
    <xf numFmtId="0" fontId="27" fillId="0" borderId="0" xfId="5" quotePrefix="1" applyFont="1" applyAlignment="1">
      <alignment horizontal="left" vertical="center" wrapText="1"/>
    </xf>
    <xf numFmtId="0" fontId="27" fillId="0" borderId="0" xfId="5" quotePrefix="1" applyFont="1" applyAlignment="1">
      <alignment horizontal="left" vertical="center"/>
    </xf>
    <xf numFmtId="0" fontId="130" fillId="0" borderId="0" xfId="5" applyFont="1" applyAlignment="1">
      <alignment vertical="center"/>
    </xf>
    <xf numFmtId="0" fontId="27" fillId="0" borderId="0" xfId="5" quotePrefix="1" applyFont="1" applyAlignment="1">
      <alignment vertical="center"/>
    </xf>
    <xf numFmtId="0" fontId="54" fillId="0" borderId="0" xfId="5" quotePrefix="1" applyFont="1" applyAlignment="1">
      <alignment vertical="center"/>
    </xf>
    <xf numFmtId="0" fontId="27" fillId="0" borderId="0" xfId="0" applyFont="1" applyAlignment="1">
      <alignment horizontal="left" vertical="center" wrapText="1"/>
    </xf>
    <xf numFmtId="0" fontId="22" fillId="19" borderId="14" xfId="8" applyFont="1" applyFill="1" applyBorder="1" applyAlignment="1">
      <alignment vertical="center" wrapText="1"/>
    </xf>
    <xf numFmtId="0" fontId="22" fillId="0" borderId="0" xfId="0" applyFont="1" applyAlignment="1">
      <alignment wrapText="1"/>
    </xf>
    <xf numFmtId="0" fontId="22" fillId="19" borderId="24" xfId="8" applyFont="1" applyFill="1" applyBorder="1" applyAlignment="1">
      <alignment vertical="center" wrapText="1"/>
    </xf>
    <xf numFmtId="0" fontId="22" fillId="19" borderId="28" xfId="8" applyFont="1" applyFill="1" applyBorder="1" applyAlignment="1">
      <alignment vertical="center" wrapText="1"/>
    </xf>
    <xf numFmtId="0" fontId="131" fillId="0" borderId="0" xfId="0" applyFont="1" applyAlignment="1">
      <alignment vertical="center"/>
    </xf>
    <xf numFmtId="0" fontId="11" fillId="0" borderId="0" xfId="0" applyFont="1" applyAlignment="1">
      <alignment vertical="center"/>
    </xf>
    <xf numFmtId="9" fontId="27" fillId="0" borderId="37" xfId="3" applyFont="1" applyBorder="1" applyAlignment="1">
      <alignment vertical="center"/>
    </xf>
    <xf numFmtId="9" fontId="14" fillId="0" borderId="37" xfId="3" applyFont="1" applyBorder="1" applyAlignment="1">
      <alignment vertical="center"/>
    </xf>
    <xf numFmtId="9" fontId="27" fillId="0" borderId="0" xfId="3" applyFont="1" applyBorder="1"/>
    <xf numFmtId="9" fontId="64" fillId="0" borderId="0" xfId="3" applyFont="1" applyBorder="1" applyAlignment="1">
      <alignment vertical="center"/>
    </xf>
    <xf numFmtId="0" fontId="11" fillId="0" borderId="1" xfId="0" applyFont="1" applyBorder="1" applyAlignment="1">
      <alignment vertical="center" wrapText="1"/>
    </xf>
    <xf numFmtId="9" fontId="11" fillId="0" borderId="2" xfId="0" applyNumberFormat="1" applyFont="1" applyBorder="1" applyAlignment="1">
      <alignment vertical="center"/>
    </xf>
    <xf numFmtId="0" fontId="64" fillId="0" borderId="0" xfId="5" applyFont="1" applyAlignment="1">
      <alignment vertical="center"/>
    </xf>
    <xf numFmtId="0" fontId="22" fillId="0" borderId="0" xfId="0" quotePrefix="1" applyFont="1"/>
    <xf numFmtId="0" fontId="75" fillId="30" borderId="58" xfId="0" applyFont="1" applyFill="1" applyBorder="1" applyAlignment="1">
      <alignment horizontal="center" vertical="center"/>
    </xf>
    <xf numFmtId="172" fontId="30" fillId="0" borderId="46" xfId="5" applyNumberFormat="1" applyFont="1" applyBorder="1" applyAlignment="1">
      <alignment vertical="center"/>
    </xf>
    <xf numFmtId="172" fontId="22" fillId="0" borderId="16" xfId="0" applyNumberFormat="1" applyFont="1" applyBorder="1" applyAlignment="1">
      <alignment vertical="center"/>
    </xf>
    <xf numFmtId="0" fontId="30" fillId="0" borderId="35" xfId="5" applyFont="1" applyBorder="1" applyAlignment="1">
      <alignment vertical="center"/>
    </xf>
    <xf numFmtId="172" fontId="30" fillId="0" borderId="37" xfId="5" applyNumberFormat="1" applyFont="1" applyBorder="1" applyAlignment="1">
      <alignment vertical="center"/>
    </xf>
    <xf numFmtId="172" fontId="22" fillId="0" borderId="33" xfId="0" applyNumberFormat="1" applyFont="1" applyBorder="1" applyAlignment="1">
      <alignment vertical="center"/>
    </xf>
    <xf numFmtId="0" fontId="24" fillId="0" borderId="22" xfId="0" applyFont="1" applyBorder="1" applyAlignment="1">
      <alignment vertical="center"/>
    </xf>
    <xf numFmtId="9" fontId="130" fillId="0" borderId="23" xfId="3" applyFont="1" applyBorder="1" applyAlignment="1">
      <alignment vertical="center"/>
    </xf>
    <xf numFmtId="9" fontId="24" fillId="0" borderId="21" xfId="3" applyFont="1" applyBorder="1" applyAlignment="1">
      <alignment vertical="center"/>
    </xf>
    <xf numFmtId="0" fontId="78" fillId="0" borderId="0" xfId="0" applyFont="1" applyAlignment="1">
      <alignment horizontal="left" vertical="center"/>
    </xf>
    <xf numFmtId="0" fontId="34" fillId="0" borderId="37" xfId="0" applyFont="1" applyBorder="1" applyAlignment="1">
      <alignment horizontal="left" vertical="top" wrapText="1"/>
    </xf>
    <xf numFmtId="0" fontId="132" fillId="0" borderId="0" xfId="0" applyFont="1"/>
    <xf numFmtId="1" fontId="18" fillId="0" borderId="37" xfId="0" applyNumberFormat="1" applyFont="1" applyBorder="1" applyAlignment="1">
      <alignment horizontal="center" vertical="center"/>
    </xf>
    <xf numFmtId="0" fontId="133" fillId="0" borderId="0" xfId="0" applyFont="1"/>
    <xf numFmtId="0" fontId="32" fillId="0" borderId="0" xfId="0" applyFont="1"/>
    <xf numFmtId="0" fontId="32" fillId="0" borderId="37" xfId="0" applyFont="1" applyBorder="1" applyAlignment="1">
      <alignment vertical="center"/>
    </xf>
    <xf numFmtId="0" fontId="134" fillId="0" borderId="0" xfId="0" applyFont="1"/>
    <xf numFmtId="0" fontId="135" fillId="0" borderId="0" xfId="0" applyFont="1"/>
    <xf numFmtId="0" fontId="136" fillId="0" borderId="0" xfId="0" applyFont="1"/>
    <xf numFmtId="0" fontId="137" fillId="0" borderId="37" xfId="0" applyFont="1" applyBorder="1" applyAlignment="1">
      <alignment horizontal="center" vertical="center"/>
    </xf>
    <xf numFmtId="0" fontId="137" fillId="0" borderId="37" xfId="0" applyFont="1" applyBorder="1" applyAlignment="1">
      <alignment vertical="center"/>
    </xf>
    <xf numFmtId="174" fontId="18" fillId="0" borderId="37" xfId="4" applyNumberFormat="1" applyFont="1" applyFill="1" applyBorder="1" applyAlignment="1">
      <alignment horizontal="center" vertical="center"/>
    </xf>
    <xf numFmtId="0" fontId="105" fillId="0" borderId="43" xfId="0" applyFont="1" applyBorder="1" applyAlignment="1">
      <alignment horizontal="center" vertical="center"/>
    </xf>
    <xf numFmtId="0" fontId="105" fillId="0" borderId="3" xfId="0" applyFont="1" applyBorder="1" applyAlignment="1">
      <alignment horizontal="center" vertical="center"/>
    </xf>
    <xf numFmtId="1" fontId="10" fillId="0" borderId="0" xfId="0" applyNumberFormat="1" applyFont="1"/>
    <xf numFmtId="0" fontId="105" fillId="0" borderId="37" xfId="0" applyFont="1" applyBorder="1" applyAlignment="1">
      <alignment vertical="center"/>
    </xf>
    <xf numFmtId="1" fontId="10" fillId="0" borderId="37" xfId="0" applyNumberFormat="1" applyFont="1" applyBorder="1" applyAlignment="1">
      <alignment vertical="center"/>
    </xf>
    <xf numFmtId="0" fontId="105" fillId="0" borderId="37" xfId="0" applyFont="1" applyBorder="1" applyAlignment="1">
      <alignment horizontal="center" vertical="center"/>
    </xf>
    <xf numFmtId="0" fontId="132" fillId="0" borderId="0" xfId="0" applyFont="1" applyAlignment="1">
      <alignment vertical="center"/>
    </xf>
    <xf numFmtId="0" fontId="133" fillId="0" borderId="0" xfId="0" applyFont="1" applyAlignment="1">
      <alignment vertical="center"/>
    </xf>
    <xf numFmtId="0" fontId="134" fillId="0" borderId="0" xfId="0" applyFont="1" applyAlignment="1">
      <alignment vertical="center"/>
    </xf>
    <xf numFmtId="0" fontId="136" fillId="0" borderId="0" xfId="0" applyFont="1" applyAlignment="1">
      <alignment vertical="center"/>
    </xf>
    <xf numFmtId="0" fontId="135" fillId="0" borderId="0" xfId="0" applyFont="1" applyAlignment="1">
      <alignment vertical="center"/>
    </xf>
    <xf numFmtId="0" fontId="10" fillId="0" borderId="37" xfId="0" applyFont="1" applyBorder="1" applyAlignment="1">
      <alignment horizontal="center" vertical="center" wrapText="1"/>
    </xf>
    <xf numFmtId="174" fontId="44" fillId="0" borderId="37" xfId="4" applyNumberFormat="1" applyFont="1" applyBorder="1"/>
    <xf numFmtId="166" fontId="28" fillId="0" borderId="0" xfId="0" quotePrefix="1" applyNumberFormat="1" applyFont="1" applyAlignment="1">
      <alignment horizontal="left" vertical="center" wrapText="1"/>
    </xf>
    <xf numFmtId="2" fontId="28" fillId="0" borderId="37" xfId="0" quotePrefix="1" applyNumberFormat="1" applyFont="1" applyBorder="1" applyAlignment="1">
      <alignment vertical="center" wrapText="1"/>
    </xf>
    <xf numFmtId="0" fontId="138" fillId="0" borderId="0" xfId="0" applyFont="1"/>
    <xf numFmtId="0" fontId="105" fillId="0" borderId="37" xfId="0" applyFont="1" applyBorder="1" applyAlignment="1">
      <alignment vertical="center" wrapText="1"/>
    </xf>
    <xf numFmtId="0" fontId="32" fillId="0" borderId="37" xfId="0" applyFont="1" applyBorder="1" applyAlignment="1">
      <alignment vertical="center" wrapText="1"/>
    </xf>
    <xf numFmtId="0" fontId="105" fillId="0" borderId="37" xfId="0" applyFont="1" applyBorder="1" applyAlignment="1">
      <alignment horizontal="center" vertical="center" wrapText="1"/>
    </xf>
    <xf numFmtId="0" fontId="32" fillId="0" borderId="37" xfId="0" applyFont="1" applyBorder="1" applyAlignment="1">
      <alignment horizontal="center" vertical="center" wrapText="1"/>
    </xf>
    <xf numFmtId="0" fontId="32" fillId="0" borderId="37" xfId="0" applyFont="1" applyBorder="1" applyAlignment="1">
      <alignment horizontal="left" vertical="center" wrapText="1"/>
    </xf>
    <xf numFmtId="0" fontId="138" fillId="0" borderId="0" xfId="0" applyFont="1" applyAlignment="1">
      <alignment vertical="center"/>
    </xf>
    <xf numFmtId="166" fontId="18" fillId="0" borderId="75" xfId="4" applyNumberFormat="1" applyFont="1" applyFill="1" applyBorder="1" applyAlignment="1">
      <alignment vertical="center" wrapText="1"/>
    </xf>
    <xf numFmtId="1" fontId="109" fillId="42" borderId="149" xfId="0" applyNumberFormat="1" applyFont="1" applyFill="1" applyBorder="1" applyAlignment="1">
      <alignment horizontal="center" vertical="center" wrapText="1"/>
    </xf>
    <xf numFmtId="1" fontId="109" fillId="42" borderId="150" xfId="0" applyNumberFormat="1" applyFont="1" applyFill="1" applyBorder="1" applyAlignment="1">
      <alignment horizontal="center" vertical="center" wrapText="1"/>
    </xf>
    <xf numFmtId="1" fontId="109" fillId="42" borderId="151" xfId="0" applyNumberFormat="1" applyFont="1" applyFill="1" applyBorder="1" applyAlignment="1">
      <alignment horizontal="center" vertical="center" wrapText="1"/>
    </xf>
    <xf numFmtId="43" fontId="22" fillId="0" borderId="15" xfId="4" applyNumberFormat="1" applyFont="1" applyFill="1" applyBorder="1" applyAlignment="1">
      <alignment vertical="center" wrapText="1"/>
    </xf>
    <xf numFmtId="43" fontId="22" fillId="0" borderId="16" xfId="4" applyNumberFormat="1" applyFont="1" applyFill="1" applyBorder="1" applyAlignment="1">
      <alignment vertical="center" wrapText="1"/>
    </xf>
    <xf numFmtId="43" fontId="22" fillId="0" borderId="35" xfId="4" applyNumberFormat="1" applyFont="1" applyFill="1" applyBorder="1" applyAlignment="1">
      <alignment vertical="center" wrapText="1"/>
    </xf>
    <xf numFmtId="43" fontId="22" fillId="0" borderId="33" xfId="4" applyNumberFormat="1" applyFont="1" applyFill="1" applyBorder="1" applyAlignment="1">
      <alignment vertical="center" wrapText="1"/>
    </xf>
    <xf numFmtId="43" fontId="22" fillId="0" borderId="22" xfId="4" applyNumberFormat="1" applyFont="1" applyFill="1" applyBorder="1" applyAlignment="1">
      <alignment vertical="center" wrapText="1"/>
    </xf>
    <xf numFmtId="43" fontId="22" fillId="0" borderId="21" xfId="4" applyNumberFormat="1" applyFont="1" applyFill="1" applyBorder="1" applyAlignment="1">
      <alignment vertical="center" wrapText="1"/>
    </xf>
    <xf numFmtId="9" fontId="22" fillId="0" borderId="48" xfId="3" applyFont="1" applyFill="1" applyBorder="1" applyAlignment="1">
      <alignment vertical="center" wrapText="1"/>
    </xf>
    <xf numFmtId="9" fontId="22" fillId="0" borderId="34" xfId="3" applyFont="1" applyFill="1" applyBorder="1" applyAlignment="1">
      <alignment vertical="center" wrapText="1"/>
    </xf>
    <xf numFmtId="9" fontId="22" fillId="0" borderId="41" xfId="3" applyFont="1" applyFill="1" applyBorder="1" applyAlignment="1">
      <alignment vertical="center" wrapText="1"/>
    </xf>
    <xf numFmtId="0" fontId="18" fillId="0" borderId="55" xfId="7" applyFont="1" applyBorder="1" applyAlignment="1">
      <alignment horizontal="left" vertical="center" wrapText="1"/>
    </xf>
    <xf numFmtId="0" fontId="27" fillId="0" borderId="153" xfId="5" applyFont="1" applyBorder="1" applyAlignment="1">
      <alignment vertical="center" wrapText="1"/>
    </xf>
    <xf numFmtId="0" fontId="18" fillId="0" borderId="123" xfId="0" applyFont="1" applyBorder="1" applyAlignment="1">
      <alignment horizontal="left" vertical="center"/>
    </xf>
    <xf numFmtId="0" fontId="18" fillId="0" borderId="124" xfId="0" applyFont="1" applyBorder="1" applyAlignment="1">
      <alignment horizontal="left" vertical="center"/>
    </xf>
    <xf numFmtId="0" fontId="18" fillId="0" borderId="125" xfId="0" applyFont="1" applyBorder="1" applyAlignment="1">
      <alignment horizontal="left" vertical="center"/>
    </xf>
    <xf numFmtId="166" fontId="22" fillId="0" borderId="56" xfId="4" applyNumberFormat="1" applyFont="1" applyFill="1" applyBorder="1" applyAlignment="1">
      <alignment vertical="center" wrapText="1"/>
    </xf>
    <xf numFmtId="9" fontId="22" fillId="0" borderId="54" xfId="3" applyFont="1" applyFill="1" applyBorder="1" applyAlignment="1">
      <alignment vertical="center" wrapText="1"/>
    </xf>
    <xf numFmtId="9" fontId="22" fillId="0" borderId="40" xfId="3" applyFont="1" applyFill="1" applyBorder="1" applyAlignment="1">
      <alignment vertical="center" wrapText="1"/>
    </xf>
    <xf numFmtId="9" fontId="22" fillId="0" borderId="53" xfId="3" applyFont="1" applyFill="1" applyBorder="1" applyAlignment="1">
      <alignment vertical="center" wrapText="1"/>
    </xf>
    <xf numFmtId="43" fontId="22" fillId="0" borderId="110" xfId="4" applyNumberFormat="1" applyFont="1" applyFill="1" applyBorder="1" applyAlignment="1">
      <alignment vertical="center" wrapText="1"/>
    </xf>
    <xf numFmtId="43" fontId="22" fillId="0" borderId="40" xfId="4" applyNumberFormat="1" applyFont="1" applyFill="1" applyBorder="1" applyAlignment="1">
      <alignment vertical="center" wrapText="1"/>
    </xf>
    <xf numFmtId="43" fontId="22" fillId="0" borderId="56" xfId="4" applyNumberFormat="1" applyFont="1" applyFill="1" applyBorder="1" applyAlignment="1">
      <alignment vertical="center" wrapText="1"/>
    </xf>
    <xf numFmtId="166" fontId="22" fillId="0" borderId="36" xfId="4" applyNumberFormat="1" applyFont="1" applyFill="1" applyBorder="1" applyAlignment="1">
      <alignment vertical="center" wrapText="1"/>
    </xf>
    <xf numFmtId="43" fontId="22" fillId="0" borderId="111" xfId="4" applyNumberFormat="1" applyFont="1" applyFill="1" applyBorder="1" applyAlignment="1">
      <alignment vertical="center" wrapText="1"/>
    </xf>
    <xf numFmtId="43" fontId="22" fillId="0" borderId="34" xfId="4" applyNumberFormat="1" applyFont="1" applyFill="1" applyBorder="1" applyAlignment="1">
      <alignment vertical="center" wrapText="1"/>
    </xf>
    <xf numFmtId="43" fontId="22" fillId="0" borderId="36" xfId="4" applyNumberFormat="1" applyFont="1" applyFill="1" applyBorder="1" applyAlignment="1">
      <alignment vertical="center" wrapText="1"/>
    </xf>
    <xf numFmtId="9" fontId="22" fillId="0" borderId="50" xfId="3" applyFont="1" applyFill="1" applyBorder="1" applyAlignment="1">
      <alignment vertical="center" wrapText="1"/>
    </xf>
    <xf numFmtId="9" fontId="22" fillId="0" borderId="51" xfId="3" applyFont="1" applyFill="1" applyBorder="1" applyAlignment="1">
      <alignment vertical="center" wrapText="1"/>
    </xf>
    <xf numFmtId="9" fontId="22" fillId="0" borderId="35" xfId="3" applyFont="1" applyFill="1" applyBorder="1" applyAlignment="1">
      <alignment vertical="center" wrapText="1"/>
    </xf>
    <xf numFmtId="9" fontId="22" fillId="0" borderId="33" xfId="3" applyFont="1" applyFill="1" applyBorder="1" applyAlignment="1">
      <alignment vertical="center" wrapText="1"/>
    </xf>
    <xf numFmtId="9" fontId="22" fillId="0" borderId="72" xfId="3" applyFont="1" applyFill="1" applyBorder="1" applyAlignment="1">
      <alignment vertical="center" wrapText="1"/>
    </xf>
    <xf numFmtId="0" fontId="0" fillId="0" borderId="16" xfId="0" applyBorder="1"/>
    <xf numFmtId="0" fontId="0" fillId="0" borderId="35" xfId="0" applyBorder="1"/>
    <xf numFmtId="0" fontId="0" fillId="0" borderId="22" xfId="0" applyBorder="1"/>
    <xf numFmtId="0" fontId="0" fillId="0" borderId="34" xfId="0" applyBorder="1"/>
    <xf numFmtId="0" fontId="0" fillId="0" borderId="36" xfId="0" applyBorder="1"/>
    <xf numFmtId="0" fontId="22" fillId="0" borderId="110" xfId="0" applyFont="1" applyBorder="1" applyAlignment="1">
      <alignment vertical="center"/>
    </xf>
    <xf numFmtId="0" fontId="0" fillId="0" borderId="40" xfId="0" applyBorder="1"/>
    <xf numFmtId="0" fontId="0" fillId="0" borderId="110" xfId="0" applyBorder="1"/>
    <xf numFmtId="0" fontId="22" fillId="0" borderId="34" xfId="0" applyFont="1" applyBorder="1" applyAlignment="1">
      <alignment vertical="center"/>
    </xf>
    <xf numFmtId="0" fontId="22" fillId="0" borderId="36" xfId="0" applyFont="1" applyBorder="1" applyAlignment="1">
      <alignment vertical="center"/>
    </xf>
    <xf numFmtId="1" fontId="109" fillId="42" borderId="155" xfId="0" applyNumberFormat="1" applyFont="1" applyFill="1" applyBorder="1" applyAlignment="1">
      <alignment horizontal="center" vertical="center" wrapText="1"/>
    </xf>
    <xf numFmtId="1" fontId="109" fillId="42" borderId="156" xfId="0" applyNumberFormat="1" applyFont="1" applyFill="1" applyBorder="1" applyAlignment="1">
      <alignment horizontal="center" vertical="center" wrapText="1"/>
    </xf>
    <xf numFmtId="0" fontId="22" fillId="0" borderId="48" xfId="0" applyFont="1" applyBorder="1" applyAlignment="1">
      <alignment vertical="center"/>
    </xf>
    <xf numFmtId="0" fontId="22" fillId="0" borderId="54" xfId="0" applyFont="1" applyBorder="1" applyAlignment="1">
      <alignment vertical="center"/>
    </xf>
    <xf numFmtId="0" fontId="55" fillId="0" borderId="37" xfId="0" applyFont="1" applyBorder="1" applyAlignment="1">
      <alignment vertical="top" wrapText="1"/>
    </xf>
    <xf numFmtId="0" fontId="21" fillId="63" borderId="49" xfId="6" applyFont="1" applyFill="1" applyBorder="1" applyAlignment="1">
      <alignment horizontal="center" vertical="center" wrapText="1"/>
    </xf>
    <xf numFmtId="0" fontId="139" fillId="0" borderId="0" xfId="0" applyFont="1" applyAlignment="1">
      <alignment vertical="center"/>
    </xf>
    <xf numFmtId="0" fontId="140" fillId="0" borderId="0" xfId="0" applyFont="1" applyAlignment="1">
      <alignment vertical="center"/>
    </xf>
    <xf numFmtId="0" fontId="25" fillId="49" borderId="44" xfId="6" applyFont="1" applyFill="1" applyBorder="1" applyAlignment="1">
      <alignment horizontal="center" vertical="center" wrapText="1"/>
    </xf>
    <xf numFmtId="0" fontId="62" fillId="17" borderId="52" xfId="0" applyFont="1" applyFill="1" applyBorder="1" applyAlignment="1">
      <alignment horizontal="center" vertical="center"/>
    </xf>
    <xf numFmtId="0" fontId="62" fillId="17" borderId="24" xfId="0" applyFont="1" applyFill="1" applyBorder="1" applyAlignment="1">
      <alignment horizontal="center" vertical="center"/>
    </xf>
    <xf numFmtId="0" fontId="62" fillId="17" borderId="28" xfId="0" applyFont="1" applyFill="1" applyBorder="1" applyAlignment="1">
      <alignment horizontal="center" vertical="center"/>
    </xf>
    <xf numFmtId="0" fontId="22" fillId="19" borderId="14" xfId="0" applyFont="1" applyFill="1" applyBorder="1" applyAlignment="1">
      <alignment vertical="center" wrapText="1"/>
    </xf>
    <xf numFmtId="0" fontId="22" fillId="19" borderId="24" xfId="0" applyFont="1" applyFill="1" applyBorder="1" applyAlignment="1">
      <alignment vertical="center" wrapText="1"/>
    </xf>
    <xf numFmtId="0" fontId="22" fillId="19" borderId="28" xfId="0" applyFont="1" applyFill="1" applyBorder="1" applyAlignment="1">
      <alignment vertical="center" wrapText="1"/>
    </xf>
    <xf numFmtId="165" fontId="21" fillId="0" borderId="37" xfId="0" applyNumberFormat="1" applyFont="1" applyBorder="1" applyAlignment="1">
      <alignment horizontal="center" vertical="center" wrapText="1"/>
    </xf>
    <xf numFmtId="0" fontId="22" fillId="0" borderId="3" xfId="0" applyFont="1" applyBorder="1" applyAlignment="1">
      <alignment horizontal="left" vertical="center"/>
    </xf>
    <xf numFmtId="0" fontId="22" fillId="0" borderId="37" xfId="0" applyFont="1" applyBorder="1" applyAlignment="1">
      <alignment horizontal="center" vertical="center"/>
    </xf>
    <xf numFmtId="1" fontId="22" fillId="0" borderId="37" xfId="0" applyNumberFormat="1" applyFont="1" applyBorder="1" applyAlignment="1">
      <alignment horizontal="right" vertical="center"/>
    </xf>
    <xf numFmtId="166" fontId="22" fillId="0" borderId="37" xfId="4" applyNumberFormat="1" applyFont="1" applyFill="1" applyBorder="1" applyAlignment="1">
      <alignment vertical="center"/>
    </xf>
    <xf numFmtId="0" fontId="21" fillId="58" borderId="37" xfId="0" applyFont="1" applyFill="1" applyBorder="1" applyAlignment="1">
      <alignment horizontal="center" vertical="center"/>
    </xf>
    <xf numFmtId="165" fontId="21" fillId="58" borderId="37" xfId="0" applyNumberFormat="1" applyFont="1" applyFill="1" applyBorder="1" applyAlignment="1">
      <alignment horizontal="center" vertical="center" wrapText="1"/>
    </xf>
    <xf numFmtId="0" fontId="24" fillId="58" borderId="37" xfId="0" applyFont="1" applyFill="1" applyBorder="1" applyAlignment="1">
      <alignment horizontal="center" vertical="center"/>
    </xf>
    <xf numFmtId="178" fontId="22" fillId="0" borderId="3" xfId="0" applyNumberFormat="1" applyFont="1" applyBorder="1" applyAlignment="1">
      <alignment horizontal="center" vertical="center"/>
    </xf>
    <xf numFmtId="0" fontId="24" fillId="0" borderId="37" xfId="0" applyFont="1" applyBorder="1" applyAlignment="1">
      <alignment horizontal="center" vertical="center"/>
    </xf>
    <xf numFmtId="0" fontId="21" fillId="61" borderId="37" xfId="0" applyFont="1" applyFill="1" applyBorder="1" applyAlignment="1">
      <alignment vertical="center"/>
    </xf>
    <xf numFmtId="166" fontId="21" fillId="61" borderId="3" xfId="4" applyNumberFormat="1" applyFont="1" applyFill="1" applyBorder="1" applyAlignment="1">
      <alignment vertical="center"/>
    </xf>
    <xf numFmtId="0" fontId="24" fillId="61" borderId="37" xfId="0" applyFont="1" applyFill="1" applyBorder="1" applyAlignment="1">
      <alignment vertical="center"/>
    </xf>
    <xf numFmtId="0" fontId="25" fillId="0" borderId="1" xfId="0" applyFont="1" applyBorder="1" applyAlignment="1">
      <alignment vertical="center" wrapText="1"/>
    </xf>
    <xf numFmtId="166" fontId="25" fillId="0" borderId="61" xfId="4" applyNumberFormat="1" applyFont="1" applyFill="1" applyBorder="1" applyAlignment="1">
      <alignment vertical="center"/>
    </xf>
    <xf numFmtId="0" fontId="25" fillId="0" borderId="2" xfId="0" applyFont="1" applyBorder="1" applyAlignment="1">
      <alignment vertical="center"/>
    </xf>
    <xf numFmtId="0" fontId="18" fillId="0" borderId="0" xfId="4" applyNumberFormat="1" applyFont="1" applyFill="1" applyBorder="1" applyAlignment="1">
      <alignment horizontal="left" vertical="center"/>
    </xf>
    <xf numFmtId="172" fontId="18" fillId="0" borderId="0" xfId="4" applyNumberFormat="1" applyFont="1" applyFill="1" applyBorder="1" applyAlignment="1">
      <alignment horizontal="center"/>
    </xf>
    <xf numFmtId="0" fontId="18" fillId="0" borderId="0" xfId="4" applyNumberFormat="1" applyFont="1" applyFill="1" applyBorder="1" applyAlignment="1">
      <alignment horizontal="left"/>
    </xf>
    <xf numFmtId="0" fontId="21" fillId="0" borderId="0" xfId="0" quotePrefix="1" applyFont="1" applyAlignment="1">
      <alignment horizontal="left" vertical="center"/>
    </xf>
    <xf numFmtId="0" fontId="142" fillId="0" borderId="0" xfId="0" applyFont="1" applyAlignment="1">
      <alignment horizontal="center" vertical="center" wrapText="1"/>
    </xf>
    <xf numFmtId="1" fontId="18" fillId="0" borderId="0" xfId="0" applyNumberFormat="1" applyFont="1" applyAlignment="1">
      <alignment horizontal="center" vertical="center"/>
    </xf>
    <xf numFmtId="0" fontId="21" fillId="0" borderId="37" xfId="0" applyFont="1" applyBorder="1" applyAlignment="1">
      <alignment horizontal="center" vertical="center" wrapText="1"/>
    </xf>
    <xf numFmtId="3" fontId="18" fillId="0" borderId="37" xfId="4" applyNumberFormat="1" applyFont="1" applyFill="1" applyBorder="1" applyAlignment="1">
      <alignment vertical="center" wrapText="1"/>
    </xf>
    <xf numFmtId="172" fontId="18" fillId="0" borderId="37" xfId="4" applyNumberFormat="1" applyFont="1" applyFill="1" applyBorder="1" applyAlignment="1">
      <alignment horizontal="center"/>
    </xf>
    <xf numFmtId="0" fontId="29" fillId="0" borderId="0" xfId="11" applyFont="1" applyAlignment="1">
      <alignment horizontal="center" vertical="center" wrapText="1"/>
    </xf>
    <xf numFmtId="2" fontId="30" fillId="0" borderId="0" xfId="0" applyNumberFormat="1" applyFont="1" applyAlignment="1">
      <alignment horizontal="center" vertical="center" wrapText="1"/>
    </xf>
    <xf numFmtId="172" fontId="22" fillId="0" borderId="0" xfId="0" applyNumberFormat="1" applyFont="1" applyAlignment="1">
      <alignment horizontal="right" wrapText="1"/>
    </xf>
    <xf numFmtId="1" fontId="18" fillId="0" borderId="37" xfId="0" applyNumberFormat="1" applyFont="1" applyBorder="1" applyAlignment="1">
      <alignment horizontal="center" vertical="center" wrapText="1"/>
    </xf>
    <xf numFmtId="0" fontId="30" fillId="0" borderId="0" xfId="0" applyFont="1" applyAlignment="1">
      <alignment horizontal="left" vertical="center" wrapText="1"/>
    </xf>
    <xf numFmtId="1" fontId="30" fillId="0" borderId="0" xfId="0" applyNumberFormat="1" applyFont="1" applyAlignment="1">
      <alignment horizontal="center" vertical="center" wrapText="1"/>
    </xf>
    <xf numFmtId="0" fontId="22" fillId="0" borderId="0" xfId="4" applyNumberFormat="1" applyFont="1" applyFill="1" applyBorder="1" applyAlignment="1">
      <alignment horizontal="left" vertical="center"/>
    </xf>
    <xf numFmtId="0" fontId="27" fillId="0" borderId="0" xfId="0" applyFont="1" applyAlignment="1">
      <alignment horizontal="left" vertical="center"/>
    </xf>
    <xf numFmtId="0" fontId="62" fillId="12" borderId="66" xfId="0" applyFont="1" applyFill="1" applyBorder="1" applyAlignment="1">
      <alignment horizontal="center" vertical="center" wrapText="1"/>
    </xf>
    <xf numFmtId="0" fontId="62" fillId="12" borderId="38" xfId="0" applyFont="1" applyFill="1" applyBorder="1" applyAlignment="1">
      <alignment horizontal="center" vertical="center" wrapText="1"/>
    </xf>
    <xf numFmtId="0" fontId="20" fillId="0" borderId="14" xfId="0" applyFont="1" applyBorder="1" applyAlignment="1">
      <alignment vertical="center" wrapText="1"/>
    </xf>
    <xf numFmtId="0" fontId="20" fillId="0" borderId="24" xfId="0" applyFont="1" applyBorder="1" applyAlignment="1">
      <alignment vertical="center" wrapText="1"/>
    </xf>
    <xf numFmtId="166" fontId="22" fillId="0" borderId="26" xfId="4" applyNumberFormat="1" applyFont="1" applyFill="1" applyBorder="1" applyAlignment="1">
      <alignment vertical="center"/>
    </xf>
    <xf numFmtId="0" fontId="20" fillId="0" borderId="28" xfId="0" applyFont="1" applyBorder="1" applyAlignment="1">
      <alignment vertical="center" wrapText="1"/>
    </xf>
    <xf numFmtId="0" fontId="21" fillId="0" borderId="0" xfId="0" quotePrefix="1" applyFont="1" applyAlignment="1">
      <alignment vertical="center"/>
    </xf>
    <xf numFmtId="0" fontId="22" fillId="0" borderId="53" xfId="0" applyFont="1" applyBorder="1" applyAlignment="1">
      <alignment vertical="center"/>
    </xf>
    <xf numFmtId="0" fontId="22" fillId="0" borderId="131" xfId="0" applyFont="1" applyBorder="1" applyAlignment="1">
      <alignment vertical="center"/>
    </xf>
    <xf numFmtId="0" fontId="22" fillId="0" borderId="131" xfId="0" applyFont="1" applyBorder="1" applyAlignment="1">
      <alignment vertical="center" wrapText="1"/>
    </xf>
    <xf numFmtId="0" fontId="22" fillId="0" borderId="41" xfId="0" applyFont="1" applyBorder="1" applyAlignment="1">
      <alignment vertical="center"/>
    </xf>
    <xf numFmtId="0" fontId="22" fillId="0" borderId="64" xfId="0" applyFont="1" applyBorder="1" applyAlignment="1">
      <alignment vertical="center"/>
    </xf>
    <xf numFmtId="0" fontId="22" fillId="0" borderId="65" xfId="0" applyFont="1" applyBorder="1" applyAlignment="1">
      <alignment vertical="center"/>
    </xf>
    <xf numFmtId="0" fontId="47" fillId="0" borderId="64" xfId="0" applyFont="1" applyBorder="1" applyAlignment="1">
      <alignment vertical="center"/>
    </xf>
    <xf numFmtId="2" fontId="22" fillId="0" borderId="0" xfId="0" applyNumberFormat="1" applyFont="1" applyAlignment="1">
      <alignment vertical="center"/>
    </xf>
    <xf numFmtId="9" fontId="22" fillId="0" borderId="0" xfId="3" applyFont="1" applyBorder="1" applyAlignment="1">
      <alignment vertical="center" wrapText="1"/>
    </xf>
    <xf numFmtId="0" fontId="22" fillId="0" borderId="65" xfId="0" applyFont="1" applyBorder="1" applyAlignment="1">
      <alignment vertical="center" wrapText="1"/>
    </xf>
    <xf numFmtId="0" fontId="22" fillId="0" borderId="105" xfId="0" applyFont="1" applyBorder="1" applyAlignment="1">
      <alignment vertical="center"/>
    </xf>
    <xf numFmtId="0" fontId="21" fillId="0" borderId="105" xfId="0" applyFont="1" applyBorder="1" applyAlignment="1">
      <alignment vertical="center"/>
    </xf>
    <xf numFmtId="2" fontId="21" fillId="0" borderId="105" xfId="0" applyNumberFormat="1" applyFont="1" applyBorder="1" applyAlignment="1">
      <alignment vertical="center"/>
    </xf>
    <xf numFmtId="2" fontId="21" fillId="0" borderId="0" xfId="0" applyNumberFormat="1" applyFont="1" applyAlignment="1">
      <alignment vertical="center"/>
    </xf>
    <xf numFmtId="0" fontId="30" fillId="0" borderId="0" xfId="0" applyFont="1"/>
    <xf numFmtId="0" fontId="61" fillId="0" borderId="37" xfId="0" applyFont="1" applyBorder="1"/>
    <xf numFmtId="0" fontId="30" fillId="0" borderId="37" xfId="0" applyFont="1" applyBorder="1"/>
    <xf numFmtId="2" fontId="30" fillId="0" borderId="37" xfId="0" applyNumberFormat="1" applyFont="1" applyBorder="1"/>
    <xf numFmtId="10" fontId="143" fillId="0" borderId="37" xfId="0" applyNumberFormat="1" applyFont="1" applyBorder="1"/>
    <xf numFmtId="168" fontId="30" fillId="0" borderId="37" xfId="0" applyNumberFormat="1" applyFont="1" applyBorder="1"/>
    <xf numFmtId="9" fontId="143" fillId="0" borderId="37" xfId="0" applyNumberFormat="1" applyFont="1" applyBorder="1"/>
    <xf numFmtId="9" fontId="30" fillId="0" borderId="37" xfId="0" applyNumberFormat="1" applyFont="1" applyBorder="1"/>
    <xf numFmtId="9" fontId="61" fillId="0" borderId="37" xfId="0" applyNumberFormat="1" applyFont="1" applyBorder="1"/>
    <xf numFmtId="168" fontId="61" fillId="0" borderId="37" xfId="0" applyNumberFormat="1" applyFont="1" applyBorder="1"/>
    <xf numFmtId="0" fontId="130" fillId="0" borderId="37" xfId="0" applyFont="1" applyBorder="1"/>
    <xf numFmtId="166" fontId="130" fillId="0" borderId="37" xfId="4" applyNumberFormat="1" applyFont="1" applyBorder="1" applyAlignment="1">
      <alignment vertical="center"/>
    </xf>
    <xf numFmtId="0" fontId="62" fillId="12" borderId="10" xfId="0" applyFont="1" applyFill="1" applyBorder="1" applyAlignment="1">
      <alignment horizontal="center" vertical="center"/>
    </xf>
    <xf numFmtId="0" fontId="62" fillId="12" borderId="49" xfId="0" applyFont="1" applyFill="1" applyBorder="1" applyAlignment="1">
      <alignment horizontal="center" vertical="center" wrapText="1"/>
    </xf>
    <xf numFmtId="0" fontId="62" fillId="12" borderId="11" xfId="0" applyFont="1" applyFill="1" applyBorder="1" applyAlignment="1">
      <alignment horizontal="center" vertical="center"/>
    </xf>
    <xf numFmtId="0" fontId="30" fillId="0" borderId="157" xfId="0" applyFont="1" applyBorder="1"/>
    <xf numFmtId="168" fontId="30" fillId="0" borderId="52" xfId="0" applyNumberFormat="1" applyFont="1" applyBorder="1"/>
    <xf numFmtId="9" fontId="0" fillId="0" borderId="148" xfId="3" applyFont="1" applyBorder="1"/>
    <xf numFmtId="0" fontId="30" fillId="0" borderId="25" xfId="0" applyFont="1" applyBorder="1"/>
    <xf numFmtId="168" fontId="30" fillId="0" borderId="24" xfId="0" applyNumberFormat="1" applyFont="1" applyBorder="1"/>
    <xf numFmtId="9" fontId="0" fillId="0" borderId="26" xfId="3" applyFont="1" applyBorder="1"/>
    <xf numFmtId="0" fontId="30" fillId="0" borderId="20" xfId="0" applyFont="1" applyBorder="1"/>
    <xf numFmtId="168" fontId="30" fillId="0" borderId="68" xfId="0" applyNumberFormat="1" applyFont="1" applyBorder="1"/>
    <xf numFmtId="9" fontId="0" fillId="0" borderId="147" xfId="3" applyFont="1" applyBorder="1"/>
    <xf numFmtId="0" fontId="61" fillId="0" borderId="10" xfId="0" applyFont="1" applyBorder="1"/>
    <xf numFmtId="168" fontId="61" fillId="0" borderId="49" xfId="0" applyNumberFormat="1" applyFont="1" applyBorder="1"/>
    <xf numFmtId="9" fontId="11" fillId="0" borderId="11" xfId="3" applyFont="1" applyBorder="1"/>
    <xf numFmtId="0" fontId="61" fillId="0" borderId="0" xfId="0" applyFont="1"/>
    <xf numFmtId="168" fontId="61" fillId="0" borderId="0" xfId="0" applyNumberFormat="1" applyFont="1"/>
    <xf numFmtId="9" fontId="0" fillId="0" borderId="0" xfId="3" applyFont="1" applyBorder="1"/>
    <xf numFmtId="0" fontId="29" fillId="0" borderId="0" xfId="0" applyFont="1" applyAlignment="1">
      <alignment horizontal="center" vertical="center" wrapText="1"/>
    </xf>
    <xf numFmtId="0" fontId="22" fillId="0" borderId="44" xfId="5" applyFont="1" applyBorder="1" applyAlignment="1">
      <alignment vertical="center" wrapText="1"/>
    </xf>
    <xf numFmtId="166" fontId="22" fillId="0" borderId="66" xfId="4" applyNumberFormat="1" applyFont="1" applyFill="1" applyBorder="1" applyAlignment="1">
      <alignment vertical="center"/>
    </xf>
    <xf numFmtId="166" fontId="22" fillId="0" borderId="38" xfId="4" applyNumberFormat="1" applyFont="1" applyFill="1" applyBorder="1" applyAlignment="1">
      <alignment vertical="center"/>
    </xf>
    <xf numFmtId="9" fontId="47" fillId="0" borderId="14" xfId="3" applyFont="1" applyFill="1" applyBorder="1" applyAlignment="1">
      <alignment horizontal="right" vertical="center"/>
    </xf>
    <xf numFmtId="9" fontId="47" fillId="0" borderId="18" xfId="3" applyFont="1" applyFill="1" applyBorder="1" applyAlignment="1">
      <alignment horizontal="right" vertical="center"/>
    </xf>
    <xf numFmtId="9" fontId="47" fillId="0" borderId="24" xfId="3" applyFont="1" applyFill="1" applyBorder="1" applyAlignment="1">
      <alignment horizontal="right" vertical="center"/>
    </xf>
    <xf numFmtId="9" fontId="47" fillId="0" borderId="26" xfId="3" applyFont="1" applyFill="1" applyBorder="1" applyAlignment="1">
      <alignment horizontal="right" vertical="center"/>
    </xf>
    <xf numFmtId="9" fontId="47" fillId="0" borderId="28" xfId="3" applyFont="1" applyFill="1" applyBorder="1" applyAlignment="1">
      <alignment horizontal="right" vertical="center"/>
    </xf>
    <xf numFmtId="9" fontId="47" fillId="0" borderId="30" xfId="3" applyFont="1" applyFill="1" applyBorder="1" applyAlignment="1">
      <alignment horizontal="right" vertical="center"/>
    </xf>
    <xf numFmtId="166" fontId="93" fillId="0" borderId="24" xfId="4" applyNumberFormat="1" applyFont="1" applyBorder="1" applyAlignment="1">
      <alignment horizontal="right" vertical="center"/>
    </xf>
    <xf numFmtId="166" fontId="22" fillId="0" borderId="26" xfId="4" applyNumberFormat="1" applyFont="1" applyFill="1" applyBorder="1" applyAlignment="1">
      <alignment horizontal="right" vertical="center"/>
    </xf>
    <xf numFmtId="0" fontId="93" fillId="0" borderId="20" xfId="5" applyFont="1" applyBorder="1" applyAlignment="1">
      <alignment horizontal="left" vertical="center" wrapText="1"/>
    </xf>
    <xf numFmtId="166" fontId="22" fillId="0" borderId="147" xfId="4" applyNumberFormat="1" applyFont="1" applyFill="1" applyBorder="1" applyAlignment="1">
      <alignment horizontal="right" vertical="center"/>
    </xf>
    <xf numFmtId="0" fontId="49" fillId="54" borderId="49" xfId="5" applyFont="1" applyFill="1" applyBorder="1" applyAlignment="1">
      <alignment vertical="center" wrapText="1"/>
    </xf>
    <xf numFmtId="166" fontId="49" fillId="54" borderId="49" xfId="4" applyNumberFormat="1" applyFont="1" applyFill="1" applyBorder="1" applyAlignment="1">
      <alignment vertical="center"/>
    </xf>
    <xf numFmtId="172" fontId="22" fillId="0" borderId="0" xfId="4" applyNumberFormat="1" applyFont="1" applyFill="1" applyBorder="1"/>
    <xf numFmtId="0" fontId="62" fillId="64" borderId="37" xfId="0" applyFont="1" applyFill="1" applyBorder="1" applyAlignment="1">
      <alignment horizontal="center" vertical="center" wrapText="1"/>
    </xf>
    <xf numFmtId="0" fontId="22" fillId="0" borderId="37" xfId="0" applyFont="1" applyBorder="1" applyAlignment="1">
      <alignment horizontal="left" vertical="top" wrapText="1"/>
    </xf>
    <xf numFmtId="0" fontId="144" fillId="0" borderId="0" xfId="0" applyFont="1" applyAlignment="1">
      <alignment horizontal="left" wrapText="1"/>
    </xf>
    <xf numFmtId="0" fontId="63" fillId="0" borderId="0" xfId="0" applyFont="1" applyAlignment="1">
      <alignment horizontal="left" vertical="center"/>
    </xf>
    <xf numFmtId="0" fontId="63" fillId="0" borderId="0" xfId="0" applyFont="1" applyAlignment="1">
      <alignment horizontal="left" vertical="center" wrapText="1"/>
    </xf>
    <xf numFmtId="3" fontId="22" fillId="0" borderId="37" xfId="4" applyNumberFormat="1" applyFont="1" applyFill="1" applyBorder="1" applyAlignment="1">
      <alignment vertical="center" wrapText="1"/>
    </xf>
    <xf numFmtId="172" fontId="18" fillId="0" borderId="37" xfId="4" applyNumberFormat="1" applyFont="1" applyFill="1" applyBorder="1" applyAlignment="1">
      <alignment horizontal="center" vertical="center"/>
    </xf>
    <xf numFmtId="0" fontId="30" fillId="0" borderId="0" xfId="0" applyFont="1" applyAlignment="1">
      <alignment horizontal="left" vertical="center"/>
    </xf>
    <xf numFmtId="0" fontId="88" fillId="64" borderId="49" xfId="0" applyFont="1" applyFill="1" applyBorder="1" applyAlignment="1">
      <alignment horizontal="center" vertical="center" wrapText="1"/>
    </xf>
    <xf numFmtId="0" fontId="88" fillId="64" borderId="14" xfId="0" applyFont="1" applyFill="1" applyBorder="1" applyAlignment="1">
      <alignment horizontal="center" vertical="center" wrapText="1"/>
    </xf>
    <xf numFmtId="0" fontId="49" fillId="64" borderId="49" xfId="0" applyFont="1" applyFill="1" applyBorder="1" applyAlignment="1">
      <alignment horizontal="center" vertical="center" wrapText="1"/>
    </xf>
    <xf numFmtId="2" fontId="48" fillId="12" borderId="66" xfId="0" applyNumberFormat="1" applyFont="1" applyFill="1" applyBorder="1" applyAlignment="1">
      <alignment horizontal="center" vertical="center" wrapText="1"/>
    </xf>
    <xf numFmtId="0" fontId="20" fillId="0" borderId="157" xfId="0" applyFont="1" applyBorder="1" applyAlignment="1">
      <alignment vertical="center" wrapText="1"/>
    </xf>
    <xf numFmtId="1" fontId="22" fillId="0" borderId="24" xfId="0" applyNumberFormat="1" applyFont="1" applyBorder="1" applyAlignment="1">
      <alignment horizontal="right" vertical="center" wrapText="1"/>
    </xf>
    <xf numFmtId="1" fontId="22" fillId="0" borderId="105" xfId="0" applyNumberFormat="1" applyFont="1" applyBorder="1" applyAlignment="1">
      <alignment horizontal="right" vertical="center" wrapText="1"/>
    </xf>
    <xf numFmtId="9" fontId="27" fillId="0" borderId="14" xfId="3" applyFont="1" applyBorder="1" applyAlignment="1">
      <alignment vertical="center"/>
    </xf>
    <xf numFmtId="0" fontId="20" fillId="0" borderId="25" xfId="0" applyFont="1" applyBorder="1" applyAlignment="1">
      <alignment vertical="center" wrapText="1"/>
    </xf>
    <xf numFmtId="1" fontId="22" fillId="0" borderId="31" xfId="0" applyNumberFormat="1" applyFont="1" applyBorder="1" applyAlignment="1">
      <alignment horizontal="right" vertical="center" wrapText="1"/>
    </xf>
    <xf numFmtId="9" fontId="27" fillId="0" borderId="24" xfId="3" applyFont="1" applyBorder="1" applyAlignment="1">
      <alignment vertical="center"/>
    </xf>
    <xf numFmtId="172" fontId="22" fillId="0" borderId="24" xfId="0" applyNumberFormat="1" applyFont="1" applyBorder="1" applyAlignment="1">
      <alignment horizontal="right" vertical="center" wrapText="1"/>
    </xf>
    <xf numFmtId="1" fontId="20" fillId="0" borderId="29" xfId="0" applyNumberFormat="1" applyFont="1" applyBorder="1" applyAlignment="1">
      <alignment vertical="center" wrapText="1"/>
    </xf>
    <xf numFmtId="1" fontId="22" fillId="0" borderId="28" xfId="0" applyNumberFormat="1" applyFont="1" applyBorder="1" applyAlignment="1">
      <alignment vertical="center"/>
    </xf>
    <xf numFmtId="1" fontId="22" fillId="0" borderId="32" xfId="0" applyNumberFormat="1" applyFont="1" applyBorder="1" applyAlignment="1">
      <alignment vertical="center"/>
    </xf>
    <xf numFmtId="9" fontId="27" fillId="0" borderId="28" xfId="3" applyFont="1" applyBorder="1" applyAlignment="1">
      <alignment vertical="center"/>
    </xf>
    <xf numFmtId="0" fontId="88" fillId="12" borderId="1" xfId="5" applyFont="1" applyFill="1" applyBorder="1" applyAlignment="1">
      <alignment horizontal="center" vertical="center"/>
    </xf>
    <xf numFmtId="0" fontId="88" fillId="12" borderId="61" xfId="5" applyFont="1" applyFill="1" applyBorder="1" applyAlignment="1">
      <alignment horizontal="center" vertical="center"/>
    </xf>
    <xf numFmtId="0" fontId="88" fillId="12" borderId="2" xfId="5" applyFont="1" applyFill="1" applyBorder="1" applyAlignment="1">
      <alignment horizontal="center" vertical="center"/>
    </xf>
    <xf numFmtId="0" fontId="27" fillId="0" borderId="15" xfId="5" applyFont="1" applyBorder="1" applyAlignment="1">
      <alignment vertical="center"/>
    </xf>
    <xf numFmtId="166" fontId="27" fillId="0" borderId="46" xfId="5" applyNumberFormat="1" applyFont="1" applyBorder="1" applyAlignment="1">
      <alignment vertical="center"/>
    </xf>
    <xf numFmtId="166" fontId="22" fillId="0" borderId="46" xfId="0" applyNumberFormat="1" applyFont="1" applyBorder="1" applyAlignment="1">
      <alignment vertical="center"/>
    </xf>
    <xf numFmtId="9" fontId="22" fillId="0" borderId="16" xfId="3" applyFont="1" applyBorder="1" applyAlignment="1">
      <alignment vertical="center"/>
    </xf>
    <xf numFmtId="166" fontId="27" fillId="0" borderId="37" xfId="5" applyNumberFormat="1" applyFont="1" applyBorder="1" applyAlignment="1">
      <alignment vertical="center"/>
    </xf>
    <xf numFmtId="166" fontId="22" fillId="0" borderId="37" xfId="0" applyNumberFormat="1" applyFont="1" applyBorder="1" applyAlignment="1">
      <alignment vertical="center"/>
    </xf>
    <xf numFmtId="0" fontId="27" fillId="0" borderId="72" xfId="5" applyFont="1" applyBorder="1" applyAlignment="1">
      <alignment vertical="center"/>
    </xf>
    <xf numFmtId="166" fontId="27" fillId="0" borderId="42" xfId="5" applyNumberFormat="1" applyFont="1" applyBorder="1" applyAlignment="1">
      <alignment vertical="center"/>
    </xf>
    <xf numFmtId="166" fontId="22" fillId="0" borderId="42" xfId="0" applyNumberFormat="1" applyFont="1" applyBorder="1" applyAlignment="1">
      <alignment vertical="center"/>
    </xf>
    <xf numFmtId="9" fontId="22" fillId="0" borderId="57" xfId="3" applyFont="1" applyBorder="1" applyAlignment="1">
      <alignment vertical="center"/>
    </xf>
    <xf numFmtId="0" fontId="14" fillId="0" borderId="1" xfId="5" applyFont="1" applyBorder="1" applyAlignment="1">
      <alignment vertical="center"/>
    </xf>
    <xf numFmtId="9" fontId="21" fillId="0" borderId="2" xfId="3" applyFont="1" applyBorder="1" applyAlignment="1">
      <alignment vertical="center"/>
    </xf>
    <xf numFmtId="0" fontId="20" fillId="0" borderId="22" xfId="0" applyFont="1" applyBorder="1" applyAlignment="1">
      <alignment horizontal="center" vertical="center" wrapText="1"/>
    </xf>
    <xf numFmtId="166" fontId="20" fillId="0" borderId="23" xfId="4" applyNumberFormat="1" applyFont="1" applyBorder="1" applyAlignment="1">
      <alignment horizontal="center" vertical="center"/>
    </xf>
    <xf numFmtId="0" fontId="18" fillId="0" borderId="22" xfId="0" applyFont="1" applyBorder="1" applyAlignment="1">
      <alignment vertical="center" wrapText="1"/>
    </xf>
    <xf numFmtId="0" fontId="18" fillId="0" borderId="15" xfId="0" applyFont="1" applyBorder="1" applyAlignment="1">
      <alignment horizontal="left" vertical="center" wrapText="1"/>
    </xf>
    <xf numFmtId="166" fontId="18" fillId="0" borderId="46" xfId="4" applyNumberFormat="1" applyFont="1" applyFill="1" applyBorder="1" applyAlignment="1">
      <alignment horizontal="center" vertical="center"/>
    </xf>
    <xf numFmtId="0" fontId="22" fillId="0" borderId="37" xfId="0" applyFont="1" applyBorder="1" applyAlignment="1">
      <alignment horizontal="left" vertical="center"/>
    </xf>
    <xf numFmtId="165" fontId="21" fillId="0" borderId="0" xfId="0" applyNumberFormat="1" applyFont="1" applyAlignment="1">
      <alignment horizontal="right" vertical="center"/>
    </xf>
    <xf numFmtId="2" fontId="22" fillId="0" borderId="37" xfId="0" applyNumberFormat="1" applyFont="1" applyBorder="1" applyAlignment="1">
      <alignment horizontal="right" vertical="center"/>
    </xf>
    <xf numFmtId="2" fontId="21" fillId="0" borderId="3" xfId="0" applyNumberFormat="1" applyFont="1" applyBorder="1" applyAlignment="1">
      <alignment horizontal="right" vertical="center"/>
    </xf>
    <xf numFmtId="179" fontId="22" fillId="0" borderId="3" xfId="0" applyNumberFormat="1" applyFont="1" applyBorder="1" applyAlignment="1">
      <alignment horizontal="center" vertical="center"/>
    </xf>
    <xf numFmtId="173" fontId="22" fillId="0" borderId="3" xfId="0" applyNumberFormat="1" applyFont="1" applyBorder="1" applyAlignment="1">
      <alignment horizontal="center" vertical="center"/>
    </xf>
    <xf numFmtId="174" fontId="22" fillId="0" borderId="37" xfId="4" applyNumberFormat="1" applyFont="1" applyBorder="1" applyAlignment="1">
      <alignment horizontal="right" vertical="center"/>
    </xf>
    <xf numFmtId="174" fontId="21" fillId="0" borderId="3" xfId="4" applyNumberFormat="1" applyFont="1" applyBorder="1" applyAlignment="1">
      <alignment horizontal="right" vertical="center"/>
    </xf>
    <xf numFmtId="0" fontId="93" fillId="0" borderId="157" xfId="5" applyFont="1" applyBorder="1" applyAlignment="1">
      <alignment horizontal="left" vertical="center" wrapText="1"/>
    </xf>
    <xf numFmtId="166" fontId="22" fillId="0" borderId="148" xfId="4" applyNumberFormat="1" applyFont="1" applyFill="1" applyBorder="1" applyAlignment="1">
      <alignment horizontal="right" vertical="center"/>
    </xf>
    <xf numFmtId="166" fontId="93" fillId="0" borderId="52" xfId="4" applyNumberFormat="1" applyFont="1" applyBorder="1" applyAlignment="1">
      <alignment horizontal="right" vertical="center"/>
    </xf>
    <xf numFmtId="166" fontId="93" fillId="0" borderId="28" xfId="4" applyNumberFormat="1" applyFont="1" applyBorder="1" applyAlignment="1">
      <alignment horizontal="right" vertical="center"/>
    </xf>
    <xf numFmtId="9" fontId="28" fillId="0" borderId="37" xfId="0" applyNumberFormat="1" applyFont="1" applyBorder="1" applyAlignment="1">
      <alignment horizontal="center" vertical="center"/>
    </xf>
    <xf numFmtId="1" fontId="20" fillId="0" borderId="0" xfId="0" applyNumberFormat="1" applyFont="1" applyAlignment="1">
      <alignment vertical="center" wrapText="1"/>
    </xf>
    <xf numFmtId="1" fontId="22" fillId="0" borderId="0" xfId="0" applyNumberFormat="1" applyFont="1" applyAlignment="1">
      <alignment vertical="center"/>
    </xf>
    <xf numFmtId="9" fontId="27" fillId="0" borderId="0" xfId="3" applyFont="1" applyBorder="1" applyAlignment="1">
      <alignment vertical="center"/>
    </xf>
    <xf numFmtId="1" fontId="26" fillId="0" borderId="0" xfId="0" applyNumberFormat="1" applyFont="1" applyAlignment="1">
      <alignment vertical="center"/>
    </xf>
    <xf numFmtId="0" fontId="119" fillId="0" borderId="72" xfId="0" applyFont="1" applyBorder="1" applyAlignment="1">
      <alignment vertical="center"/>
    </xf>
    <xf numFmtId="166" fontId="119" fillId="0" borderId="42" xfId="4" applyNumberFormat="1" applyFont="1" applyFill="1" applyBorder="1" applyAlignment="1">
      <alignment vertical="center"/>
    </xf>
    <xf numFmtId="9" fontId="146" fillId="0" borderId="21" xfId="3" applyFont="1" applyBorder="1" applyAlignment="1">
      <alignment horizontal="center" vertical="center"/>
    </xf>
    <xf numFmtId="0" fontId="123" fillId="0" borderId="69" xfId="0" applyFont="1" applyBorder="1" applyAlignment="1">
      <alignment vertical="center"/>
    </xf>
    <xf numFmtId="166" fontId="28" fillId="0" borderId="23" xfId="4" applyNumberFormat="1" applyFont="1" applyBorder="1" applyAlignment="1">
      <alignment vertical="center"/>
    </xf>
    <xf numFmtId="0" fontId="147" fillId="0" borderId="0" xfId="0" applyFont="1" applyAlignment="1">
      <alignment vertical="center"/>
    </xf>
    <xf numFmtId="0" fontId="148" fillId="0" borderId="0" xfId="0" applyFont="1" applyAlignment="1">
      <alignment vertical="center"/>
    </xf>
    <xf numFmtId="0" fontId="49" fillId="13" borderId="15" xfId="0" applyFont="1" applyFill="1" applyBorder="1" applyAlignment="1">
      <alignment horizontal="center" vertical="center"/>
    </xf>
    <xf numFmtId="0" fontId="49" fillId="14" borderId="46" xfId="0" applyFont="1" applyFill="1" applyBorder="1" applyAlignment="1">
      <alignment horizontal="center" vertical="center" wrapText="1"/>
    </xf>
    <xf numFmtId="0" fontId="18" fillId="0" borderId="35" xfId="4" applyNumberFormat="1" applyFont="1" applyBorder="1" applyAlignment="1">
      <alignment vertical="center"/>
    </xf>
    <xf numFmtId="0" fontId="20" fillId="0" borderId="35" xfId="4" applyNumberFormat="1" applyFont="1" applyBorder="1" applyAlignment="1">
      <alignment vertical="center"/>
    </xf>
    <xf numFmtId="0" fontId="18" fillId="0" borderId="35" xfId="0" quotePrefix="1" applyFont="1" applyBorder="1" applyAlignment="1">
      <alignment vertical="center"/>
    </xf>
    <xf numFmtId="0" fontId="18" fillId="0" borderId="22" xfId="0" quotePrefix="1" applyFont="1" applyBorder="1" applyAlignment="1">
      <alignment vertical="center"/>
    </xf>
    <xf numFmtId="0" fontId="32" fillId="0" borderId="37" xfId="0" applyFont="1" applyBorder="1" applyAlignment="1">
      <alignment horizontal="center" vertical="center"/>
    </xf>
    <xf numFmtId="9" fontId="32" fillId="0" borderId="37" xfId="0" applyNumberFormat="1" applyFont="1" applyBorder="1" applyAlignment="1">
      <alignment horizontal="center" vertical="center"/>
    </xf>
    <xf numFmtId="0" fontId="3" fillId="0" borderId="0" xfId="0" applyFont="1" applyAlignment="1">
      <alignment wrapText="1"/>
    </xf>
    <xf numFmtId="0" fontId="3" fillId="0" borderId="0" xfId="0" applyFont="1"/>
    <xf numFmtId="39" fontId="27" fillId="0" borderId="18" xfId="4" applyNumberFormat="1" applyFont="1" applyBorder="1" applyAlignment="1">
      <alignment horizontal="center" vertical="center"/>
    </xf>
    <xf numFmtId="39" fontId="27" fillId="0" borderId="26" xfId="4" applyNumberFormat="1" applyFont="1" applyBorder="1" applyAlignment="1">
      <alignment horizontal="center" vertical="center"/>
    </xf>
    <xf numFmtId="9" fontId="18" fillId="0" borderId="38" xfId="3" quotePrefix="1" applyFont="1" applyBorder="1" applyAlignment="1">
      <alignment horizontal="center" vertical="center"/>
    </xf>
    <xf numFmtId="9" fontId="18" fillId="0" borderId="26" xfId="3" quotePrefix="1" applyFont="1" applyBorder="1" applyAlignment="1">
      <alignment horizontal="center" vertical="center"/>
    </xf>
    <xf numFmtId="170" fontId="18" fillId="0" borderId="26" xfId="3" quotePrefix="1" applyNumberFormat="1" applyFont="1" applyBorder="1" applyAlignment="1">
      <alignment horizontal="center" vertical="center"/>
    </xf>
    <xf numFmtId="166" fontId="18" fillId="0" borderId="38" xfId="4" applyNumberFormat="1" applyFont="1" applyBorder="1" applyAlignment="1">
      <alignment vertical="center"/>
    </xf>
    <xf numFmtId="0" fontId="20" fillId="0" borderId="44" xfId="6" applyFont="1" applyBorder="1" applyAlignment="1">
      <alignment horizontal="center" vertical="center" wrapText="1"/>
    </xf>
    <xf numFmtId="0" fontId="20" fillId="45" borderId="10" xfId="6" applyFont="1" applyFill="1" applyBorder="1" applyAlignment="1">
      <alignment horizontal="center" vertical="center" wrapText="1"/>
    </xf>
    <xf numFmtId="174" fontId="20" fillId="45" borderId="11" xfId="4" applyNumberFormat="1" applyFont="1" applyFill="1" applyBorder="1" applyAlignment="1">
      <alignment vertical="center"/>
    </xf>
    <xf numFmtId="0" fontId="21" fillId="22" borderId="38" xfId="5" applyFont="1" applyFill="1" applyBorder="1" applyAlignment="1">
      <alignment horizontal="center" vertical="center"/>
    </xf>
    <xf numFmtId="0" fontId="18" fillId="0" borderId="37" xfId="0" quotePrefix="1" applyFont="1" applyBorder="1" applyAlignment="1">
      <alignment horizontal="center" vertical="center" wrapText="1"/>
    </xf>
    <xf numFmtId="166" fontId="32" fillId="0" borderId="37" xfId="0" applyNumberFormat="1" applyFont="1" applyBorder="1" applyAlignment="1">
      <alignment vertical="center"/>
    </xf>
    <xf numFmtId="0" fontId="103" fillId="0" borderId="0" xfId="0" applyFont="1" applyAlignment="1">
      <alignment vertical="center"/>
    </xf>
    <xf numFmtId="0" fontId="124" fillId="60" borderId="61" xfId="0" applyFont="1" applyFill="1" applyBorder="1" applyAlignment="1">
      <alignment horizontal="center" vertical="center" wrapText="1"/>
    </xf>
    <xf numFmtId="166" fontId="152" fillId="0" borderId="23" xfId="4" applyNumberFormat="1" applyFont="1" applyBorder="1" applyAlignment="1">
      <alignment vertical="center"/>
    </xf>
    <xf numFmtId="0" fontId="121" fillId="0" borderId="0" xfId="0" applyFont="1" applyAlignment="1">
      <alignment vertical="center"/>
    </xf>
    <xf numFmtId="166" fontId="121" fillId="0" borderId="0" xfId="4" applyNumberFormat="1" applyFont="1" applyBorder="1" applyAlignment="1">
      <alignment vertical="center"/>
    </xf>
    <xf numFmtId="166" fontId="152" fillId="0" borderId="0" xfId="4" applyNumberFormat="1" applyFont="1" applyBorder="1" applyAlignment="1">
      <alignment vertical="center"/>
    </xf>
    <xf numFmtId="9" fontId="146" fillId="0" borderId="0" xfId="3" applyFont="1" applyBorder="1" applyAlignment="1">
      <alignment horizontal="center" vertical="center"/>
    </xf>
    <xf numFmtId="0" fontId="153" fillId="0" borderId="0" xfId="0" applyFont="1" applyAlignment="1">
      <alignment vertical="center"/>
    </xf>
    <xf numFmtId="166" fontId="112" fillId="0" borderId="0" xfId="4" applyNumberFormat="1" applyFont="1" applyBorder="1" applyAlignment="1">
      <alignment vertical="center"/>
    </xf>
    <xf numFmtId="166" fontId="125" fillId="0" borderId="0" xfId="4" applyNumberFormat="1" applyFont="1" applyBorder="1" applyAlignment="1">
      <alignment vertical="center"/>
    </xf>
    <xf numFmtId="9" fontId="91" fillId="0" borderId="0" xfId="3" applyFont="1" applyBorder="1" applyAlignment="1">
      <alignment horizontal="center" vertical="center"/>
    </xf>
    <xf numFmtId="0" fontId="42" fillId="0" borderId="64" xfId="0" quotePrefix="1" applyFont="1" applyBorder="1" applyAlignment="1">
      <alignment vertical="center" wrapText="1"/>
    </xf>
    <xf numFmtId="9" fontId="8" fillId="0" borderId="37" xfId="0" applyNumberFormat="1" applyFont="1" applyBorder="1" applyAlignment="1">
      <alignment vertical="center"/>
    </xf>
    <xf numFmtId="10" fontId="8" fillId="0" borderId="37" xfId="0" applyNumberFormat="1" applyFont="1" applyBorder="1" applyAlignment="1">
      <alignment vertical="center"/>
    </xf>
    <xf numFmtId="9" fontId="44" fillId="0" borderId="37" xfId="0" applyNumberFormat="1" applyFont="1" applyBorder="1" applyAlignment="1">
      <alignment vertical="center"/>
    </xf>
    <xf numFmtId="10" fontId="44" fillId="0" borderId="37" xfId="0" applyNumberFormat="1" applyFont="1" applyBorder="1" applyAlignment="1">
      <alignment vertical="center"/>
    </xf>
    <xf numFmtId="170" fontId="44" fillId="0" borderId="37" xfId="0" applyNumberFormat="1" applyFont="1" applyBorder="1" applyAlignment="1">
      <alignment vertical="center"/>
    </xf>
    <xf numFmtId="0" fontId="44" fillId="0" borderId="37" xfId="0" applyFont="1" applyBorder="1" applyAlignment="1">
      <alignment vertical="center"/>
    </xf>
    <xf numFmtId="170" fontId="18" fillId="0" borderId="6" xfId="0" applyNumberFormat="1" applyFont="1" applyBorder="1" applyAlignment="1">
      <alignment vertical="center"/>
    </xf>
    <xf numFmtId="0" fontId="44" fillId="0" borderId="0" xfId="0" applyFont="1" applyAlignment="1">
      <alignment vertical="center"/>
    </xf>
    <xf numFmtId="0" fontId="10" fillId="0" borderId="37" xfId="0" applyFont="1" applyBorder="1" applyAlignment="1">
      <alignment vertical="center" wrapText="1"/>
    </xf>
    <xf numFmtId="0" fontId="44" fillId="0" borderId="37" xfId="0" applyFont="1" applyBorder="1" applyAlignment="1">
      <alignment vertical="center" wrapText="1"/>
    </xf>
    <xf numFmtId="9" fontId="8" fillId="0" borderId="37" xfId="0" applyNumberFormat="1" applyFont="1" applyBorder="1" applyAlignment="1">
      <alignment vertical="center" wrapText="1"/>
    </xf>
    <xf numFmtId="9" fontId="44" fillId="0" borderId="37" xfId="0" applyNumberFormat="1" applyFont="1" applyBorder="1" applyAlignment="1">
      <alignment vertical="center" wrapText="1"/>
    </xf>
    <xf numFmtId="170" fontId="44" fillId="0" borderId="37" xfId="0" applyNumberFormat="1" applyFont="1" applyBorder="1" applyAlignment="1">
      <alignment vertical="center" wrapText="1"/>
    </xf>
    <xf numFmtId="0" fontId="105" fillId="0" borderId="0" xfId="0" applyFont="1" applyAlignment="1">
      <alignment vertical="center"/>
    </xf>
    <xf numFmtId="0" fontId="42" fillId="0" borderId="37" xfId="0" applyFont="1" applyBorder="1" applyAlignment="1">
      <alignment horizontal="center" vertical="center" wrapText="1"/>
    </xf>
    <xf numFmtId="0" fontId="92" fillId="0" borderId="0" xfId="5" applyFont="1" applyAlignment="1">
      <alignment horizontal="left" vertical="center" indent="4"/>
    </xf>
    <xf numFmtId="0" fontId="21" fillId="20" borderId="37" xfId="0" quotePrefix="1" applyFont="1" applyFill="1" applyBorder="1" applyAlignment="1">
      <alignment horizontal="center" vertical="center"/>
    </xf>
    <xf numFmtId="9" fontId="21" fillId="0" borderId="37" xfId="3" applyFont="1" applyBorder="1" applyAlignment="1">
      <alignment vertical="center"/>
    </xf>
    <xf numFmtId="170" fontId="54" fillId="0" borderId="79" xfId="5" applyNumberFormat="1" applyFont="1" applyBorder="1" applyAlignment="1">
      <alignment vertical="center" wrapText="1"/>
    </xf>
    <xf numFmtId="170" fontId="54" fillId="0" borderId="77" xfId="5" applyNumberFormat="1" applyFont="1" applyBorder="1" applyAlignment="1">
      <alignment vertical="center" wrapText="1"/>
    </xf>
    <xf numFmtId="170" fontId="22" fillId="0" borderId="37" xfId="3" applyNumberFormat="1" applyFont="1" applyBorder="1" applyAlignment="1">
      <alignment horizontal="center" vertical="center"/>
    </xf>
    <xf numFmtId="170" fontId="22" fillId="0" borderId="33" xfId="3" applyNumberFormat="1" applyFont="1" applyFill="1" applyBorder="1" applyAlignment="1">
      <alignment vertical="center" wrapText="1"/>
    </xf>
    <xf numFmtId="0" fontId="47" fillId="0" borderId="0" xfId="0" applyFont="1" applyAlignment="1">
      <alignment vertical="center" wrapText="1"/>
    </xf>
    <xf numFmtId="10" fontId="22" fillId="0" borderId="37" xfId="3" applyNumberFormat="1" applyFont="1" applyBorder="1" applyAlignment="1">
      <alignment vertical="center"/>
    </xf>
    <xf numFmtId="0" fontId="110" fillId="0" borderId="0" xfId="0" applyFont="1" applyAlignment="1">
      <alignment horizontal="left" vertical="center" wrapText="1"/>
    </xf>
    <xf numFmtId="0" fontId="150" fillId="0" borderId="0" xfId="0" applyFont="1" applyAlignment="1">
      <alignment vertical="center"/>
    </xf>
    <xf numFmtId="0" fontId="150" fillId="0" borderId="0" xfId="0" applyFont="1" applyAlignment="1">
      <alignment horizontal="left" vertical="center"/>
    </xf>
    <xf numFmtId="0" fontId="150" fillId="0" borderId="0" xfId="0" applyFont="1"/>
    <xf numFmtId="0" fontId="110" fillId="0" borderId="0" xfId="0" applyFont="1" applyAlignment="1">
      <alignment vertical="center" wrapText="1"/>
    </xf>
    <xf numFmtId="9" fontId="21" fillId="0" borderId="37" xfId="3" applyFont="1" applyFill="1" applyBorder="1" applyAlignment="1">
      <alignment vertical="center"/>
    </xf>
    <xf numFmtId="9" fontId="22" fillId="0" borderId="15" xfId="3" applyFont="1" applyFill="1" applyBorder="1" applyAlignment="1">
      <alignment vertical="center" wrapText="1"/>
    </xf>
    <xf numFmtId="9" fontId="22" fillId="0" borderId="22" xfId="3" applyFont="1" applyFill="1" applyBorder="1" applyAlignment="1">
      <alignment vertical="center" wrapText="1"/>
    </xf>
    <xf numFmtId="170" fontId="22" fillId="0" borderId="40" xfId="3" applyNumberFormat="1" applyFont="1" applyFill="1" applyBorder="1" applyAlignment="1">
      <alignment vertical="center" wrapText="1"/>
    </xf>
    <xf numFmtId="170" fontId="83" fillId="0" borderId="79" xfId="0" applyNumberFormat="1" applyFont="1" applyBorder="1" applyAlignment="1">
      <alignment vertical="center"/>
    </xf>
    <xf numFmtId="9" fontId="22" fillId="0" borderId="110" xfId="3" applyFont="1" applyFill="1" applyBorder="1" applyAlignment="1">
      <alignment vertical="center" wrapText="1"/>
    </xf>
    <xf numFmtId="9" fontId="22" fillId="0" borderId="56" xfId="3" applyFont="1" applyFill="1" applyBorder="1" applyAlignment="1">
      <alignment vertical="center" wrapText="1"/>
    </xf>
    <xf numFmtId="9" fontId="22" fillId="0" borderId="54" xfId="0" applyNumberFormat="1" applyFont="1" applyBorder="1" applyAlignment="1">
      <alignment vertical="center"/>
    </xf>
    <xf numFmtId="9" fontId="22" fillId="0" borderId="40" xfId="0" applyNumberFormat="1" applyFont="1" applyBorder="1" applyAlignment="1">
      <alignment vertical="center"/>
    </xf>
    <xf numFmtId="9" fontId="22" fillId="0" borderId="35" xfId="0" applyNumberFormat="1" applyFont="1" applyBorder="1" applyAlignment="1">
      <alignment vertical="center"/>
    </xf>
    <xf numFmtId="9" fontId="22" fillId="0" borderId="33" xfId="0" applyNumberFormat="1" applyFont="1" applyBorder="1" applyAlignment="1">
      <alignment vertical="center"/>
    </xf>
    <xf numFmtId="166" fontId="62" fillId="66" borderId="158" xfId="4" applyNumberFormat="1" applyFont="1" applyFill="1" applyBorder="1" applyAlignment="1">
      <alignment vertical="center" wrapText="1"/>
    </xf>
    <xf numFmtId="166" fontId="62" fillId="66" borderId="107" xfId="4" applyNumberFormat="1" applyFont="1" applyFill="1" applyBorder="1" applyAlignment="1">
      <alignment vertical="center" wrapText="1"/>
    </xf>
    <xf numFmtId="166" fontId="62" fillId="66" borderId="70" xfId="4" applyNumberFormat="1" applyFont="1" applyFill="1" applyBorder="1" applyAlignment="1">
      <alignment vertical="center" wrapText="1"/>
    </xf>
    <xf numFmtId="0" fontId="155" fillId="0" borderId="0" xfId="0" applyFont="1" applyAlignment="1">
      <alignment vertical="center"/>
    </xf>
    <xf numFmtId="166" fontId="22" fillId="0" borderId="0" xfId="4" applyNumberFormat="1" applyFont="1" applyAlignment="1">
      <alignment vertical="center"/>
    </xf>
    <xf numFmtId="9" fontId="0" fillId="0" borderId="35" xfId="0" applyNumberFormat="1" applyBorder="1" applyAlignment="1">
      <alignment vertical="center"/>
    </xf>
    <xf numFmtId="9" fontId="0" fillId="0" borderId="33" xfId="0" applyNumberFormat="1" applyBorder="1" applyAlignment="1">
      <alignment vertical="center"/>
    </xf>
    <xf numFmtId="9" fontId="0" fillId="0" borderId="34" xfId="0" applyNumberFormat="1" applyBorder="1" applyAlignment="1">
      <alignment vertical="center"/>
    </xf>
    <xf numFmtId="0" fontId="156" fillId="0" borderId="0" xfId="5" applyFont="1" applyAlignment="1">
      <alignment horizontal="left" vertical="center" indent="2"/>
    </xf>
    <xf numFmtId="9" fontId="22" fillId="0" borderId="72" xfId="0" applyNumberFormat="1" applyFont="1" applyBorder="1" applyAlignment="1">
      <alignment vertical="center"/>
    </xf>
    <xf numFmtId="9" fontId="22" fillId="0" borderId="57" xfId="0" applyNumberFormat="1" applyFont="1" applyBorder="1" applyAlignment="1">
      <alignment vertical="center"/>
    </xf>
    <xf numFmtId="9" fontId="22" fillId="0" borderId="53" xfId="0" applyNumberFormat="1" applyFont="1" applyBorder="1" applyAlignment="1">
      <alignment vertical="center"/>
    </xf>
    <xf numFmtId="169" fontId="22" fillId="0" borderId="15" xfId="0" applyNumberFormat="1" applyFont="1" applyBorder="1" applyAlignment="1">
      <alignment vertical="center"/>
    </xf>
    <xf numFmtId="169" fontId="22" fillId="0" borderId="33" xfId="0" applyNumberFormat="1" applyFont="1" applyBorder="1" applyAlignment="1">
      <alignment vertical="center"/>
    </xf>
    <xf numFmtId="169" fontId="22" fillId="0" borderId="35" xfId="0" applyNumberFormat="1" applyFont="1" applyBorder="1" applyAlignment="1">
      <alignment vertical="center"/>
    </xf>
    <xf numFmtId="169" fontId="22" fillId="0" borderId="21" xfId="0" applyNumberFormat="1" applyFont="1" applyBorder="1" applyAlignment="1">
      <alignment vertical="center"/>
    </xf>
    <xf numFmtId="169" fontId="22" fillId="0" borderId="40" xfId="0" applyNumberFormat="1" applyFont="1" applyBorder="1" applyAlignment="1">
      <alignment vertical="center"/>
    </xf>
    <xf numFmtId="169" fontId="22" fillId="0" borderId="56" xfId="0" applyNumberFormat="1" applyFont="1" applyBorder="1" applyAlignment="1">
      <alignment vertical="center"/>
    </xf>
    <xf numFmtId="169" fontId="22" fillId="0" borderId="111" xfId="0" applyNumberFormat="1" applyFont="1" applyBorder="1" applyAlignment="1">
      <alignment vertical="center"/>
    </xf>
    <xf numFmtId="169" fontId="22" fillId="0" borderId="34" xfId="0" applyNumberFormat="1" applyFont="1" applyBorder="1" applyAlignment="1">
      <alignment vertical="center"/>
    </xf>
    <xf numFmtId="180" fontId="22" fillId="0" borderId="40" xfId="0" applyNumberFormat="1" applyFont="1" applyBorder="1" applyAlignment="1">
      <alignment vertical="center"/>
    </xf>
    <xf numFmtId="171" fontId="22" fillId="0" borderId="33" xfId="4" applyNumberFormat="1" applyFont="1" applyFill="1" applyBorder="1" applyAlignment="1">
      <alignment vertical="center" wrapText="1"/>
    </xf>
    <xf numFmtId="171" fontId="22" fillId="0" borderId="40" xfId="4" applyNumberFormat="1" applyFont="1" applyFill="1" applyBorder="1" applyAlignment="1">
      <alignment vertical="center" wrapText="1"/>
    </xf>
    <xf numFmtId="180" fontId="22" fillId="0" borderId="33" xfId="0" applyNumberFormat="1" applyFont="1" applyBorder="1" applyAlignment="1">
      <alignment vertical="center"/>
    </xf>
    <xf numFmtId="9" fontId="0" fillId="0" borderId="72" xfId="0" applyNumberFormat="1" applyBorder="1" applyAlignment="1">
      <alignment vertical="center"/>
    </xf>
    <xf numFmtId="9" fontId="0" fillId="0" borderId="57" xfId="0" applyNumberFormat="1" applyBorder="1" applyAlignment="1">
      <alignment vertical="center"/>
    </xf>
    <xf numFmtId="9" fontId="0" fillId="0" borderId="41" xfId="0" applyNumberFormat="1" applyBorder="1" applyAlignment="1">
      <alignment vertical="center"/>
    </xf>
    <xf numFmtId="166" fontId="22" fillId="0" borderId="50" xfId="4" applyNumberFormat="1" applyFont="1" applyFill="1" applyBorder="1" applyAlignment="1">
      <alignment vertical="center" wrapText="1"/>
    </xf>
    <xf numFmtId="166" fontId="22" fillId="0" borderId="51" xfId="4" applyNumberFormat="1" applyFont="1" applyFill="1" applyBorder="1" applyAlignment="1">
      <alignment vertical="center" wrapText="1"/>
    </xf>
    <xf numFmtId="166" fontId="22" fillId="0" borderId="48" xfId="4" applyNumberFormat="1" applyFont="1" applyFill="1" applyBorder="1" applyAlignment="1">
      <alignment vertical="center" wrapText="1"/>
    </xf>
    <xf numFmtId="166" fontId="22" fillId="0" borderId="54" xfId="4" applyNumberFormat="1" applyFont="1" applyFill="1" applyBorder="1" applyAlignment="1">
      <alignment vertical="center" wrapText="1"/>
    </xf>
    <xf numFmtId="166" fontId="22" fillId="0" borderId="58" xfId="0" applyNumberFormat="1" applyFont="1" applyBorder="1" applyAlignment="1">
      <alignment vertical="center"/>
    </xf>
    <xf numFmtId="166" fontId="22" fillId="0" borderId="60" xfId="0" applyNumberFormat="1" applyFont="1" applyBorder="1" applyAlignment="1">
      <alignment vertical="center"/>
    </xf>
    <xf numFmtId="166" fontId="0" fillId="0" borderId="58" xfId="0" applyNumberFormat="1" applyBorder="1" applyAlignment="1">
      <alignment vertical="center"/>
    </xf>
    <xf numFmtId="166" fontId="0" fillId="0" borderId="60" xfId="0" applyNumberFormat="1" applyBorder="1" applyAlignment="1">
      <alignment vertical="center"/>
    </xf>
    <xf numFmtId="9" fontId="22" fillId="0" borderId="50" xfId="0" applyNumberFormat="1" applyFont="1" applyBorder="1" applyAlignment="1">
      <alignment vertical="center"/>
    </xf>
    <xf numFmtId="9" fontId="22" fillId="0" borderId="51" xfId="0" applyNumberFormat="1" applyFont="1" applyBorder="1" applyAlignment="1">
      <alignment vertical="center"/>
    </xf>
    <xf numFmtId="9" fontId="0" fillId="0" borderId="50" xfId="0" applyNumberFormat="1" applyBorder="1" applyAlignment="1">
      <alignment vertical="center"/>
    </xf>
    <xf numFmtId="9" fontId="0" fillId="0" borderId="51" xfId="0" applyNumberFormat="1" applyBorder="1" applyAlignment="1">
      <alignment vertical="center"/>
    </xf>
    <xf numFmtId="9" fontId="0" fillId="0" borderId="48" xfId="0" applyNumberFormat="1" applyBorder="1" applyAlignment="1">
      <alignment vertical="center"/>
    </xf>
    <xf numFmtId="166" fontId="22" fillId="0" borderId="15" xfId="0" applyNumberFormat="1" applyFont="1" applyBorder="1" applyAlignment="1">
      <alignment vertical="center"/>
    </xf>
    <xf numFmtId="166" fontId="22" fillId="0" borderId="16" xfId="0" applyNumberFormat="1" applyFont="1" applyBorder="1" applyAlignment="1">
      <alignment vertical="center"/>
    </xf>
    <xf numFmtId="166" fontId="22" fillId="0" borderId="22" xfId="0" applyNumberFormat="1" applyFont="1" applyBorder="1" applyAlignment="1">
      <alignment vertical="center"/>
    </xf>
    <xf numFmtId="166" fontId="22" fillId="0" borderId="21" xfId="0" applyNumberFormat="1" applyFont="1" applyBorder="1" applyAlignment="1">
      <alignment vertical="center"/>
    </xf>
    <xf numFmtId="166" fontId="151" fillId="0" borderId="3" xfId="4" applyNumberFormat="1" applyFont="1" applyBorder="1" applyAlignment="1">
      <alignment vertical="center"/>
    </xf>
    <xf numFmtId="0" fontId="157" fillId="0" borderId="50" xfId="0" applyFont="1" applyBorder="1" applyAlignment="1">
      <alignment vertical="center"/>
    </xf>
    <xf numFmtId="166" fontId="157" fillId="0" borderId="46" xfId="4" applyNumberFormat="1" applyFont="1" applyBorder="1" applyAlignment="1">
      <alignment vertical="center"/>
    </xf>
    <xf numFmtId="9" fontId="158" fillId="0" borderId="60" xfId="3" applyFont="1" applyBorder="1" applyAlignment="1">
      <alignment horizontal="center" vertical="center"/>
    </xf>
    <xf numFmtId="166" fontId="157" fillId="0" borderId="37" xfId="4" applyNumberFormat="1" applyFont="1" applyFill="1" applyBorder="1" applyAlignment="1">
      <alignment vertical="center"/>
    </xf>
    <xf numFmtId="9" fontId="158" fillId="0" borderId="33" xfId="3" applyFont="1" applyBorder="1" applyAlignment="1">
      <alignment horizontal="center" vertical="center"/>
    </xf>
    <xf numFmtId="166" fontId="157" fillId="0" borderId="37" xfId="4" applyNumberFormat="1" applyFont="1" applyBorder="1" applyAlignment="1">
      <alignment vertical="center"/>
    </xf>
    <xf numFmtId="0" fontId="157" fillId="0" borderId="69" xfId="0" applyFont="1" applyBorder="1" applyAlignment="1">
      <alignment vertical="center"/>
    </xf>
    <xf numFmtId="166" fontId="157" fillId="0" borderId="42" xfId="4" applyNumberFormat="1" applyFont="1" applyFill="1" applyBorder="1" applyAlignment="1">
      <alignment vertical="center"/>
    </xf>
    <xf numFmtId="166" fontId="157" fillId="0" borderId="42" xfId="4" applyNumberFormat="1" applyFont="1" applyBorder="1" applyAlignment="1">
      <alignment vertical="center"/>
    </xf>
    <xf numFmtId="0" fontId="159" fillId="0" borderId="22" xfId="0" applyFont="1" applyBorder="1" applyAlignment="1">
      <alignment vertical="center"/>
    </xf>
    <xf numFmtId="166" fontId="159" fillId="0" borderId="23" xfId="4" applyNumberFormat="1" applyFont="1" applyBorder="1" applyAlignment="1">
      <alignment vertical="center"/>
    </xf>
    <xf numFmtId="9" fontId="160" fillId="0" borderId="21" xfId="0" applyNumberFormat="1" applyFont="1" applyBorder="1" applyAlignment="1">
      <alignment horizontal="center" vertical="center"/>
    </xf>
    <xf numFmtId="0" fontId="157" fillId="0" borderId="35" xfId="0" applyFont="1" applyBorder="1" applyAlignment="1">
      <alignment vertical="center"/>
    </xf>
    <xf numFmtId="9" fontId="158" fillId="0" borderId="33" xfId="3" applyFont="1" applyFill="1" applyBorder="1" applyAlignment="1">
      <alignment horizontal="center" vertical="center"/>
    </xf>
    <xf numFmtId="174" fontId="123" fillId="0" borderId="3" xfId="4" applyNumberFormat="1" applyFont="1" applyBorder="1" applyAlignment="1">
      <alignment vertical="center"/>
    </xf>
    <xf numFmtId="174" fontId="123" fillId="0" borderId="51" xfId="4" applyNumberFormat="1" applyFont="1" applyBorder="1" applyAlignment="1">
      <alignment vertical="center"/>
    </xf>
    <xf numFmtId="174" fontId="123" fillId="0" borderId="37" xfId="4" applyNumberFormat="1" applyFont="1" applyBorder="1" applyAlignment="1">
      <alignment vertical="center"/>
    </xf>
    <xf numFmtId="174" fontId="123" fillId="0" borderId="33" xfId="4" applyNumberFormat="1" applyFont="1" applyBorder="1" applyAlignment="1">
      <alignment vertical="center"/>
    </xf>
    <xf numFmtId="174" fontId="123" fillId="0" borderId="106" xfId="4" applyNumberFormat="1" applyFont="1" applyBorder="1" applyAlignment="1">
      <alignment vertical="center"/>
    </xf>
    <xf numFmtId="174" fontId="112" fillId="0" borderId="61" xfId="4" applyNumberFormat="1" applyFont="1" applyBorder="1" applyAlignment="1">
      <alignment vertical="center"/>
    </xf>
    <xf numFmtId="174" fontId="112" fillId="0" borderId="2" xfId="4" applyNumberFormat="1" applyFont="1" applyBorder="1" applyAlignment="1">
      <alignment vertical="center"/>
    </xf>
    <xf numFmtId="0" fontId="20" fillId="0" borderId="17" xfId="0" applyFont="1" applyBorder="1" applyAlignment="1">
      <alignment horizontal="left" vertical="center" wrapText="1"/>
    </xf>
    <xf numFmtId="0" fontId="20" fillId="0" borderId="25" xfId="0" applyFont="1" applyBorder="1" applyAlignment="1">
      <alignment horizontal="left" vertical="center" wrapText="1"/>
    </xf>
    <xf numFmtId="0" fontId="20" fillId="0" borderId="29" xfId="0" applyFont="1" applyBorder="1" applyAlignment="1">
      <alignment horizontal="left" vertical="center" wrapText="1"/>
    </xf>
    <xf numFmtId="0" fontId="26" fillId="0" borderId="1" xfId="0" applyFont="1" applyBorder="1" applyAlignment="1">
      <alignment horizontal="center" vertical="center"/>
    </xf>
    <xf numFmtId="0" fontId="26" fillId="0" borderId="49" xfId="0" applyFont="1" applyBorder="1" applyAlignment="1">
      <alignment horizontal="center" vertical="center"/>
    </xf>
    <xf numFmtId="9" fontId="20" fillId="0" borderId="14" xfId="0" applyNumberFormat="1" applyFont="1" applyBorder="1" applyAlignment="1">
      <alignment horizontal="center" vertical="center" wrapText="1"/>
    </xf>
    <xf numFmtId="9" fontId="20" fillId="0" borderId="24" xfId="0" applyNumberFormat="1" applyFont="1" applyBorder="1" applyAlignment="1">
      <alignment horizontal="center" vertical="center" wrapText="1"/>
    </xf>
    <xf numFmtId="9" fontId="20" fillId="0" borderId="28" xfId="0" applyNumberFormat="1" applyFont="1" applyBorder="1" applyAlignment="1">
      <alignment horizontal="center" vertical="center" wrapText="1"/>
    </xf>
    <xf numFmtId="9" fontId="26" fillId="0" borderId="37" xfId="3" applyFont="1" applyBorder="1" applyAlignment="1">
      <alignment vertical="center"/>
    </xf>
    <xf numFmtId="9" fontId="10" fillId="0" borderId="26" xfId="0" applyNumberFormat="1" applyFont="1" applyBorder="1" applyAlignment="1">
      <alignment horizontal="center" vertical="center"/>
    </xf>
    <xf numFmtId="9" fontId="10" fillId="0" borderId="30" xfId="0" applyNumberFormat="1" applyFont="1" applyBorder="1" applyAlignment="1">
      <alignment horizontal="center" vertical="center"/>
    </xf>
    <xf numFmtId="0" fontId="20" fillId="0" borderId="0" xfId="0" applyFont="1" applyAlignment="1">
      <alignment horizontal="left" vertical="center" wrapText="1"/>
    </xf>
    <xf numFmtId="170" fontId="20" fillId="0" borderId="0" xfId="0" applyNumberFormat="1" applyFont="1" applyAlignment="1">
      <alignment horizontal="center" vertical="center" wrapText="1"/>
    </xf>
    <xf numFmtId="9" fontId="10" fillId="0" borderId="0" xfId="0" applyNumberFormat="1" applyFont="1" applyAlignment="1">
      <alignment horizontal="center" vertical="center"/>
    </xf>
    <xf numFmtId="0" fontId="20" fillId="0" borderId="37" xfId="0" quotePrefix="1" applyFont="1" applyBorder="1" applyAlignment="1">
      <alignment horizontal="left" vertical="center" wrapText="1"/>
    </xf>
    <xf numFmtId="174" fontId="20" fillId="0" borderId="37" xfId="4" applyNumberFormat="1" applyFont="1" applyFill="1" applyBorder="1" applyAlignment="1">
      <alignment horizontal="left" vertical="center" wrapText="1"/>
    </xf>
    <xf numFmtId="9" fontId="26" fillId="0" borderId="37" xfId="3" applyFont="1" applyFill="1" applyBorder="1" applyAlignment="1">
      <alignment vertical="center"/>
    </xf>
    <xf numFmtId="0" fontId="28" fillId="0" borderId="0" xfId="0" applyFont="1" applyAlignment="1">
      <alignment horizontal="right" vertical="center"/>
    </xf>
    <xf numFmtId="166" fontId="28" fillId="0" borderId="0" xfId="4" applyNumberFormat="1" applyFont="1" applyFill="1" applyBorder="1" applyAlignment="1">
      <alignment horizontal="center" vertical="center"/>
    </xf>
    <xf numFmtId="0" fontId="26" fillId="0" borderId="52" xfId="0" applyFont="1" applyBorder="1" applyAlignment="1">
      <alignment vertical="center"/>
    </xf>
    <xf numFmtId="166" fontId="18" fillId="0" borderId="48" xfId="0" applyNumberFormat="1" applyFont="1" applyBorder="1" applyAlignment="1">
      <alignment vertical="center"/>
    </xf>
    <xf numFmtId="166" fontId="18" fillId="0" borderId="51" xfId="0" applyNumberFormat="1" applyFont="1" applyBorder="1" applyAlignment="1">
      <alignment vertical="center"/>
    </xf>
    <xf numFmtId="0" fontId="20" fillId="0" borderId="61" xfId="0" applyFont="1" applyBorder="1" applyAlignment="1">
      <alignment horizontal="center" vertical="center"/>
    </xf>
    <xf numFmtId="0" fontId="26" fillId="0" borderId="49" xfId="0" applyFont="1" applyBorder="1" applyAlignment="1">
      <alignment horizontal="left" vertical="center"/>
    </xf>
    <xf numFmtId="166" fontId="18" fillId="0" borderId="3" xfId="0" applyNumberFormat="1" applyFont="1" applyBorder="1" applyAlignment="1">
      <alignment vertical="center"/>
    </xf>
    <xf numFmtId="0" fontId="26" fillId="0" borderId="68" xfId="0" applyFont="1" applyBorder="1" applyAlignment="1">
      <alignment vertical="center"/>
    </xf>
    <xf numFmtId="166" fontId="18" fillId="0" borderId="41" xfId="0" applyNumberFormat="1" applyFont="1" applyBorder="1" applyAlignment="1">
      <alignment vertical="center"/>
    </xf>
    <xf numFmtId="166" fontId="18" fillId="0" borderId="42" xfId="0" applyNumberFormat="1" applyFont="1" applyBorder="1" applyAlignment="1">
      <alignment vertical="center"/>
    </xf>
    <xf numFmtId="166" fontId="18" fillId="0" borderId="57" xfId="0" applyNumberFormat="1" applyFont="1" applyBorder="1" applyAlignment="1">
      <alignment vertical="center"/>
    </xf>
    <xf numFmtId="0" fontId="20" fillId="0" borderId="49" xfId="0" applyFont="1" applyBorder="1" applyAlignment="1">
      <alignment vertical="center"/>
    </xf>
    <xf numFmtId="166" fontId="20" fillId="0" borderId="63" xfId="0" applyNumberFormat="1" applyFont="1" applyBorder="1" applyAlignment="1">
      <alignment vertical="center"/>
    </xf>
    <xf numFmtId="0" fontId="49" fillId="13" borderId="58" xfId="0" applyFont="1" applyFill="1" applyBorder="1" applyAlignment="1">
      <alignment horizontal="center" vertical="center"/>
    </xf>
    <xf numFmtId="0" fontId="49" fillId="14" borderId="59" xfId="0" applyFont="1" applyFill="1" applyBorder="1" applyAlignment="1">
      <alignment horizontal="center" vertical="center" wrapText="1"/>
    </xf>
    <xf numFmtId="166" fontId="20" fillId="0" borderId="1" xfId="0" applyNumberFormat="1" applyFont="1" applyBorder="1" applyAlignment="1">
      <alignment vertical="center"/>
    </xf>
    <xf numFmtId="166" fontId="20" fillId="0" borderId="11" xfId="0" applyNumberFormat="1" applyFont="1" applyBorder="1" applyAlignment="1">
      <alignment vertical="center"/>
    </xf>
    <xf numFmtId="0" fontId="42" fillId="0" borderId="37" xfId="0" applyFont="1" applyBorder="1" applyAlignment="1">
      <alignment vertical="center"/>
    </xf>
    <xf numFmtId="175" fontId="18" fillId="0" borderId="37" xfId="4" applyNumberFormat="1" applyFont="1" applyBorder="1" applyAlignment="1">
      <alignment vertical="center"/>
    </xf>
    <xf numFmtId="0" fontId="8" fillId="0" borderId="37" xfId="0" applyFont="1" applyBorder="1" applyAlignment="1">
      <alignment horizontal="left" vertical="top" wrapText="1"/>
    </xf>
    <xf numFmtId="0" fontId="161" fillId="0" borderId="37" xfId="5" applyFont="1" applyBorder="1" applyAlignment="1">
      <alignment horizontal="center" vertical="center" wrapText="1"/>
    </xf>
    <xf numFmtId="0" fontId="83" fillId="0" borderId="37" xfId="0" applyFont="1" applyBorder="1" applyAlignment="1">
      <alignment vertical="center"/>
    </xf>
    <xf numFmtId="164" fontId="83" fillId="0" borderId="37" xfId="4" applyFont="1" applyBorder="1" applyAlignment="1">
      <alignment vertical="center"/>
    </xf>
    <xf numFmtId="9" fontId="83" fillId="0" borderId="37" xfId="3" applyFont="1" applyBorder="1" applyAlignment="1">
      <alignment vertical="center"/>
    </xf>
    <xf numFmtId="0" fontId="82" fillId="0" borderId="3" xfId="0" applyFont="1" applyBorder="1" applyAlignment="1">
      <alignment vertical="center"/>
    </xf>
    <xf numFmtId="164" fontId="20" fillId="0" borderId="37" xfId="4" applyFont="1" applyBorder="1" applyAlignment="1">
      <alignment horizontal="center" vertical="center" wrapText="1"/>
    </xf>
    <xf numFmtId="9" fontId="82" fillId="0" borderId="37" xfId="3" applyFont="1" applyBorder="1" applyAlignment="1">
      <alignment vertical="center"/>
    </xf>
    <xf numFmtId="174" fontId="28" fillId="0" borderId="37" xfId="4" applyNumberFormat="1" applyFont="1" applyBorder="1" applyAlignment="1">
      <alignment vertical="center"/>
    </xf>
    <xf numFmtId="0" fontId="30" fillId="0" borderId="37" xfId="0" applyFont="1" applyBorder="1" applyAlignment="1">
      <alignment vertical="top" wrapText="1"/>
    </xf>
    <xf numFmtId="165" fontId="22" fillId="0" borderId="37" xfId="0" applyNumberFormat="1" applyFont="1" applyBorder="1" applyAlignment="1">
      <alignment horizontal="right" vertical="center"/>
    </xf>
    <xf numFmtId="174" fontId="27" fillId="0" borderId="34" xfId="4" applyNumberFormat="1" applyFont="1" applyBorder="1" applyAlignment="1">
      <alignment vertical="center"/>
    </xf>
    <xf numFmtId="174" fontId="27" fillId="0" borderId="35" xfId="4" applyNumberFormat="1" applyFont="1" applyBorder="1" applyAlignment="1">
      <alignment vertical="center"/>
    </xf>
    <xf numFmtId="9" fontId="8" fillId="0" borderId="3" xfId="0" applyNumberFormat="1" applyFont="1" applyBorder="1" applyAlignment="1">
      <alignment vertical="center"/>
    </xf>
    <xf numFmtId="9" fontId="8" fillId="0" borderId="51" xfId="0" applyNumberFormat="1" applyFont="1" applyBorder="1" applyAlignment="1">
      <alignment vertical="center"/>
    </xf>
    <xf numFmtId="9" fontId="8" fillId="0" borderId="50" xfId="0" applyNumberFormat="1" applyFont="1" applyBorder="1" applyAlignment="1">
      <alignment vertical="center"/>
    </xf>
    <xf numFmtId="0" fontId="10" fillId="0" borderId="28" xfId="0" applyFont="1" applyBorder="1" applyAlignment="1">
      <alignment vertical="center"/>
    </xf>
    <xf numFmtId="0" fontId="10" fillId="0" borderId="52" xfId="0" applyFont="1" applyBorder="1" applyAlignment="1">
      <alignment vertical="center"/>
    </xf>
    <xf numFmtId="0" fontId="109" fillId="0" borderId="107" xfId="0" applyFont="1" applyBorder="1" applyAlignment="1">
      <alignment horizontal="center" vertical="center" wrapText="1"/>
    </xf>
    <xf numFmtId="0" fontId="109" fillId="0" borderId="108" xfId="0" applyFont="1" applyBorder="1" applyAlignment="1">
      <alignment horizontal="center" vertical="center" wrapText="1"/>
    </xf>
    <xf numFmtId="0" fontId="109" fillId="0" borderId="70" xfId="0" applyFont="1" applyBorder="1" applyAlignment="1">
      <alignment horizontal="center" vertical="center" wrapText="1"/>
    </xf>
    <xf numFmtId="0" fontId="109" fillId="0" borderId="49" xfId="0" applyFont="1" applyBorder="1" applyAlignment="1">
      <alignment vertical="center"/>
    </xf>
    <xf numFmtId="9" fontId="8" fillId="0" borderId="42" xfId="0" applyNumberFormat="1" applyFont="1" applyBorder="1" applyAlignment="1">
      <alignment vertical="center"/>
    </xf>
    <xf numFmtId="9" fontId="8" fillId="0" borderId="57" xfId="0" applyNumberFormat="1" applyFont="1" applyBorder="1" applyAlignment="1">
      <alignment vertical="center"/>
    </xf>
    <xf numFmtId="9" fontId="8" fillId="0" borderId="72" xfId="0" applyNumberFormat="1" applyFont="1" applyBorder="1" applyAlignment="1">
      <alignment vertical="center"/>
    </xf>
    <xf numFmtId="9" fontId="8" fillId="0" borderId="15" xfId="0" applyNumberFormat="1" applyFont="1" applyBorder="1" applyAlignment="1">
      <alignment vertical="center"/>
    </xf>
    <xf numFmtId="0" fontId="109" fillId="0" borderId="158" xfId="0" applyFont="1" applyBorder="1" applyAlignment="1">
      <alignment horizontal="center" vertical="center" wrapText="1"/>
    </xf>
    <xf numFmtId="9" fontId="8" fillId="0" borderId="48" xfId="0" applyNumberFormat="1" applyFont="1" applyBorder="1" applyAlignment="1">
      <alignment vertical="center"/>
    </xf>
    <xf numFmtId="9" fontId="8" fillId="0" borderId="41" xfId="0" applyNumberFormat="1" applyFont="1" applyBorder="1" applyAlignment="1">
      <alignment vertical="center"/>
    </xf>
    <xf numFmtId="0" fontId="162" fillId="0" borderId="49" xfId="0" applyFont="1" applyBorder="1" applyAlignment="1">
      <alignment horizontal="right" vertical="center" wrapText="1"/>
    </xf>
    <xf numFmtId="0" fontId="42" fillId="0" borderId="52" xfId="0" applyFont="1" applyBorder="1" applyAlignment="1">
      <alignment vertical="center"/>
    </xf>
    <xf numFmtId="170" fontId="22" fillId="0" borderId="37" xfId="3" applyNumberFormat="1" applyFont="1" applyBorder="1" applyAlignment="1">
      <alignment vertical="center"/>
    </xf>
    <xf numFmtId="0" fontId="109" fillId="0" borderId="159" xfId="0" applyFont="1" applyBorder="1" applyAlignment="1">
      <alignment horizontal="center" vertical="center" wrapText="1"/>
    </xf>
    <xf numFmtId="9" fontId="8" fillId="0" borderId="130" xfId="0" applyNumberFormat="1" applyFont="1" applyBorder="1" applyAlignment="1">
      <alignment vertical="center"/>
    </xf>
    <xf numFmtId="9" fontId="8" fillId="0" borderId="56" xfId="0" applyNumberFormat="1" applyFont="1" applyBorder="1" applyAlignment="1">
      <alignment vertical="center"/>
    </xf>
    <xf numFmtId="0" fontId="162" fillId="0" borderId="49" xfId="0" applyFont="1" applyBorder="1" applyAlignment="1">
      <alignment horizontal="center" vertical="center"/>
    </xf>
    <xf numFmtId="0" fontId="109" fillId="0" borderId="65" xfId="0" applyFont="1" applyBorder="1" applyAlignment="1">
      <alignment horizontal="center" vertical="center" wrapText="1"/>
    </xf>
    <xf numFmtId="0" fontId="109" fillId="0" borderId="43" xfId="0" applyFont="1" applyBorder="1" applyAlignment="1">
      <alignment horizontal="center" vertical="center" wrapText="1"/>
    </xf>
    <xf numFmtId="0" fontId="109" fillId="0" borderId="106" xfId="0" applyFont="1" applyBorder="1" applyAlignment="1">
      <alignment horizontal="center" vertical="center" wrapText="1"/>
    </xf>
    <xf numFmtId="9" fontId="8" fillId="0" borderId="65" xfId="0" applyNumberFormat="1" applyFont="1" applyBorder="1" applyAlignment="1">
      <alignment vertical="center"/>
    </xf>
    <xf numFmtId="9" fontId="8" fillId="0" borderId="111" xfId="0" applyNumberFormat="1" applyFont="1" applyBorder="1" applyAlignment="1">
      <alignment vertical="center"/>
    </xf>
    <xf numFmtId="9" fontId="8" fillId="0" borderId="18" xfId="0" applyNumberFormat="1" applyFont="1" applyBorder="1" applyAlignment="1">
      <alignment vertical="center"/>
    </xf>
    <xf numFmtId="9" fontId="8" fillId="0" borderId="70" xfId="0" applyNumberFormat="1" applyFont="1" applyBorder="1" applyAlignment="1">
      <alignment vertical="center"/>
    </xf>
    <xf numFmtId="9" fontId="8" fillId="0" borderId="158" xfId="0" applyNumberFormat="1" applyFont="1" applyBorder="1" applyAlignment="1">
      <alignment vertical="center"/>
    </xf>
    <xf numFmtId="9" fontId="8" fillId="0" borderId="146" xfId="0" applyNumberFormat="1" applyFont="1" applyBorder="1" applyAlignment="1">
      <alignment vertical="center"/>
    </xf>
    <xf numFmtId="0" fontId="42" fillId="0" borderId="67" xfId="0" applyFont="1" applyBorder="1" applyAlignment="1">
      <alignment horizontal="left" vertical="top" wrapText="1"/>
    </xf>
    <xf numFmtId="9" fontId="8" fillId="0" borderId="148" xfId="0" applyNumberFormat="1" applyFont="1" applyBorder="1" applyAlignment="1">
      <alignment vertical="center"/>
    </xf>
    <xf numFmtId="9" fontId="10" fillId="0" borderId="1" xfId="0" applyNumberFormat="1" applyFont="1" applyBorder="1" applyAlignment="1">
      <alignment vertical="center"/>
    </xf>
    <xf numFmtId="9" fontId="10" fillId="0" borderId="63" xfId="0" applyNumberFormat="1" applyFont="1" applyBorder="1" applyAlignment="1">
      <alignment vertical="center"/>
    </xf>
    <xf numFmtId="9" fontId="10" fillId="0" borderId="11" xfId="0" applyNumberFormat="1" applyFont="1" applyBorder="1" applyAlignment="1">
      <alignment vertical="center"/>
    </xf>
    <xf numFmtId="0" fontId="10" fillId="0" borderId="49" xfId="0" applyFont="1" applyBorder="1" applyAlignment="1">
      <alignment horizontal="right" vertical="center"/>
    </xf>
    <xf numFmtId="9" fontId="10" fillId="0" borderId="61" xfId="0" applyNumberFormat="1" applyFont="1" applyBorder="1" applyAlignment="1">
      <alignment vertical="center"/>
    </xf>
    <xf numFmtId="9" fontId="10" fillId="0" borderId="2" xfId="0" applyNumberFormat="1" applyFont="1" applyBorder="1" applyAlignment="1">
      <alignment vertical="center"/>
    </xf>
    <xf numFmtId="9" fontId="10" fillId="0" borderId="62" xfId="0" applyNumberFormat="1" applyFont="1" applyBorder="1" applyAlignment="1">
      <alignment vertical="center"/>
    </xf>
    <xf numFmtId="0" fontId="42" fillId="0" borderId="14" xfId="0" applyFont="1" applyBorder="1" applyAlignment="1">
      <alignment horizontal="left" vertical="center" wrapText="1"/>
    </xf>
    <xf numFmtId="0" fontId="42" fillId="0" borderId="67" xfId="0" applyFont="1" applyBorder="1" applyAlignment="1">
      <alignment vertical="center" wrapText="1"/>
    </xf>
    <xf numFmtId="0" fontId="42" fillId="0" borderId="157" xfId="0" applyFont="1" applyBorder="1" applyAlignment="1">
      <alignment vertical="center"/>
    </xf>
    <xf numFmtId="9" fontId="42" fillId="0" borderId="15" xfId="3" applyFont="1" applyBorder="1" applyAlignment="1">
      <alignment vertical="center"/>
    </xf>
    <xf numFmtId="9" fontId="42" fillId="0" borderId="46" xfId="3" applyFont="1" applyBorder="1" applyAlignment="1">
      <alignment vertical="center"/>
    </xf>
    <xf numFmtId="9" fontId="42" fillId="0" borderId="16" xfId="3" applyFont="1" applyBorder="1" applyAlignment="1">
      <alignment vertical="center"/>
    </xf>
    <xf numFmtId="9" fontId="42" fillId="0" borderId="22" xfId="3" applyFont="1" applyBorder="1" applyAlignment="1">
      <alignment vertical="center"/>
    </xf>
    <xf numFmtId="9" fontId="42" fillId="0" borderId="23" xfId="3" applyFont="1" applyBorder="1" applyAlignment="1">
      <alignment vertical="center"/>
    </xf>
    <xf numFmtId="9" fontId="42" fillId="0" borderId="21" xfId="3" applyFont="1" applyBorder="1" applyAlignment="1">
      <alignment vertical="center"/>
    </xf>
    <xf numFmtId="9" fontId="44" fillId="0" borderId="22" xfId="3" applyFont="1" applyBorder="1" applyAlignment="1">
      <alignment vertical="center"/>
    </xf>
    <xf numFmtId="9" fontId="44" fillId="0" borderId="23" xfId="3" applyFont="1" applyBorder="1" applyAlignment="1">
      <alignment vertical="center"/>
    </xf>
    <xf numFmtId="9" fontId="44" fillId="0" borderId="56" xfId="3" applyFont="1" applyBorder="1" applyAlignment="1">
      <alignment vertical="center"/>
    </xf>
    <xf numFmtId="9" fontId="8" fillId="0" borderId="9" xfId="0" applyNumberFormat="1" applyFont="1" applyBorder="1" applyAlignment="1">
      <alignment vertical="center"/>
    </xf>
    <xf numFmtId="170" fontId="83" fillId="0" borderId="37" xfId="3" applyNumberFormat="1" applyFont="1" applyBorder="1" applyAlignment="1">
      <alignment vertical="center"/>
    </xf>
    <xf numFmtId="9" fontId="101" fillId="0" borderId="37" xfId="3" applyFont="1" applyBorder="1" applyAlignment="1">
      <alignment vertical="center"/>
    </xf>
    <xf numFmtId="0" fontId="101" fillId="0" borderId="0" xfId="5" applyFont="1" applyAlignment="1">
      <alignment vertical="center"/>
    </xf>
    <xf numFmtId="0" fontId="42" fillId="0" borderId="0" xfId="0" applyFont="1" applyAlignment="1">
      <alignment vertical="center"/>
    </xf>
    <xf numFmtId="0" fontId="42" fillId="0" borderId="0" xfId="0" applyFont="1" applyAlignment="1">
      <alignment horizontal="left" vertical="center" wrapText="1"/>
    </xf>
    <xf numFmtId="0" fontId="164" fillId="0" borderId="0" xfId="0" applyFont="1" applyAlignment="1">
      <alignment vertical="center" wrapText="1"/>
    </xf>
    <xf numFmtId="0" fontId="83" fillId="0" borderId="0" xfId="0" applyFont="1" applyAlignment="1">
      <alignment vertical="top" wrapText="1"/>
    </xf>
    <xf numFmtId="0" fontId="101" fillId="0" borderId="0" xfId="5" applyFont="1" applyAlignment="1">
      <alignment horizontal="left" vertical="center" wrapText="1"/>
    </xf>
    <xf numFmtId="9" fontId="101" fillId="0" borderId="0" xfId="3" applyFont="1" applyBorder="1" applyAlignment="1">
      <alignment horizontal="center" vertical="center" wrapText="1"/>
    </xf>
    <xf numFmtId="0" fontId="83" fillId="0" borderId="37" xfId="5" applyFont="1" applyBorder="1" applyAlignment="1">
      <alignment vertical="center" wrapText="1"/>
    </xf>
    <xf numFmtId="0" fontId="165" fillId="0" borderId="0" xfId="0" applyFont="1" applyAlignment="1">
      <alignment vertical="center" wrapText="1"/>
    </xf>
    <xf numFmtId="0" fontId="82" fillId="0" borderId="37" xfId="0" applyFont="1" applyBorder="1" applyAlignment="1">
      <alignment horizontal="center" vertical="center" wrapText="1"/>
    </xf>
    <xf numFmtId="0" fontId="163" fillId="0" borderId="0" xfId="0" applyFont="1" applyAlignment="1">
      <alignment vertical="center"/>
    </xf>
    <xf numFmtId="9" fontId="54" fillId="0" borderId="37" xfId="3" applyFont="1" applyBorder="1" applyAlignment="1">
      <alignment vertical="center"/>
    </xf>
    <xf numFmtId="0" fontId="166" fillId="0" borderId="37" xfId="5" applyFont="1" applyBorder="1" applyAlignment="1">
      <alignment horizontal="center" vertical="center" wrapText="1"/>
    </xf>
    <xf numFmtId="0" fontId="18" fillId="0" borderId="37" xfId="0" applyFont="1" applyBorder="1" applyAlignment="1">
      <alignment horizontal="left" vertical="top" wrapText="1"/>
    </xf>
    <xf numFmtId="0" fontId="18" fillId="0" borderId="0" xfId="0" quotePrefix="1" applyFont="1" applyAlignment="1">
      <alignment vertical="center" wrapText="1"/>
    </xf>
    <xf numFmtId="0" fontId="167" fillId="0" borderId="0" xfId="0" applyFont="1"/>
    <xf numFmtId="0" fontId="168" fillId="0" borderId="160" xfId="0" applyFont="1" applyBorder="1" applyAlignment="1">
      <alignment vertical="center"/>
    </xf>
    <xf numFmtId="0" fontId="169" fillId="0" borderId="0" xfId="0" applyFont="1"/>
    <xf numFmtId="0" fontId="0" fillId="0" borderId="0" xfId="0" applyAlignment="1">
      <alignment wrapText="1"/>
    </xf>
    <xf numFmtId="0" fontId="170" fillId="0" borderId="0" xfId="0" applyFont="1" applyAlignment="1">
      <alignment vertical="center"/>
    </xf>
    <xf numFmtId="174" fontId="18" fillId="0" borderId="37" xfId="0" applyNumberFormat="1" applyFont="1" applyBorder="1" applyAlignment="1">
      <alignment horizontal="center" vertical="center"/>
    </xf>
    <xf numFmtId="0" fontId="28" fillId="0" borderId="37" xfId="0" applyFont="1" applyBorder="1" applyAlignment="1">
      <alignment horizontal="center" vertical="center"/>
    </xf>
    <xf numFmtId="181" fontId="18" fillId="0" borderId="37" xfId="0" applyNumberFormat="1" applyFont="1" applyBorder="1" applyAlignment="1">
      <alignment horizontal="center" vertical="center"/>
    </xf>
    <xf numFmtId="181" fontId="10" fillId="0" borderId="37" xfId="0" applyNumberFormat="1" applyFont="1" applyBorder="1" applyAlignment="1">
      <alignment vertical="center"/>
    </xf>
    <xf numFmtId="174" fontId="18" fillId="0" borderId="0" xfId="0" applyNumberFormat="1" applyFont="1" applyAlignment="1">
      <alignment horizontal="center" vertical="center"/>
    </xf>
    <xf numFmtId="165" fontId="18" fillId="0" borderId="0" xfId="0" applyNumberFormat="1" applyFont="1" applyAlignment="1">
      <alignment horizontal="center" vertical="center"/>
    </xf>
    <xf numFmtId="0" fontId="26" fillId="0" borderId="0" xfId="0" applyFont="1" applyAlignment="1">
      <alignment horizontal="center" vertical="center"/>
    </xf>
    <xf numFmtId="0" fontId="28" fillId="0" borderId="0" xfId="0" applyFont="1" applyAlignment="1">
      <alignment horizontal="center" wrapText="1"/>
    </xf>
    <xf numFmtId="0" fontId="0" fillId="0" borderId="37" xfId="0" applyBorder="1" applyAlignment="1">
      <alignment horizontal="center" vertical="center"/>
    </xf>
    <xf numFmtId="0" fontId="0" fillId="0" borderId="52" xfId="0" applyBorder="1" applyAlignment="1">
      <alignment horizontal="center" vertical="center"/>
    </xf>
    <xf numFmtId="0" fontId="18" fillId="0" borderId="65" xfId="0" applyFont="1" applyBorder="1" applyAlignment="1">
      <alignment vertical="center"/>
    </xf>
    <xf numFmtId="0" fontId="171" fillId="12" borderId="0" xfId="0" applyFont="1" applyFill="1" applyAlignment="1">
      <alignment vertical="center"/>
    </xf>
    <xf numFmtId="0" fontId="172" fillId="12" borderId="0" xfId="0" applyFont="1" applyFill="1" applyAlignment="1">
      <alignment vertical="center"/>
    </xf>
    <xf numFmtId="0" fontId="22" fillId="12" borderId="0" xfId="0" applyFont="1" applyFill="1" applyAlignment="1">
      <alignment vertical="center"/>
    </xf>
    <xf numFmtId="0" fontId="21" fillId="12" borderId="0" xfId="0" applyFont="1" applyFill="1" applyAlignment="1">
      <alignment horizontal="center" vertical="center"/>
    </xf>
    <xf numFmtId="0" fontId="21" fillId="12" borderId="0" xfId="0" applyFont="1" applyFill="1" applyAlignment="1">
      <alignment vertical="center"/>
    </xf>
    <xf numFmtId="0" fontId="53" fillId="12" borderId="0" xfId="0" applyFont="1" applyFill="1" applyAlignment="1">
      <alignment vertical="center"/>
    </xf>
    <xf numFmtId="0" fontId="173" fillId="12" borderId="0" xfId="0" applyFont="1" applyFill="1" applyAlignment="1">
      <alignment vertical="center"/>
    </xf>
    <xf numFmtId="0" fontId="12" fillId="0" borderId="10" xfId="0" applyFont="1" applyBorder="1" applyAlignment="1">
      <alignment vertical="center"/>
    </xf>
    <xf numFmtId="0" fontId="12" fillId="0" borderId="49" xfId="0" applyFont="1" applyBorder="1" applyAlignment="1">
      <alignment horizontal="center" vertical="center"/>
    </xf>
    <xf numFmtId="0" fontId="12" fillId="0" borderId="11" xfId="0" applyFont="1" applyBorder="1" applyAlignment="1">
      <alignment horizontal="center" vertical="center"/>
    </xf>
    <xf numFmtId="0" fontId="0" fillId="0" borderId="148" xfId="0" applyBorder="1" applyAlignment="1">
      <alignment horizontal="center" vertical="center"/>
    </xf>
    <xf numFmtId="0" fontId="0" fillId="0" borderId="26" xfId="0" applyBorder="1" applyAlignment="1">
      <alignment horizontal="center" vertical="center"/>
    </xf>
    <xf numFmtId="0" fontId="102" fillId="0" borderId="10" xfId="0" applyFont="1" applyBorder="1" applyAlignment="1">
      <alignment vertical="center"/>
    </xf>
    <xf numFmtId="165" fontId="102" fillId="0" borderId="49" xfId="0" applyNumberFormat="1" applyFont="1" applyBorder="1" applyAlignment="1">
      <alignment horizontal="center" vertical="center"/>
    </xf>
    <xf numFmtId="165" fontId="102" fillId="0" borderId="11" xfId="0" applyNumberFormat="1" applyFont="1" applyBorder="1" applyAlignment="1">
      <alignment horizontal="center" vertical="center"/>
    </xf>
    <xf numFmtId="0" fontId="8" fillId="0" borderId="157" xfId="0" applyFont="1" applyBorder="1" applyAlignment="1">
      <alignment vertical="center"/>
    </xf>
    <xf numFmtId="0" fontId="8" fillId="0" borderId="25" xfId="0" applyFont="1" applyBorder="1" applyAlignment="1">
      <alignment vertical="center"/>
    </xf>
    <xf numFmtId="0" fontId="8" fillId="0" borderId="26" xfId="0" applyFont="1" applyBorder="1" applyAlignment="1">
      <alignment horizontal="center" vertical="center"/>
    </xf>
    <xf numFmtId="0" fontId="168" fillId="0" borderId="0" xfId="0" applyFont="1"/>
    <xf numFmtId="0" fontId="175" fillId="0" borderId="0" xfId="0" applyFont="1"/>
    <xf numFmtId="165" fontId="18" fillId="0" borderId="37" xfId="0" applyNumberFormat="1" applyFont="1" applyBorder="1"/>
    <xf numFmtId="165" fontId="18" fillId="0" borderId="37" xfId="0" applyNumberFormat="1" applyFont="1" applyBorder="1" applyAlignment="1">
      <alignment vertical="center"/>
    </xf>
    <xf numFmtId="165" fontId="28" fillId="0" borderId="37" xfId="0" applyNumberFormat="1" applyFont="1" applyBorder="1" applyAlignment="1">
      <alignment vertical="center"/>
    </xf>
    <xf numFmtId="0" fontId="18" fillId="0" borderId="37" xfId="4" applyNumberFormat="1" applyFont="1" applyFill="1" applyBorder="1" applyAlignment="1">
      <alignment horizontal="center" vertical="center"/>
    </xf>
    <xf numFmtId="165" fontId="35" fillId="0" borderId="37" xfId="0" applyNumberFormat="1" applyFont="1" applyBorder="1" applyAlignment="1">
      <alignment vertical="center"/>
    </xf>
    <xf numFmtId="164" fontId="35" fillId="0" borderId="37" xfId="4" applyFont="1" applyFill="1" applyBorder="1" applyAlignment="1">
      <alignment vertical="center"/>
    </xf>
    <xf numFmtId="166" fontId="28" fillId="0" borderId="37" xfId="4" applyNumberFormat="1" applyFont="1" applyBorder="1" applyAlignment="1">
      <alignment vertical="center"/>
    </xf>
    <xf numFmtId="0" fontId="18" fillId="0" borderId="17" xfId="0" applyFont="1" applyBorder="1" applyAlignment="1">
      <alignment vertical="center"/>
    </xf>
    <xf numFmtId="166" fontId="18" fillId="0" borderId="14" xfId="0" applyNumberFormat="1" applyFont="1" applyBorder="1" applyAlignment="1">
      <alignment vertical="center"/>
    </xf>
    <xf numFmtId="0" fontId="0" fillId="0" borderId="25" xfId="0" applyBorder="1" applyAlignment="1">
      <alignment vertical="center"/>
    </xf>
    <xf numFmtId="0" fontId="18" fillId="0" borderId="25" xfId="0" applyFont="1" applyBorder="1" applyAlignment="1">
      <alignment vertical="center"/>
    </xf>
    <xf numFmtId="0" fontId="18" fillId="0" borderId="20" xfId="0" applyFont="1" applyBorder="1" applyAlignment="1">
      <alignment vertical="center"/>
    </xf>
    <xf numFmtId="166" fontId="18" fillId="0" borderId="68" xfId="0" applyNumberFormat="1" applyFont="1" applyBorder="1" applyAlignment="1">
      <alignment vertical="center"/>
    </xf>
    <xf numFmtId="0" fontId="20" fillId="0" borderId="10" xfId="0" applyFont="1" applyBorder="1" applyAlignment="1">
      <alignment vertical="center"/>
    </xf>
    <xf numFmtId="166" fontId="20" fillId="0" borderId="49" xfId="0" applyNumberFormat="1" applyFont="1" applyBorder="1" applyAlignment="1">
      <alignment vertical="center"/>
    </xf>
    <xf numFmtId="9" fontId="20" fillId="0" borderId="11" xfId="3" applyFont="1" applyBorder="1" applyAlignment="1">
      <alignment vertical="center"/>
    </xf>
    <xf numFmtId="167" fontId="0" fillId="0" borderId="37" xfId="4" applyNumberFormat="1" applyFont="1" applyFill="1" applyBorder="1" applyAlignment="1">
      <alignment vertical="center"/>
    </xf>
    <xf numFmtId="9" fontId="10" fillId="0" borderId="37" xfId="3" applyFont="1" applyFill="1" applyBorder="1" applyAlignment="1">
      <alignment vertical="center"/>
    </xf>
    <xf numFmtId="167" fontId="10" fillId="0" borderId="37" xfId="4" applyNumberFormat="1" applyFont="1" applyFill="1" applyBorder="1" applyAlignment="1">
      <alignment vertical="center"/>
    </xf>
    <xf numFmtId="0" fontId="18" fillId="0" borderId="111" xfId="0" applyFont="1" applyBorder="1" applyAlignment="1">
      <alignment vertical="center"/>
    </xf>
    <xf numFmtId="0" fontId="18" fillId="0" borderId="34" xfId="0" applyFont="1" applyBorder="1" applyAlignment="1">
      <alignment vertical="center"/>
    </xf>
    <xf numFmtId="0" fontId="18" fillId="0" borderId="36" xfId="0" applyFont="1" applyBorder="1" applyAlignment="1">
      <alignment vertical="center"/>
    </xf>
    <xf numFmtId="0" fontId="20" fillId="0" borderId="129" xfId="0" applyFont="1" applyBorder="1" applyAlignment="1">
      <alignment horizontal="center" vertical="center"/>
    </xf>
    <xf numFmtId="0" fontId="20" fillId="0" borderId="66" xfId="0" applyFont="1" applyBorder="1" applyAlignment="1">
      <alignment vertical="center"/>
    </xf>
    <xf numFmtId="0" fontId="18" fillId="0" borderId="48" xfId="0" applyFont="1" applyBorder="1" applyAlignment="1">
      <alignment vertical="center"/>
    </xf>
    <xf numFmtId="9" fontId="18" fillId="0" borderId="3" xfId="3" applyFont="1" applyBorder="1" applyAlignment="1">
      <alignment vertical="center"/>
    </xf>
    <xf numFmtId="166" fontId="18" fillId="0" borderId="3" xfId="4" applyNumberFormat="1" applyFont="1" applyBorder="1" applyAlignment="1">
      <alignment vertical="center"/>
    </xf>
    <xf numFmtId="164" fontId="18" fillId="0" borderId="3" xfId="4" applyFont="1" applyBorder="1" applyAlignment="1">
      <alignment vertical="center"/>
    </xf>
    <xf numFmtId="166" fontId="20" fillId="0" borderId="51" xfId="4" applyNumberFormat="1" applyFont="1" applyBorder="1" applyAlignment="1">
      <alignment vertical="center"/>
    </xf>
    <xf numFmtId="174" fontId="21" fillId="0" borderId="105" xfId="4" applyNumberFormat="1" applyFont="1" applyBorder="1" applyAlignment="1">
      <alignment vertical="center"/>
    </xf>
    <xf numFmtId="0" fontId="21" fillId="0" borderId="148" xfId="0" applyFont="1" applyBorder="1" applyAlignment="1">
      <alignment vertical="center"/>
    </xf>
    <xf numFmtId="0" fontId="8" fillId="0" borderId="0" xfId="0" quotePrefix="1" applyFont="1" applyAlignment="1">
      <alignment vertical="center" wrapText="1"/>
    </xf>
    <xf numFmtId="0" fontId="28" fillId="0" borderId="37" xfId="0" applyFont="1" applyBorder="1" applyAlignment="1">
      <alignment horizontal="right" vertical="center"/>
    </xf>
    <xf numFmtId="166" fontId="28" fillId="0" borderId="37" xfId="4" applyNumberFormat="1" applyFont="1" applyFill="1" applyBorder="1" applyAlignment="1">
      <alignment horizontal="center" vertical="center"/>
    </xf>
    <xf numFmtId="9" fontId="22" fillId="0" borderId="21" xfId="3" applyFont="1" applyBorder="1" applyAlignment="1">
      <alignment horizontal="center" vertical="center"/>
    </xf>
    <xf numFmtId="9" fontId="22" fillId="0" borderId="18" xfId="3" applyFont="1" applyFill="1" applyBorder="1" applyAlignment="1">
      <alignment horizontal="right" vertical="center"/>
    </xf>
    <xf numFmtId="9" fontId="22" fillId="0" borderId="28" xfId="3" applyFont="1" applyFill="1" applyBorder="1" applyAlignment="1">
      <alignment horizontal="right" vertical="center"/>
    </xf>
    <xf numFmtId="169" fontId="27" fillId="0" borderId="0" xfId="5" applyNumberFormat="1" applyFont="1" applyAlignment="1">
      <alignment vertical="center"/>
    </xf>
    <xf numFmtId="0" fontId="28" fillId="0" borderId="0" xfId="0" quotePrefix="1" applyFont="1" applyAlignment="1">
      <alignment horizontal="left" vertical="top"/>
    </xf>
    <xf numFmtId="0" fontId="0" fillId="0" borderId="0" xfId="0" applyAlignment="1">
      <alignment vertical="center" wrapText="1"/>
    </xf>
    <xf numFmtId="0" fontId="10" fillId="0" borderId="45" xfId="0" applyFont="1" applyBorder="1" applyAlignment="1">
      <alignment horizontal="center" vertical="center"/>
    </xf>
    <xf numFmtId="9" fontId="18" fillId="0" borderId="19" xfId="3" applyFont="1" applyBorder="1" applyAlignment="1">
      <alignment vertical="center"/>
    </xf>
    <xf numFmtId="9" fontId="18" fillId="0" borderId="31" xfId="3" applyFont="1" applyBorder="1" applyAlignment="1">
      <alignment vertical="center"/>
    </xf>
    <xf numFmtId="9" fontId="18" fillId="0" borderId="131" xfId="3" applyFont="1" applyBorder="1" applyAlignment="1">
      <alignment vertical="center"/>
    </xf>
    <xf numFmtId="0" fontId="10" fillId="0" borderId="49" xfId="0" applyFont="1" applyBorder="1" applyAlignment="1">
      <alignment horizontal="center" vertical="center"/>
    </xf>
    <xf numFmtId="164" fontId="18" fillId="0" borderId="52" xfId="4" applyFont="1" applyBorder="1" applyAlignment="1">
      <alignment vertical="center"/>
    </xf>
    <xf numFmtId="164" fontId="18" fillId="0" borderId="24" xfId="4" applyFont="1" applyBorder="1" applyAlignment="1">
      <alignment vertical="center"/>
    </xf>
    <xf numFmtId="164" fontId="18" fillId="0" borderId="28" xfId="4" applyFont="1" applyBorder="1" applyAlignment="1">
      <alignment vertical="center"/>
    </xf>
    <xf numFmtId="164" fontId="20" fillId="0" borderId="49" xfId="0" applyNumberFormat="1" applyFont="1" applyBorder="1" applyAlignment="1">
      <alignment vertical="center"/>
    </xf>
    <xf numFmtId="9" fontId="18" fillId="0" borderId="52" xfId="3" applyFont="1" applyBorder="1" applyAlignment="1">
      <alignment vertical="center"/>
    </xf>
    <xf numFmtId="170" fontId="18" fillId="0" borderId="52" xfId="3" applyNumberFormat="1" applyFont="1" applyBorder="1" applyAlignment="1">
      <alignment vertical="center"/>
    </xf>
    <xf numFmtId="164" fontId="18" fillId="0" borderId="5" xfId="4" applyFont="1" applyBorder="1"/>
    <xf numFmtId="174" fontId="18" fillId="0" borderId="0" xfId="0" applyNumberFormat="1" applyFont="1"/>
    <xf numFmtId="165" fontId="18" fillId="0" borderId="0" xfId="0" applyNumberFormat="1" applyFont="1"/>
    <xf numFmtId="174" fontId="18" fillId="0" borderId="37" xfId="0" applyNumberFormat="1" applyFont="1" applyBorder="1"/>
    <xf numFmtId="1" fontId="18" fillId="0" borderId="37" xfId="0" applyNumberFormat="1" applyFont="1" applyBorder="1"/>
    <xf numFmtId="0" fontId="20" fillId="0" borderId="37" xfId="0" applyFont="1" applyBorder="1"/>
    <xf numFmtId="9" fontId="18" fillId="0" borderId="37" xfId="3" applyFont="1" applyBorder="1"/>
    <xf numFmtId="174" fontId="18" fillId="0" borderId="0" xfId="0" applyNumberFormat="1" applyFont="1" applyAlignment="1">
      <alignment horizontal="center"/>
    </xf>
    <xf numFmtId="0" fontId="20" fillId="0" borderId="37" xfId="0" applyFont="1" applyBorder="1" applyAlignment="1">
      <alignment horizontal="center"/>
    </xf>
    <xf numFmtId="174" fontId="20" fillId="0" borderId="37" xfId="0" applyNumberFormat="1" applyFont="1" applyBorder="1" applyAlignment="1">
      <alignment horizontal="center"/>
    </xf>
    <xf numFmtId="9" fontId="20" fillId="0" borderId="0" xfId="3" applyFont="1" applyAlignment="1">
      <alignment horizontal="center" vertical="center"/>
    </xf>
    <xf numFmtId="9" fontId="20" fillId="0" borderId="0" xfId="3" applyFont="1" applyAlignment="1">
      <alignment horizontal="left" vertical="center"/>
    </xf>
    <xf numFmtId="9" fontId="18" fillId="0" borderId="37" xfId="0" applyNumberFormat="1" applyFont="1" applyBorder="1" applyAlignment="1">
      <alignment vertical="center"/>
    </xf>
    <xf numFmtId="170" fontId="18" fillId="0" borderId="37" xfId="3" applyNumberFormat="1" applyFont="1" applyBorder="1" applyAlignment="1">
      <alignment vertical="center"/>
    </xf>
    <xf numFmtId="164" fontId="18" fillId="0" borderId="0" xfId="4" applyFont="1" applyAlignment="1">
      <alignment vertical="center"/>
    </xf>
    <xf numFmtId="182" fontId="18" fillId="0" borderId="0" xfId="4" applyNumberFormat="1" applyFont="1" applyAlignment="1">
      <alignment vertical="center"/>
    </xf>
    <xf numFmtId="0" fontId="83" fillId="0" borderId="0" xfId="0" applyFont="1" applyAlignment="1">
      <alignment horizontal="left" vertical="center" wrapText="1"/>
    </xf>
    <xf numFmtId="1" fontId="10" fillId="0" borderId="0" xfId="0" applyNumberFormat="1" applyFont="1" applyAlignment="1">
      <alignment vertical="center"/>
    </xf>
    <xf numFmtId="169" fontId="18" fillId="0" borderId="0" xfId="0" applyNumberFormat="1" applyFont="1" applyAlignment="1">
      <alignment vertical="center"/>
    </xf>
    <xf numFmtId="174" fontId="123" fillId="0" borderId="33" xfId="4" applyNumberFormat="1" applyFont="1" applyFill="1" applyBorder="1" applyAlignment="1">
      <alignment vertical="center"/>
    </xf>
    <xf numFmtId="0" fontId="21" fillId="0" borderId="0" xfId="0" applyFont="1" applyAlignment="1">
      <alignment horizontal="center" vertical="center" wrapText="1"/>
    </xf>
    <xf numFmtId="9" fontId="21" fillId="0" borderId="0" xfId="3" applyFont="1" applyFill="1" applyBorder="1" applyAlignment="1">
      <alignment horizontal="center" vertical="center" wrapText="1"/>
    </xf>
    <xf numFmtId="0" fontId="21" fillId="0" borderId="0" xfId="0" applyFont="1" applyAlignment="1">
      <alignment vertical="center" wrapText="1"/>
    </xf>
    <xf numFmtId="175" fontId="22" fillId="0" borderId="34" xfId="4" applyNumberFormat="1" applyFont="1" applyFill="1" applyBorder="1" applyAlignment="1">
      <alignment horizontal="right" vertical="center"/>
    </xf>
    <xf numFmtId="175" fontId="22" fillId="0" borderId="15" xfId="4" applyNumberFormat="1" applyFont="1" applyBorder="1" applyAlignment="1">
      <alignment horizontal="center" vertical="center"/>
    </xf>
    <xf numFmtId="174" fontId="22" fillId="0" borderId="35" xfId="4" applyNumberFormat="1" applyFont="1" applyBorder="1" applyAlignment="1">
      <alignment horizontal="center" vertical="center"/>
    </xf>
    <xf numFmtId="175" fontId="22" fillId="0" borderId="35" xfId="4" applyNumberFormat="1" applyFont="1" applyFill="1" applyBorder="1" applyAlignment="1">
      <alignment horizontal="right" vertical="center"/>
    </xf>
    <xf numFmtId="175" fontId="22" fillId="0" borderId="26" xfId="4" applyNumberFormat="1" applyFont="1" applyFill="1" applyBorder="1" applyAlignment="1">
      <alignment horizontal="right" vertical="center"/>
    </xf>
    <xf numFmtId="175" fontId="22" fillId="0" borderId="22" xfId="4" applyNumberFormat="1" applyFont="1" applyBorder="1" applyAlignment="1">
      <alignment horizontal="center" vertical="center"/>
    </xf>
    <xf numFmtId="164" fontId="22" fillId="0" borderId="0" xfId="4" quotePrefix="1" applyFont="1" applyAlignment="1">
      <alignment vertical="center"/>
    </xf>
    <xf numFmtId="176" fontId="22" fillId="0" borderId="0" xfId="0" applyNumberFormat="1" applyFont="1" applyAlignment="1">
      <alignment vertical="center" wrapText="1"/>
    </xf>
    <xf numFmtId="174" fontId="22" fillId="0" borderId="0" xfId="4" applyNumberFormat="1" applyFont="1" applyAlignment="1">
      <alignment vertical="center" wrapText="1"/>
    </xf>
    <xf numFmtId="164" fontId="21" fillId="0" borderId="37" xfId="4" applyFont="1" applyBorder="1" applyAlignment="1">
      <alignment horizontal="center" vertical="center" wrapText="1"/>
    </xf>
    <xf numFmtId="175" fontId="22" fillId="0" borderId="37" xfId="4" applyNumberFormat="1" applyFont="1" applyBorder="1" applyAlignment="1">
      <alignment horizontal="center" vertical="center" wrapText="1"/>
    </xf>
    <xf numFmtId="0" fontId="21" fillId="0" borderId="16" xfId="0" applyFont="1" applyBorder="1" applyAlignment="1">
      <alignment horizontal="center" vertical="center"/>
    </xf>
    <xf numFmtId="0" fontId="21" fillId="0" borderId="35" xfId="0" applyFont="1" applyBorder="1" applyAlignment="1">
      <alignment vertical="center" wrapText="1"/>
    </xf>
    <xf numFmtId="1" fontId="22" fillId="0" borderId="37" xfId="0" applyNumberFormat="1" applyFont="1" applyBorder="1" applyAlignment="1">
      <alignment vertical="center"/>
    </xf>
    <xf numFmtId="1" fontId="22" fillId="0" borderId="33" xfId="0" applyNumberFormat="1" applyFont="1" applyBorder="1" applyAlignment="1">
      <alignment vertical="center"/>
    </xf>
    <xf numFmtId="0" fontId="21" fillId="0" borderId="22" xfId="0" applyFont="1" applyBorder="1" applyAlignment="1">
      <alignment vertical="center" wrapText="1"/>
    </xf>
    <xf numFmtId="1" fontId="22" fillId="0" borderId="21" xfId="0" applyNumberFormat="1" applyFont="1" applyBorder="1" applyAlignment="1">
      <alignment vertical="center"/>
    </xf>
    <xf numFmtId="175" fontId="22" fillId="0" borderId="37" xfId="0" applyNumberFormat="1" applyFont="1" applyBorder="1" applyAlignment="1">
      <alignment vertical="center"/>
    </xf>
    <xf numFmtId="174" fontId="22" fillId="0" borderId="37" xfId="4" applyNumberFormat="1" applyFont="1" applyBorder="1"/>
    <xf numFmtId="174" fontId="22" fillId="0" borderId="37" xfId="4" applyNumberFormat="1" applyFont="1" applyBorder="1" applyAlignment="1">
      <alignment vertical="center"/>
    </xf>
    <xf numFmtId="175" fontId="21" fillId="0" borderId="37" xfId="0" applyNumberFormat="1" applyFont="1" applyBorder="1" applyAlignment="1">
      <alignment horizontal="center" vertical="center"/>
    </xf>
    <xf numFmtId="0" fontId="168" fillId="0" borderId="0" xfId="0" applyFont="1" applyAlignment="1">
      <alignment vertical="center"/>
    </xf>
    <xf numFmtId="174" fontId="168" fillId="0" borderId="0" xfId="0" applyNumberFormat="1" applyFont="1" applyAlignment="1">
      <alignment vertical="center"/>
    </xf>
    <xf numFmtId="174" fontId="167" fillId="0" borderId="0" xfId="0" applyNumberFormat="1" applyFont="1"/>
    <xf numFmtId="0" fontId="118" fillId="60" borderId="2" xfId="0" applyFont="1" applyFill="1" applyBorder="1" applyAlignment="1">
      <alignment horizontal="center" vertical="center" wrapText="1"/>
    </xf>
    <xf numFmtId="0" fontId="22" fillId="0" borderId="35" xfId="0" applyFont="1" applyBorder="1" applyAlignment="1">
      <alignment vertical="center"/>
    </xf>
    <xf numFmtId="0" fontId="22" fillId="0" borderId="35" xfId="3" applyNumberFormat="1" applyFont="1" applyBorder="1" applyAlignment="1">
      <alignment vertical="center" wrapText="1"/>
    </xf>
    <xf numFmtId="0" fontId="22" fillId="0" borderId="35" xfId="4" applyNumberFormat="1" applyFont="1" applyBorder="1" applyAlignment="1">
      <alignment vertical="center"/>
    </xf>
    <xf numFmtId="0" fontId="22" fillId="0" borderId="22" xfId="0" applyFont="1" applyBorder="1" applyAlignment="1">
      <alignment vertical="center"/>
    </xf>
    <xf numFmtId="0" fontId="18" fillId="0" borderId="35" xfId="0" applyFont="1" applyBorder="1"/>
    <xf numFmtId="174" fontId="18" fillId="0" borderId="33" xfId="4" applyNumberFormat="1" applyFont="1" applyBorder="1"/>
    <xf numFmtId="0" fontId="18" fillId="0" borderId="22" xfId="0" applyFont="1" applyBorder="1"/>
    <xf numFmtId="174" fontId="18" fillId="0" borderId="21" xfId="4" applyNumberFormat="1" applyFont="1" applyBorder="1"/>
    <xf numFmtId="0" fontId="20" fillId="0" borderId="44" xfId="0" applyFont="1" applyBorder="1" applyAlignment="1">
      <alignment vertical="center"/>
    </xf>
    <xf numFmtId="0" fontId="20" fillId="0" borderId="16" xfId="0" applyFont="1" applyBorder="1" applyAlignment="1">
      <alignment horizontal="center" vertical="center"/>
    </xf>
    <xf numFmtId="0" fontId="21" fillId="0" borderId="15" xfId="0" applyFont="1" applyBorder="1" applyAlignment="1">
      <alignment vertical="center"/>
    </xf>
    <xf numFmtId="0" fontId="21" fillId="0" borderId="46" xfId="0" applyFont="1" applyBorder="1" applyAlignment="1">
      <alignment vertical="center"/>
    </xf>
    <xf numFmtId="0" fontId="21" fillId="0" borderId="16" xfId="0" applyFont="1" applyBorder="1" applyAlignment="1">
      <alignment vertical="center"/>
    </xf>
    <xf numFmtId="0" fontId="21" fillId="0" borderId="35" xfId="0" applyFont="1" applyBorder="1" applyAlignment="1">
      <alignment horizontal="center" vertical="center"/>
    </xf>
    <xf numFmtId="0" fontId="21" fillId="0" borderId="22" xfId="0" applyFont="1" applyBorder="1" applyAlignment="1">
      <alignment horizontal="center" vertical="center"/>
    </xf>
    <xf numFmtId="166" fontId="22" fillId="0" borderId="23" xfId="0" applyNumberFormat="1" applyFont="1" applyBorder="1" applyAlignment="1">
      <alignment vertical="center"/>
    </xf>
    <xf numFmtId="9" fontId="165" fillId="0" borderId="0" xfId="0" applyNumberFormat="1" applyFont="1" applyAlignment="1">
      <alignment vertical="center"/>
    </xf>
    <xf numFmtId="164" fontId="165" fillId="0" borderId="0" xfId="4" applyFont="1" applyAlignment="1">
      <alignment vertical="center"/>
    </xf>
    <xf numFmtId="9" fontId="21" fillId="0" borderId="37" xfId="3" applyFont="1" applyFill="1" applyBorder="1" applyAlignment="1">
      <alignment horizontal="center" vertical="center" wrapText="1"/>
    </xf>
    <xf numFmtId="9" fontId="47" fillId="0" borderId="0" xfId="3" applyFont="1" applyAlignment="1">
      <alignment horizontal="center" vertical="center"/>
    </xf>
    <xf numFmtId="182" fontId="21" fillId="44" borderId="2" xfId="4" applyNumberFormat="1" applyFont="1" applyFill="1" applyBorder="1" applyAlignment="1">
      <alignment vertical="center"/>
    </xf>
    <xf numFmtId="1" fontId="22" fillId="0" borderId="23" xfId="0" applyNumberFormat="1" applyFont="1" applyBorder="1" applyAlignment="1">
      <alignment vertical="center"/>
    </xf>
    <xf numFmtId="0" fontId="48" fillId="16" borderId="37" xfId="0" applyFont="1" applyFill="1" applyBorder="1" applyAlignment="1">
      <alignment horizontal="center" vertical="center" wrapText="1"/>
    </xf>
    <xf numFmtId="0" fontId="69" fillId="16" borderId="37" xfId="0" applyFont="1" applyFill="1" applyBorder="1" applyAlignment="1">
      <alignment horizontal="center" vertical="center" wrapText="1"/>
    </xf>
    <xf numFmtId="0" fontId="48" fillId="16" borderId="35" xfId="0" applyFont="1" applyFill="1" applyBorder="1" applyAlignment="1">
      <alignment horizontal="left" vertical="center" wrapText="1"/>
    </xf>
    <xf numFmtId="0" fontId="70" fillId="30" borderId="33" xfId="5" applyFont="1" applyFill="1" applyBorder="1" applyAlignment="1">
      <alignment horizontal="center" vertical="center"/>
    </xf>
    <xf numFmtId="166" fontId="27" fillId="0" borderId="23" xfId="5" applyNumberFormat="1" applyFont="1" applyBorder="1" applyAlignment="1">
      <alignment vertical="center"/>
    </xf>
    <xf numFmtId="0" fontId="21" fillId="0" borderId="0" xfId="0" applyFont="1" applyAlignment="1">
      <alignment horizontal="center" vertical="center"/>
    </xf>
    <xf numFmtId="0" fontId="22" fillId="0" borderId="37" xfId="0" applyFont="1" applyBorder="1"/>
    <xf numFmtId="9" fontId="22" fillId="0" borderId="37" xfId="3" applyFont="1" applyBorder="1"/>
    <xf numFmtId="0" fontId="21" fillId="0" borderId="37" xfId="0" applyFont="1" applyBorder="1"/>
    <xf numFmtId="0" fontId="21" fillId="0" borderId="37" xfId="0" applyFont="1" applyBorder="1" applyAlignment="1">
      <alignment horizontal="center"/>
    </xf>
    <xf numFmtId="174" fontId="21" fillId="0" borderId="37" xfId="0" applyNumberFormat="1" applyFont="1" applyBorder="1"/>
    <xf numFmtId="174" fontId="21" fillId="0" borderId="37" xfId="4" applyNumberFormat="1" applyFont="1" applyBorder="1" applyAlignment="1">
      <alignment vertical="center"/>
    </xf>
    <xf numFmtId="174" fontId="21" fillId="0" borderId="37" xfId="4" applyNumberFormat="1" applyFont="1" applyBorder="1"/>
    <xf numFmtId="9" fontId="21" fillId="0" borderId="37" xfId="3" applyFont="1" applyBorder="1"/>
    <xf numFmtId="0" fontId="123" fillId="0" borderId="58" xfId="0" applyFont="1" applyBorder="1" applyAlignment="1">
      <alignment vertical="center"/>
    </xf>
    <xf numFmtId="0" fontId="112" fillId="0" borderId="59" xfId="0" applyFont="1" applyBorder="1" applyAlignment="1">
      <alignment horizontal="center" vertical="center"/>
    </xf>
    <xf numFmtId="0" fontId="112" fillId="0" borderId="60" xfId="0" applyFont="1" applyBorder="1" applyAlignment="1">
      <alignment horizontal="center" vertical="center"/>
    </xf>
    <xf numFmtId="0" fontId="112" fillId="0" borderId="70" xfId="0" applyFont="1" applyBorder="1" applyAlignment="1">
      <alignment vertical="center"/>
    </xf>
    <xf numFmtId="169" fontId="112" fillId="0" borderId="107" xfId="0" applyNumberFormat="1" applyFont="1" applyBorder="1" applyAlignment="1">
      <alignment vertical="center"/>
    </xf>
    <xf numFmtId="166" fontId="112" fillId="0" borderId="108" xfId="4" applyNumberFormat="1" applyFont="1" applyBorder="1" applyAlignment="1">
      <alignment vertical="center"/>
    </xf>
    <xf numFmtId="0" fontId="123" fillId="0" borderId="15" xfId="0" applyFont="1" applyBorder="1" applyAlignment="1">
      <alignment vertical="center"/>
    </xf>
    <xf numFmtId="0" fontId="123" fillId="0" borderId="46" xfId="0" applyFont="1" applyBorder="1" applyAlignment="1">
      <alignment vertical="center"/>
    </xf>
    <xf numFmtId="166" fontId="123" fillId="0" borderId="16" xfId="4" applyNumberFormat="1" applyFont="1" applyBorder="1" applyAlignment="1">
      <alignment vertical="center"/>
    </xf>
    <xf numFmtId="0" fontId="155" fillId="0" borderId="22" xfId="0" applyFont="1" applyBorder="1"/>
    <xf numFmtId="174" fontId="155" fillId="0" borderId="23" xfId="0" applyNumberFormat="1" applyFont="1" applyBorder="1"/>
    <xf numFmtId="174" fontId="155" fillId="0" borderId="21" xfId="0" applyNumberFormat="1" applyFont="1" applyBorder="1"/>
    <xf numFmtId="0" fontId="125" fillId="0" borderId="0" xfId="0" applyFont="1" applyAlignment="1">
      <alignment vertical="center"/>
    </xf>
    <xf numFmtId="9" fontId="125" fillId="0" borderId="0" xfId="0" applyNumberFormat="1" applyFont="1" applyAlignment="1">
      <alignment vertical="center"/>
    </xf>
    <xf numFmtId="0" fontId="118" fillId="60" borderId="46" xfId="0" applyFont="1" applyFill="1" applyBorder="1" applyAlignment="1">
      <alignment horizontal="center" vertical="center" wrapText="1"/>
    </xf>
    <xf numFmtId="9" fontId="10" fillId="0" borderId="148" xfId="0" quotePrefix="1" applyNumberFormat="1" applyFont="1" applyBorder="1" applyAlignment="1">
      <alignment horizontal="center" vertical="center"/>
    </xf>
    <xf numFmtId="0" fontId="44" fillId="0" borderId="0" xfId="0" applyFont="1" applyAlignment="1">
      <alignment vertical="center" wrapText="1"/>
    </xf>
    <xf numFmtId="9" fontId="44" fillId="0" borderId="0" xfId="0" applyNumberFormat="1" applyFont="1" applyAlignment="1">
      <alignment vertical="center" wrapText="1"/>
    </xf>
    <xf numFmtId="165" fontId="0" fillId="0" borderId="37" xfId="0" applyNumberFormat="1" applyBorder="1" applyAlignment="1">
      <alignment horizontal="center" vertical="center"/>
    </xf>
    <xf numFmtId="9" fontId="18" fillId="0" borderId="0" xfId="3" applyFont="1" applyFill="1" applyBorder="1" applyAlignment="1">
      <alignment vertical="center" wrapText="1"/>
    </xf>
    <xf numFmtId="164" fontId="20" fillId="0" borderId="37" xfId="4" applyFont="1" applyFill="1" applyBorder="1"/>
    <xf numFmtId="174" fontId="20" fillId="0" borderId="37" xfId="4" applyNumberFormat="1" applyFont="1" applyBorder="1"/>
    <xf numFmtId="9" fontId="20" fillId="0" borderId="37" xfId="3" applyFont="1" applyBorder="1"/>
    <xf numFmtId="0" fontId="83" fillId="0" borderId="0" xfId="0" applyFont="1" applyAlignment="1">
      <alignment horizontal="left" vertical="center"/>
    </xf>
    <xf numFmtId="164" fontId="83" fillId="0" borderId="37" xfId="4" applyFont="1" applyBorder="1" applyAlignment="1">
      <alignment horizontal="left" vertical="center" wrapText="1"/>
    </xf>
    <xf numFmtId="174" fontId="83" fillId="0" borderId="37" xfId="4" applyNumberFormat="1" applyFont="1" applyBorder="1" applyAlignment="1">
      <alignment horizontal="left" vertical="center" wrapText="1"/>
    </xf>
    <xf numFmtId="164" fontId="14" fillId="0" borderId="37" xfId="4" applyFont="1" applyBorder="1" applyAlignment="1">
      <alignment vertical="center"/>
    </xf>
    <xf numFmtId="164" fontId="83" fillId="0" borderId="42" xfId="4" applyFont="1" applyBorder="1" applyAlignment="1">
      <alignment horizontal="left" vertical="center" wrapText="1"/>
    </xf>
    <xf numFmtId="174" fontId="10" fillId="0" borderId="37" xfId="0" applyNumberFormat="1" applyFont="1" applyBorder="1" applyAlignment="1">
      <alignment vertical="center"/>
    </xf>
    <xf numFmtId="174" fontId="27" fillId="0" borderId="37" xfId="5" applyNumberFormat="1" applyFont="1" applyBorder="1" applyAlignment="1">
      <alignment vertical="center"/>
    </xf>
    <xf numFmtId="164" fontId="14" fillId="0" borderId="37" xfId="4" applyFont="1" applyBorder="1" applyAlignment="1">
      <alignment horizontal="center" vertical="center" wrapText="1"/>
    </xf>
    <xf numFmtId="164" fontId="101" fillId="0" borderId="37" xfId="4" applyFont="1" applyBorder="1" applyAlignment="1">
      <alignment horizontal="center" vertical="center" wrapText="1"/>
    </xf>
    <xf numFmtId="174" fontId="54" fillId="0" borderId="37" xfId="5" applyNumberFormat="1" applyFont="1" applyBorder="1" applyAlignment="1">
      <alignment vertical="center"/>
    </xf>
    <xf numFmtId="174" fontId="44" fillId="0" borderId="37" xfId="0" applyNumberFormat="1" applyFont="1" applyBorder="1" applyAlignment="1">
      <alignment vertical="center"/>
    </xf>
    <xf numFmtId="174" fontId="0" fillId="0" borderId="0" xfId="0" applyNumberFormat="1"/>
    <xf numFmtId="9" fontId="44" fillId="0" borderId="37" xfId="3" applyFont="1" applyBorder="1" applyAlignment="1">
      <alignment horizontal="center" vertical="center"/>
    </xf>
    <xf numFmtId="1" fontId="27" fillId="0" borderId="0" xfId="5" applyNumberFormat="1" applyFont="1" applyAlignment="1">
      <alignment vertical="center"/>
    </xf>
    <xf numFmtId="174" fontId="54" fillId="0" borderId="0" xfId="5" applyNumberFormat="1" applyFont="1" applyAlignment="1">
      <alignment vertical="center"/>
    </xf>
    <xf numFmtId="174" fontId="27" fillId="0" borderId="0" xfId="5" applyNumberFormat="1" applyFont="1" applyAlignment="1">
      <alignment vertical="center"/>
    </xf>
    <xf numFmtId="174" fontId="27" fillId="0" borderId="37" xfId="4" applyNumberFormat="1" applyFont="1" applyBorder="1" applyAlignment="1">
      <alignment vertical="center"/>
    </xf>
    <xf numFmtId="174" fontId="83" fillId="0" borderId="37" xfId="4" applyNumberFormat="1" applyFont="1" applyFill="1" applyBorder="1" applyAlignment="1">
      <alignment horizontal="center" vertical="center"/>
    </xf>
    <xf numFmtId="174" fontId="87" fillId="0" borderId="37" xfId="4" applyNumberFormat="1" applyFont="1" applyFill="1" applyBorder="1" applyAlignment="1">
      <alignment horizontal="right" vertical="center"/>
    </xf>
    <xf numFmtId="0" fontId="83" fillId="0" borderId="0" xfId="5" applyFont="1" applyAlignment="1">
      <alignment vertical="center"/>
    </xf>
    <xf numFmtId="0" fontId="8" fillId="0" borderId="42" xfId="0" applyFont="1" applyBorder="1" applyAlignment="1">
      <alignment vertical="center"/>
    </xf>
    <xf numFmtId="166" fontId="42" fillId="0" borderId="37" xfId="0" applyNumberFormat="1" applyFont="1" applyBorder="1" applyAlignment="1">
      <alignment vertical="center"/>
    </xf>
    <xf numFmtId="9" fontId="8" fillId="0" borderId="42" xfId="0" applyNumberFormat="1" applyFont="1" applyBorder="1" applyAlignment="1">
      <alignment horizontal="center" vertical="center"/>
    </xf>
    <xf numFmtId="0" fontId="27" fillId="0" borderId="37" xfId="5" applyFont="1" applyBorder="1" applyAlignment="1">
      <alignment vertical="center" wrapText="1"/>
    </xf>
    <xf numFmtId="9" fontId="42" fillId="0" borderId="0" xfId="3" applyFont="1" applyBorder="1" applyAlignment="1">
      <alignment vertical="center"/>
    </xf>
    <xf numFmtId="0" fontId="21" fillId="0" borderId="46" xfId="0" applyFont="1" applyBorder="1" applyAlignment="1">
      <alignment horizontal="center" vertical="center"/>
    </xf>
    <xf numFmtId="9" fontId="22" fillId="0" borderId="37" xfId="3" applyFont="1" applyFill="1" applyBorder="1" applyAlignment="1">
      <alignment vertical="center"/>
    </xf>
    <xf numFmtId="9" fontId="28" fillId="0" borderId="37" xfId="3" applyFont="1" applyFill="1" applyBorder="1" applyAlignment="1">
      <alignment vertical="center" wrapText="1"/>
    </xf>
    <xf numFmtId="0" fontId="75" fillId="30" borderId="37" xfId="0" applyFont="1" applyFill="1" applyBorder="1" applyAlignment="1">
      <alignment horizontal="center" vertical="center"/>
    </xf>
    <xf numFmtId="0" fontId="64" fillId="0" borderId="37" xfId="5" applyFont="1" applyBorder="1" applyAlignment="1">
      <alignment horizontal="left" vertical="center" wrapText="1"/>
    </xf>
    <xf numFmtId="9" fontId="64" fillId="0" borderId="37" xfId="3" applyFont="1" applyFill="1" applyBorder="1" applyAlignment="1">
      <alignment vertical="center"/>
    </xf>
    <xf numFmtId="0" fontId="11" fillId="0" borderId="37" xfId="0" applyFont="1" applyBorder="1" applyAlignment="1">
      <alignment horizontal="left" vertical="center"/>
    </xf>
    <xf numFmtId="9" fontId="130" fillId="0" borderId="37" xfId="3" applyFont="1" applyBorder="1" applyAlignment="1">
      <alignment vertical="center"/>
    </xf>
    <xf numFmtId="0" fontId="1" fillId="0" borderId="0" xfId="0" applyFont="1" applyAlignment="1">
      <alignment vertical="center"/>
    </xf>
    <xf numFmtId="9" fontId="64" fillId="0" borderId="37" xfId="3" applyFont="1" applyBorder="1" applyAlignment="1">
      <alignment vertical="center"/>
    </xf>
    <xf numFmtId="9" fontId="1" fillId="0" borderId="0" xfId="0" applyNumberFormat="1" applyFont="1"/>
    <xf numFmtId="0" fontId="1" fillId="0" borderId="0" xfId="0" applyFont="1"/>
    <xf numFmtId="9" fontId="130" fillId="0" borderId="0" xfId="3" applyFont="1" applyBorder="1" applyAlignment="1">
      <alignment vertical="center"/>
    </xf>
    <xf numFmtId="9" fontId="24" fillId="0" borderId="0" xfId="3" applyFont="1" applyBorder="1" applyAlignment="1">
      <alignment vertical="center"/>
    </xf>
    <xf numFmtId="0" fontId="18" fillId="0" borderId="65" xfId="0" applyFont="1" applyBorder="1" applyAlignment="1">
      <alignment vertical="center" wrapText="1"/>
    </xf>
    <xf numFmtId="0" fontId="18" fillId="0" borderId="40" xfId="0" applyFont="1" applyBorder="1" applyAlignment="1">
      <alignment horizontal="center" vertical="center"/>
    </xf>
    <xf numFmtId="174" fontId="18" fillId="0" borderId="37" xfId="4" applyNumberFormat="1" applyFont="1" applyBorder="1" applyAlignment="1">
      <alignment horizontal="center" vertical="center"/>
    </xf>
    <xf numFmtId="174" fontId="20" fillId="0" borderId="37" xfId="4" applyNumberFormat="1" applyFont="1" applyBorder="1" applyAlignment="1">
      <alignment horizontal="center" vertical="center"/>
    </xf>
    <xf numFmtId="9" fontId="20" fillId="0" borderId="0" xfId="3" applyFont="1" applyAlignment="1">
      <alignment horizontal="right" vertical="center"/>
    </xf>
    <xf numFmtId="166" fontId="31" fillId="0" borderId="0" xfId="0" applyNumberFormat="1" applyFont="1"/>
    <xf numFmtId="174" fontId="22" fillId="0" borderId="37" xfId="0" applyNumberFormat="1" applyFont="1" applyBorder="1"/>
    <xf numFmtId="174" fontId="22" fillId="0" borderId="3" xfId="0" applyNumberFormat="1" applyFont="1" applyBorder="1"/>
    <xf numFmtId="0" fontId="22" fillId="0" borderId="35" xfId="0" applyFont="1" applyBorder="1" applyAlignment="1">
      <alignment vertical="center" wrapText="1"/>
    </xf>
    <xf numFmtId="166" fontId="119" fillId="0" borderId="3" xfId="4" applyNumberFormat="1" applyFont="1" applyFill="1" applyBorder="1" applyAlignment="1">
      <alignment vertical="center"/>
    </xf>
    <xf numFmtId="181" fontId="18" fillId="0" borderId="37" xfId="0" applyNumberFormat="1" applyFont="1" applyBorder="1"/>
    <xf numFmtId="181" fontId="18" fillId="0" borderId="0" xfId="0" applyNumberFormat="1" applyFont="1"/>
    <xf numFmtId="0" fontId="18" fillId="0" borderId="42" xfId="0" applyFont="1" applyBorder="1"/>
    <xf numFmtId="166" fontId="18" fillId="0" borderId="37" xfId="0" applyNumberFormat="1" applyFont="1" applyBorder="1"/>
    <xf numFmtId="9" fontId="18" fillId="0" borderId="37" xfId="0" applyNumberFormat="1" applyFont="1" applyBorder="1"/>
    <xf numFmtId="170" fontId="22" fillId="0" borderId="0" xfId="3" applyNumberFormat="1" applyFont="1"/>
    <xf numFmtId="0" fontId="177" fillId="0" borderId="0" xfId="0" applyFont="1"/>
    <xf numFmtId="0" fontId="176" fillId="0" borderId="0" xfId="0" applyFont="1"/>
    <xf numFmtId="0" fontId="178" fillId="0" borderId="0" xfId="0" applyFont="1"/>
    <xf numFmtId="0" fontId="26" fillId="0" borderId="0" xfId="0" quotePrefix="1" applyFont="1" applyAlignment="1">
      <alignment vertical="center"/>
    </xf>
    <xf numFmtId="0" fontId="22" fillId="0" borderId="37" xfId="0" applyFont="1" applyBorder="1" applyAlignment="1">
      <alignment wrapText="1"/>
    </xf>
    <xf numFmtId="9" fontId="179" fillId="0" borderId="0" xfId="3" applyFont="1" applyAlignment="1">
      <alignment vertical="center"/>
    </xf>
    <xf numFmtId="166" fontId="18" fillId="0" borderId="161" xfId="4" applyNumberFormat="1" applyFont="1" applyFill="1" applyBorder="1" applyAlignment="1">
      <alignment vertical="center" wrapText="1"/>
    </xf>
    <xf numFmtId="0" fontId="18" fillId="0" borderId="9" xfId="0" applyFont="1" applyBorder="1" applyAlignment="1">
      <alignment vertical="center" wrapText="1"/>
    </xf>
    <xf numFmtId="0" fontId="103" fillId="0" borderId="9" xfId="0" applyFont="1" applyBorder="1" applyAlignment="1">
      <alignment vertical="center"/>
    </xf>
    <xf numFmtId="0" fontId="28" fillId="0" borderId="9" xfId="0" applyFont="1" applyBorder="1" applyAlignment="1">
      <alignment vertical="center"/>
    </xf>
    <xf numFmtId="0" fontId="28" fillId="0" borderId="23" xfId="0" quotePrefix="1" applyFont="1" applyBorder="1" applyAlignment="1">
      <alignment horizontal="left" vertical="top" wrapText="1"/>
    </xf>
    <xf numFmtId="0" fontId="28" fillId="0" borderId="21" xfId="0" quotePrefix="1" applyFont="1" applyBorder="1" applyAlignment="1">
      <alignment horizontal="left" vertical="top" wrapText="1"/>
    </xf>
    <xf numFmtId="9" fontId="28" fillId="0" borderId="37" xfId="3" applyFont="1" applyBorder="1" applyAlignment="1">
      <alignment horizontal="left" vertical="center" wrapText="1"/>
    </xf>
    <xf numFmtId="9" fontId="28" fillId="0" borderId="33" xfId="3" applyFont="1" applyBorder="1" applyAlignment="1">
      <alignment horizontal="left" vertical="center" wrapText="1"/>
    </xf>
    <xf numFmtId="0" fontId="28" fillId="0" borderId="37" xfId="0" quotePrefix="1" applyFont="1" applyBorder="1" applyAlignment="1">
      <alignment horizontal="left" vertical="top" wrapText="1"/>
    </xf>
    <xf numFmtId="0" fontId="28" fillId="0" borderId="33" xfId="0" quotePrefix="1" applyFont="1" applyBorder="1" applyAlignment="1">
      <alignment horizontal="left" vertical="top" wrapText="1"/>
    </xf>
    <xf numFmtId="0" fontId="145" fillId="65" borderId="27" xfId="0" applyFont="1" applyFill="1" applyBorder="1" applyAlignment="1">
      <alignment horizontal="left" vertical="center" wrapText="1"/>
    </xf>
    <xf numFmtId="0" fontId="145" fillId="65" borderId="0" xfId="0" applyFont="1" applyFill="1" applyAlignment="1">
      <alignment horizontal="left" vertical="center" wrapText="1"/>
    </xf>
    <xf numFmtId="0" fontId="145" fillId="65" borderId="58" xfId="0" applyFont="1" applyFill="1" applyBorder="1" applyAlignment="1">
      <alignment horizontal="left" vertical="center" wrapText="1"/>
    </xf>
    <xf numFmtId="0" fontId="49" fillId="14" borderId="130" xfId="0" applyFont="1" applyFill="1" applyBorder="1" applyAlignment="1">
      <alignment horizontal="center" vertical="center"/>
    </xf>
    <xf numFmtId="0" fontId="49" fillId="14" borderId="38" xfId="0" applyFont="1" applyFill="1" applyBorder="1" applyAlignment="1">
      <alignment horizontal="center" vertical="center"/>
    </xf>
    <xf numFmtId="0" fontId="18" fillId="0" borderId="46" xfId="0" quotePrefix="1" applyFont="1" applyBorder="1" applyAlignment="1">
      <alignment horizontal="left" vertical="center" wrapText="1"/>
    </xf>
    <xf numFmtId="0" fontId="18" fillId="0" borderId="16" xfId="0" quotePrefix="1" applyFont="1" applyBorder="1" applyAlignment="1">
      <alignment horizontal="left" vertical="center" wrapText="1"/>
    </xf>
    <xf numFmtId="0" fontId="28" fillId="0" borderId="23" xfId="0" applyFont="1" applyBorder="1" applyAlignment="1">
      <alignment horizontal="left" vertical="center"/>
    </xf>
    <xf numFmtId="0" fontId="28" fillId="0" borderId="21" xfId="0" applyFont="1" applyBorder="1" applyAlignment="1">
      <alignment horizontal="left" vertical="center"/>
    </xf>
    <xf numFmtId="0" fontId="28" fillId="0" borderId="37" xfId="0" quotePrefix="1" applyFont="1" applyBorder="1" applyAlignment="1">
      <alignment horizontal="left" vertical="center" wrapText="1"/>
    </xf>
    <xf numFmtId="0" fontId="28" fillId="0" borderId="33" xfId="0" quotePrefix="1" applyFont="1" applyBorder="1" applyAlignment="1">
      <alignment horizontal="left" vertical="center" wrapText="1"/>
    </xf>
    <xf numFmtId="0" fontId="28" fillId="0" borderId="37" xfId="0" applyFont="1" applyBorder="1" applyAlignment="1">
      <alignment horizontal="left" vertical="center"/>
    </xf>
    <xf numFmtId="0" fontId="28" fillId="0" borderId="33" xfId="0" applyFont="1" applyBorder="1" applyAlignment="1">
      <alignment horizontal="left" vertical="center"/>
    </xf>
    <xf numFmtId="0" fontId="50" fillId="14" borderId="46" xfId="0" applyFont="1" applyFill="1" applyBorder="1" applyAlignment="1">
      <alignment horizontal="center" vertical="center"/>
    </xf>
    <xf numFmtId="0" fontId="50" fillId="14" borderId="16" xfId="0" applyFont="1" applyFill="1" applyBorder="1" applyAlignment="1">
      <alignment horizontal="center" vertical="center"/>
    </xf>
    <xf numFmtId="0" fontId="18" fillId="0" borderId="37" xfId="4" applyNumberFormat="1" applyFont="1" applyBorder="1" applyAlignment="1">
      <alignment horizontal="left" vertical="top" wrapText="1"/>
    </xf>
    <xf numFmtId="0" fontId="18" fillId="0" borderId="33" xfId="4" applyNumberFormat="1" applyFont="1" applyBorder="1" applyAlignment="1">
      <alignment horizontal="left" vertical="top" wrapText="1"/>
    </xf>
    <xf numFmtId="0" fontId="18" fillId="0" borderId="23" xfId="4" applyNumberFormat="1" applyFont="1" applyBorder="1" applyAlignment="1">
      <alignment horizontal="left" vertical="top" wrapText="1"/>
    </xf>
    <xf numFmtId="0" fontId="18" fillId="0" borderId="21" xfId="4" applyNumberFormat="1" applyFont="1" applyBorder="1" applyAlignment="1">
      <alignment horizontal="left" vertical="top" wrapText="1"/>
    </xf>
    <xf numFmtId="0" fontId="28" fillId="0" borderId="37" xfId="0" applyFont="1" applyBorder="1" applyAlignment="1">
      <alignment horizontal="left" vertical="center" wrapText="1"/>
    </xf>
    <xf numFmtId="0" fontId="28" fillId="0" borderId="33" xfId="0" applyFont="1" applyBorder="1" applyAlignment="1">
      <alignment horizontal="left" vertical="center" wrapText="1"/>
    </xf>
    <xf numFmtId="0" fontId="53" fillId="12" borderId="0" xfId="0" applyFont="1" applyFill="1" applyAlignment="1">
      <alignment horizontal="left" vertical="center"/>
    </xf>
    <xf numFmtId="0" fontId="21" fillId="0" borderId="37" xfId="0" applyFont="1" applyBorder="1" applyAlignment="1">
      <alignment horizontal="center" vertical="center"/>
    </xf>
    <xf numFmtId="0" fontId="28" fillId="0" borderId="53" xfId="0" quotePrefix="1" applyFont="1" applyBorder="1" applyAlignment="1">
      <alignment horizontal="left" vertical="center" wrapText="1"/>
    </xf>
    <xf numFmtId="0" fontId="28" fillId="0" borderId="41" xfId="0" quotePrefix="1" applyFont="1" applyBorder="1" applyAlignment="1">
      <alignment horizontal="left" vertical="center" wrapText="1"/>
    </xf>
    <xf numFmtId="0" fontId="28" fillId="0" borderId="54" xfId="0" quotePrefix="1" applyFont="1" applyBorder="1" applyAlignment="1">
      <alignment horizontal="left" vertical="center" wrapText="1"/>
    </xf>
    <xf numFmtId="0" fontId="28" fillId="0" borderId="48" xfId="0" quotePrefix="1" applyFont="1" applyBorder="1" applyAlignment="1">
      <alignment horizontal="left" vertical="center" wrapText="1"/>
    </xf>
    <xf numFmtId="0" fontId="26" fillId="0" borderId="37" xfId="0" applyFont="1" applyBorder="1" applyAlignment="1">
      <alignment horizontal="center" vertical="center"/>
    </xf>
    <xf numFmtId="0" fontId="18" fillId="0" borderId="40" xfId="0" quotePrefix="1" applyFont="1" applyBorder="1" applyAlignment="1">
      <alignment horizontal="left" vertical="center"/>
    </xf>
    <xf numFmtId="0" fontId="18" fillId="0" borderId="34" xfId="0" quotePrefix="1" applyFont="1" applyBorder="1" applyAlignment="1">
      <alignment horizontal="left" vertical="center"/>
    </xf>
    <xf numFmtId="166" fontId="26" fillId="0" borderId="40" xfId="4" applyNumberFormat="1" applyFont="1" applyFill="1" applyBorder="1" applyAlignment="1">
      <alignment horizontal="center" vertical="center" wrapText="1"/>
    </xf>
    <xf numFmtId="166" fontId="26" fillId="0" borderId="34" xfId="4" applyNumberFormat="1" applyFont="1" applyFill="1" applyBorder="1" applyAlignment="1">
      <alignment horizontal="center" vertical="center" wrapText="1"/>
    </xf>
    <xf numFmtId="0" fontId="28" fillId="0" borderId="53" xfId="4" quotePrefix="1" applyNumberFormat="1" applyFont="1" applyFill="1" applyBorder="1" applyAlignment="1">
      <alignment horizontal="left" vertical="center" wrapText="1"/>
    </xf>
    <xf numFmtId="0" fontId="28" fillId="0" borderId="41" xfId="4" quotePrefix="1" applyNumberFormat="1" applyFont="1" applyFill="1" applyBorder="1" applyAlignment="1">
      <alignment horizontal="left" vertical="center" wrapText="1"/>
    </xf>
    <xf numFmtId="0" fontId="28" fillId="0" borderId="64" xfId="4" quotePrefix="1" applyNumberFormat="1" applyFont="1" applyFill="1" applyBorder="1" applyAlignment="1">
      <alignment horizontal="left" vertical="center" wrapText="1"/>
    </xf>
    <xf numFmtId="0" fontId="28" fillId="0" borderId="65" xfId="4" quotePrefix="1" applyNumberFormat="1" applyFont="1" applyFill="1" applyBorder="1" applyAlignment="1">
      <alignment horizontal="left" vertical="center" wrapText="1"/>
    </xf>
    <xf numFmtId="0" fontId="28" fillId="0" borderId="54" xfId="4" quotePrefix="1" applyNumberFormat="1" applyFont="1" applyFill="1" applyBorder="1" applyAlignment="1">
      <alignment horizontal="left" vertical="center" wrapText="1"/>
    </xf>
    <xf numFmtId="0" fontId="28" fillId="0" borderId="48" xfId="4" quotePrefix="1" applyNumberFormat="1" applyFont="1" applyFill="1" applyBorder="1" applyAlignment="1">
      <alignment horizontal="left" vertical="center" wrapText="1"/>
    </xf>
    <xf numFmtId="0" fontId="18" fillId="0" borderId="0" xfId="0" applyFont="1" applyAlignment="1">
      <alignment horizontal="left" vertical="center" wrapText="1"/>
    </xf>
    <xf numFmtId="0" fontId="20" fillId="0" borderId="37" xfId="0" applyFont="1" applyBorder="1" applyAlignment="1">
      <alignment horizontal="left" vertical="center"/>
    </xf>
    <xf numFmtId="0" fontId="28" fillId="0" borderId="37" xfId="4" quotePrefix="1" applyNumberFormat="1" applyFont="1" applyFill="1" applyBorder="1" applyAlignment="1">
      <alignment horizontal="left" vertical="center" wrapText="1"/>
    </xf>
    <xf numFmtId="0" fontId="28" fillId="0" borderId="37" xfId="4" quotePrefix="1" applyNumberFormat="1" applyFont="1" applyFill="1" applyBorder="1" applyAlignment="1">
      <alignment horizontal="left" vertical="top" wrapText="1"/>
    </xf>
    <xf numFmtId="0" fontId="128" fillId="0" borderId="37" xfId="0" applyFont="1" applyBorder="1" applyAlignment="1">
      <alignment horizontal="left" vertical="center" wrapText="1"/>
    </xf>
    <xf numFmtId="0" fontId="18" fillId="0" borderId="37" xfId="0" applyFont="1" applyBorder="1" applyAlignment="1">
      <alignment horizontal="left" vertical="center"/>
    </xf>
    <xf numFmtId="0" fontId="18" fillId="0" borderId="37" xfId="0" quotePrefix="1" applyFont="1" applyBorder="1" applyAlignment="1">
      <alignment horizontal="center" vertical="top" wrapText="1"/>
    </xf>
    <xf numFmtId="0" fontId="8" fillId="0" borderId="0" xfId="0" applyFont="1" applyAlignment="1">
      <alignment horizontal="left" vertical="center" wrapText="1"/>
    </xf>
    <xf numFmtId="0" fontId="28" fillId="0" borderId="131" xfId="4" quotePrefix="1" applyNumberFormat="1" applyFont="1" applyFill="1" applyBorder="1" applyAlignment="1">
      <alignment horizontal="left" vertical="center" wrapText="1"/>
    </xf>
    <xf numFmtId="0" fontId="28" fillId="0" borderId="0" xfId="4" quotePrefix="1" applyNumberFormat="1" applyFont="1" applyFill="1" applyBorder="1" applyAlignment="1">
      <alignment horizontal="left" vertical="center" wrapText="1"/>
    </xf>
    <xf numFmtId="0" fontId="28" fillId="0" borderId="105" xfId="4" quotePrefix="1" applyNumberFormat="1" applyFont="1" applyFill="1" applyBorder="1" applyAlignment="1">
      <alignment horizontal="left" vertical="center" wrapText="1"/>
    </xf>
    <xf numFmtId="0" fontId="28" fillId="0" borderId="131" xfId="0" quotePrefix="1" applyFont="1" applyBorder="1" applyAlignment="1">
      <alignment horizontal="left" vertical="center" wrapText="1"/>
    </xf>
    <xf numFmtId="0" fontId="28" fillId="0" borderId="105" xfId="0" quotePrefix="1" applyFont="1" applyBorder="1" applyAlignment="1">
      <alignment horizontal="left" vertical="center" wrapText="1"/>
    </xf>
    <xf numFmtId="0" fontId="126" fillId="0" borderId="37" xfId="0" applyFont="1" applyBorder="1" applyAlignment="1">
      <alignment horizontal="center" vertical="center"/>
    </xf>
    <xf numFmtId="0" fontId="127" fillId="0" borderId="40" xfId="0" applyFont="1" applyBorder="1" applyAlignment="1">
      <alignment horizontal="left" vertical="center" wrapText="1"/>
    </xf>
    <xf numFmtId="0" fontId="127" fillId="0" borderId="34" xfId="0" applyFont="1" applyBorder="1" applyAlignment="1">
      <alignment horizontal="left" vertical="center" wrapText="1"/>
    </xf>
    <xf numFmtId="0" fontId="127" fillId="0" borderId="37" xfId="0" applyFont="1" applyBorder="1" applyAlignment="1">
      <alignment horizontal="left" vertical="center" wrapText="1"/>
    </xf>
    <xf numFmtId="0" fontId="20" fillId="0" borderId="37" xfId="0" applyFont="1" applyBorder="1" applyAlignment="1">
      <alignment horizontal="center" vertical="center"/>
    </xf>
    <xf numFmtId="0" fontId="20" fillId="0" borderId="37" xfId="0" applyFont="1" applyBorder="1" applyAlignment="1">
      <alignment horizontal="left" vertical="center" wrapText="1"/>
    </xf>
    <xf numFmtId="0" fontId="20" fillId="0" borderId="37" xfId="0" applyFont="1" applyBorder="1" applyAlignment="1">
      <alignment horizontal="center" vertical="center" wrapText="1"/>
    </xf>
    <xf numFmtId="166" fontId="26" fillId="0" borderId="37" xfId="4" applyNumberFormat="1" applyFont="1" applyFill="1" applyBorder="1" applyAlignment="1">
      <alignment horizontal="center" vertical="center" wrapText="1"/>
    </xf>
    <xf numFmtId="0" fontId="20" fillId="0" borderId="40" xfId="0" applyFont="1" applyBorder="1" applyAlignment="1">
      <alignment horizontal="left" vertical="center"/>
    </xf>
    <xf numFmtId="0" fontId="20" fillId="0" borderId="34" xfId="0" applyFont="1" applyBorder="1" applyAlignment="1">
      <alignment horizontal="left" vertical="center"/>
    </xf>
    <xf numFmtId="0" fontId="19" fillId="4" borderId="10" xfId="0" applyFont="1" applyFill="1" applyBorder="1" applyAlignment="1">
      <alignment horizontal="center" vertical="center" wrapText="1"/>
    </xf>
    <xf numFmtId="0" fontId="19" fillId="4" borderId="11" xfId="0" applyFont="1" applyFill="1" applyBorder="1" applyAlignment="1">
      <alignment horizontal="center" vertical="center" wrapText="1"/>
    </xf>
    <xf numFmtId="0" fontId="46" fillId="5" borderId="10" xfId="0" applyFont="1" applyFill="1" applyBorder="1" applyAlignment="1">
      <alignment horizontal="center" vertical="center" wrapText="1"/>
    </xf>
    <xf numFmtId="0" fontId="46" fillId="5" borderId="12"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23" fillId="15" borderId="29" xfId="1" applyFont="1" applyFill="1" applyBorder="1" applyAlignment="1">
      <alignment horizontal="center" vertical="center" wrapText="1"/>
    </xf>
    <xf numFmtId="0" fontId="23" fillId="15" borderId="30" xfId="1" applyFont="1" applyFill="1" applyBorder="1" applyAlignment="1">
      <alignment horizontal="center" vertical="center" wrapText="1"/>
    </xf>
    <xf numFmtId="0" fontId="21" fillId="7" borderId="10" xfId="0" applyFont="1" applyFill="1" applyBorder="1" applyAlignment="1">
      <alignment horizontal="center" vertical="center" wrapText="1"/>
    </xf>
    <xf numFmtId="0" fontId="21" fillId="7" borderId="12" xfId="0" applyFont="1" applyFill="1" applyBorder="1" applyAlignment="1">
      <alignment horizontal="center" vertical="center" wrapText="1"/>
    </xf>
    <xf numFmtId="0" fontId="21" fillId="7" borderId="11" xfId="0" applyFont="1" applyFill="1" applyBorder="1" applyAlignment="1">
      <alignment horizontal="center" vertical="center" wrapText="1"/>
    </xf>
    <xf numFmtId="0" fontId="18" fillId="0" borderId="25" xfId="0" quotePrefix="1" applyFont="1" applyBorder="1" applyAlignment="1">
      <alignment horizontal="left" vertical="center" wrapText="1"/>
    </xf>
    <xf numFmtId="0" fontId="18" fillId="0" borderId="31" xfId="0" applyFont="1" applyBorder="1" applyAlignment="1">
      <alignment horizontal="left" vertical="center" wrapText="1"/>
    </xf>
    <xf numFmtId="0" fontId="18" fillId="0" borderId="26" xfId="0" applyFont="1" applyBorder="1" applyAlignment="1">
      <alignment horizontal="left" vertical="center" wrapText="1"/>
    </xf>
    <xf numFmtId="0" fontId="18" fillId="0" borderId="25" xfId="0" applyFont="1" applyBorder="1" applyAlignment="1">
      <alignment horizontal="left" vertical="center" wrapText="1"/>
    </xf>
    <xf numFmtId="0" fontId="18" fillId="0" borderId="17" xfId="0" quotePrefix="1" applyFont="1" applyBorder="1" applyAlignment="1">
      <alignment horizontal="left" vertical="center" wrapText="1"/>
    </xf>
    <xf numFmtId="0" fontId="18" fillId="0" borderId="19" xfId="0" applyFont="1" applyBorder="1" applyAlignment="1">
      <alignment horizontal="left" vertical="center" wrapText="1"/>
    </xf>
    <xf numFmtId="0" fontId="18" fillId="0" borderId="18" xfId="0" applyFont="1" applyBorder="1" applyAlignment="1">
      <alignment horizontal="left" vertical="center" wrapText="1"/>
    </xf>
    <xf numFmtId="0" fontId="27" fillId="0" borderId="25" xfId="0" quotePrefix="1" applyFont="1" applyBorder="1" applyAlignment="1">
      <alignment horizontal="left" vertical="center" wrapText="1"/>
    </xf>
    <xf numFmtId="0" fontId="27" fillId="0" borderId="31" xfId="0" applyFont="1" applyBorder="1" applyAlignment="1">
      <alignment horizontal="left" vertical="center" wrapText="1"/>
    </xf>
    <xf numFmtId="0" fontId="27" fillId="0" borderId="26" xfId="0" applyFont="1" applyBorder="1" applyAlignment="1">
      <alignment horizontal="left" vertical="center" wrapText="1"/>
    </xf>
    <xf numFmtId="0" fontId="18" fillId="0" borderId="29" xfId="0" applyFont="1" applyBorder="1" applyAlignment="1">
      <alignment horizontal="left" vertical="center" wrapText="1"/>
    </xf>
    <xf numFmtId="0" fontId="18" fillId="0" borderId="32" xfId="0" applyFont="1" applyBorder="1" applyAlignment="1">
      <alignment horizontal="left" vertical="center" wrapText="1"/>
    </xf>
    <xf numFmtId="0" fontId="18" fillId="0" borderId="30" xfId="0" applyFont="1" applyBorder="1" applyAlignment="1">
      <alignment horizontal="left" vertical="center" wrapText="1"/>
    </xf>
    <xf numFmtId="0" fontId="22" fillId="0" borderId="1" xfId="0" applyFont="1" applyBorder="1" applyAlignment="1">
      <alignment horizontal="left" vertical="center" wrapText="1"/>
    </xf>
    <xf numFmtId="0" fontId="22" fillId="0" borderId="61" xfId="0" applyFont="1" applyBorder="1" applyAlignment="1">
      <alignment horizontal="left" vertical="center" wrapText="1"/>
    </xf>
    <xf numFmtId="0" fontId="22" fillId="0" borderId="15" xfId="0" applyFont="1" applyBorder="1" applyAlignment="1">
      <alignment horizontal="left" vertical="center"/>
    </xf>
    <xf numFmtId="0" fontId="22" fillId="0" borderId="46" xfId="0" applyFont="1" applyBorder="1" applyAlignment="1">
      <alignment horizontal="left" vertical="center"/>
    </xf>
    <xf numFmtId="0" fontId="22" fillId="0" borderId="22" xfId="0" applyFont="1" applyBorder="1" applyAlignment="1">
      <alignment horizontal="left" vertical="center"/>
    </xf>
    <xf numFmtId="0" fontId="22" fillId="0" borderId="23" xfId="0" applyFont="1" applyBorder="1" applyAlignment="1">
      <alignment horizontal="left" vertical="center"/>
    </xf>
    <xf numFmtId="0" fontId="25" fillId="50" borderId="44" xfId="6" applyFont="1" applyFill="1" applyBorder="1" applyAlignment="1">
      <alignment horizontal="center" vertical="center" wrapText="1"/>
    </xf>
    <xf numFmtId="0" fontId="25" fillId="50" borderId="39" xfId="6" applyFont="1" applyFill="1" applyBorder="1" applyAlignment="1">
      <alignment horizontal="center" vertical="center" wrapText="1"/>
    </xf>
    <xf numFmtId="0" fontId="22" fillId="0" borderId="17" xfId="8" quotePrefix="1" applyFont="1" applyBorder="1" applyAlignment="1">
      <alignment horizontal="left" vertical="top" wrapText="1"/>
    </xf>
    <xf numFmtId="0" fontId="22" fillId="0" borderId="19" xfId="8" quotePrefix="1" applyFont="1" applyBorder="1" applyAlignment="1">
      <alignment horizontal="left" vertical="top" wrapText="1"/>
    </xf>
    <xf numFmtId="0" fontId="22" fillId="0" borderId="18" xfId="8" quotePrefix="1" applyFont="1" applyBorder="1" applyAlignment="1">
      <alignment horizontal="left" vertical="top" wrapText="1"/>
    </xf>
    <xf numFmtId="0" fontId="47" fillId="0" borderId="17" xfId="8" applyFont="1" applyBorder="1" applyAlignment="1">
      <alignment horizontal="left" vertical="center" wrapText="1"/>
    </xf>
    <xf numFmtId="0" fontId="149" fillId="0" borderId="19" xfId="8" applyFont="1" applyBorder="1" applyAlignment="1">
      <alignment horizontal="left" vertical="center" wrapText="1"/>
    </xf>
    <xf numFmtId="0" fontId="149" fillId="0" borderId="18" xfId="8" applyFont="1" applyBorder="1" applyAlignment="1">
      <alignment horizontal="left" vertical="center" wrapText="1"/>
    </xf>
    <xf numFmtId="0" fontId="30" fillId="0" borderId="29" xfId="8" applyFont="1" applyBorder="1" applyAlignment="1">
      <alignment horizontal="left" vertical="center" wrapText="1"/>
    </xf>
    <xf numFmtId="0" fontId="30" fillId="0" borderId="32" xfId="8" applyFont="1" applyBorder="1" applyAlignment="1">
      <alignment horizontal="left" vertical="center" wrapText="1"/>
    </xf>
    <xf numFmtId="0" fontId="30" fillId="0" borderId="30" xfId="8" applyFont="1" applyBorder="1" applyAlignment="1">
      <alignment horizontal="left" vertical="center" wrapText="1"/>
    </xf>
    <xf numFmtId="0" fontId="90" fillId="16" borderId="0" xfId="0" applyFont="1" applyFill="1" applyAlignment="1">
      <alignment horizontal="center" vertical="center"/>
    </xf>
    <xf numFmtId="0" fontId="29" fillId="5" borderId="15" xfId="5" applyFont="1" applyFill="1" applyBorder="1" applyAlignment="1">
      <alignment horizontal="center" vertical="center"/>
    </xf>
    <xf numFmtId="0" fontId="29" fillId="5" borderId="46" xfId="5" applyFont="1" applyFill="1" applyBorder="1" applyAlignment="1">
      <alignment horizontal="center" vertical="center"/>
    </xf>
    <xf numFmtId="0" fontId="29" fillId="5" borderId="16" xfId="5" applyFont="1" applyFill="1" applyBorder="1" applyAlignment="1">
      <alignment horizontal="center" vertical="center"/>
    </xf>
    <xf numFmtId="9" fontId="20" fillId="0" borderId="23" xfId="5" applyNumberFormat="1" applyFont="1" applyBorder="1" applyAlignment="1">
      <alignment horizontal="center" vertical="center"/>
    </xf>
    <xf numFmtId="0" fontId="20" fillId="0" borderId="21" xfId="5" applyFont="1" applyBorder="1" applyAlignment="1">
      <alignment horizontal="center" vertical="center"/>
    </xf>
    <xf numFmtId="0" fontId="64" fillId="0" borderId="44" xfId="5" applyFont="1" applyBorder="1" applyAlignment="1">
      <alignment horizontal="left" vertical="center" wrapText="1"/>
    </xf>
    <xf numFmtId="0" fontId="64" fillId="0" borderId="45" xfId="5" applyFont="1" applyBorder="1" applyAlignment="1">
      <alignment horizontal="left" vertical="center" wrapText="1"/>
    </xf>
    <xf numFmtId="0" fontId="64" fillId="0" borderId="38" xfId="5" applyFont="1" applyBorder="1" applyAlignment="1">
      <alignment horizontal="left" vertical="center" wrapText="1"/>
    </xf>
    <xf numFmtId="0" fontId="64" fillId="0" borderId="39" xfId="5" applyFont="1" applyBorder="1" applyAlignment="1">
      <alignment horizontal="left" vertical="center" wrapText="1"/>
    </xf>
    <xf numFmtId="0" fontId="64" fillId="0" borderId="8" xfId="5" applyFont="1" applyBorder="1" applyAlignment="1">
      <alignment horizontal="left" vertical="center" wrapText="1"/>
    </xf>
    <xf numFmtId="0" fontId="64" fillId="0" borderId="146" xfId="5" applyFont="1" applyBorder="1" applyAlignment="1">
      <alignment horizontal="left" vertical="center" wrapText="1"/>
    </xf>
    <xf numFmtId="0" fontId="68" fillId="22" borderId="58" xfId="5" applyFont="1" applyFill="1" applyBorder="1" applyAlignment="1">
      <alignment horizontal="center" vertical="center" wrapText="1"/>
    </xf>
    <xf numFmtId="0" fontId="68" fillId="22" borderId="59" xfId="5" applyFont="1" applyFill="1" applyBorder="1" applyAlignment="1">
      <alignment horizontal="center" vertical="center" wrapText="1"/>
    </xf>
    <xf numFmtId="0" fontId="14" fillId="0" borderId="37" xfId="5" applyFont="1" applyBorder="1" applyAlignment="1">
      <alignment horizontal="center" vertical="center"/>
    </xf>
    <xf numFmtId="0" fontId="27" fillId="0" borderId="0" xfId="5" quotePrefix="1" applyFont="1" applyAlignment="1">
      <alignment horizontal="left" vertical="center" wrapText="1"/>
    </xf>
    <xf numFmtId="0" fontId="27" fillId="0" borderId="0" xfId="0" applyFont="1" applyAlignment="1">
      <alignment horizontal="left" vertical="center" wrapText="1"/>
    </xf>
    <xf numFmtId="0" fontId="22" fillId="0" borderId="25" xfId="8" quotePrefix="1" applyFont="1" applyBorder="1" applyAlignment="1">
      <alignment horizontal="left" vertical="center" wrapText="1"/>
    </xf>
    <xf numFmtId="0" fontId="22" fillId="0" borderId="31" xfId="8" quotePrefix="1" applyFont="1" applyBorder="1" applyAlignment="1">
      <alignment horizontal="left" vertical="center" wrapText="1"/>
    </xf>
    <xf numFmtId="0" fontId="22" fillId="0" borderId="26" xfId="8" quotePrefix="1" applyFont="1" applyBorder="1" applyAlignment="1">
      <alignment horizontal="left" vertical="center" wrapText="1"/>
    </xf>
    <xf numFmtId="0" fontId="30" fillId="0" borderId="29" xfId="8" applyFont="1" applyBorder="1" applyAlignment="1">
      <alignment horizontal="left" vertical="top" wrapText="1"/>
    </xf>
    <xf numFmtId="0" fontId="30" fillId="0" borderId="32" xfId="8" applyFont="1" applyBorder="1" applyAlignment="1">
      <alignment horizontal="left" vertical="top" wrapText="1"/>
    </xf>
    <xf numFmtId="0" fontId="30" fillId="0" borderId="30" xfId="8" applyFont="1" applyBorder="1" applyAlignment="1">
      <alignment horizontal="left" vertical="top" wrapText="1"/>
    </xf>
    <xf numFmtId="0" fontId="20" fillId="0" borderId="44" xfId="6" applyFont="1" applyBorder="1" applyAlignment="1">
      <alignment horizontal="center" vertical="center" wrapText="1"/>
    </xf>
    <xf numFmtId="0" fontId="20" fillId="0" borderId="27" xfId="6" applyFont="1" applyBorder="1" applyAlignment="1">
      <alignment horizontal="center" vertical="center" wrapText="1"/>
    </xf>
    <xf numFmtId="0" fontId="20" fillId="0" borderId="39" xfId="6" applyFont="1" applyBorder="1" applyAlignment="1">
      <alignment horizontal="center" vertical="center" wrapText="1"/>
    </xf>
    <xf numFmtId="0" fontId="20" fillId="45" borderId="70" xfId="5" applyFont="1" applyFill="1" applyBorder="1" applyAlignment="1">
      <alignment horizontal="center" vertical="center" wrapText="1"/>
    </xf>
    <xf numFmtId="0" fontId="20" fillId="45" borderId="108" xfId="5" applyFont="1" applyFill="1" applyBorder="1" applyAlignment="1">
      <alignment horizontal="center" vertical="center" wrapText="1"/>
    </xf>
    <xf numFmtId="0" fontId="27" fillId="0" borderId="1" xfId="5" applyFont="1" applyBorder="1" applyAlignment="1">
      <alignment horizontal="left" vertical="center" wrapText="1"/>
    </xf>
    <xf numFmtId="0" fontId="27" fillId="0" borderId="2" xfId="5" applyFont="1" applyBorder="1" applyAlignment="1">
      <alignment horizontal="left" vertical="center" wrapText="1"/>
    </xf>
    <xf numFmtId="0" fontId="27" fillId="0" borderId="22" xfId="5" applyFont="1" applyBorder="1" applyAlignment="1">
      <alignment horizontal="left" vertical="center" wrapText="1"/>
    </xf>
    <xf numFmtId="0" fontId="27" fillId="0" borderId="21" xfId="5" applyFont="1" applyBorder="1" applyAlignment="1">
      <alignment horizontal="left" vertical="center" wrapText="1"/>
    </xf>
    <xf numFmtId="0" fontId="27" fillId="0" borderId="35" xfId="5" applyFont="1" applyBorder="1" applyAlignment="1">
      <alignment horizontal="left" vertical="center" wrapText="1"/>
    </xf>
    <xf numFmtId="0" fontId="27" fillId="0" borderId="33" xfId="5" applyFont="1" applyBorder="1" applyAlignment="1">
      <alignment horizontal="left" vertical="center" wrapText="1"/>
    </xf>
    <xf numFmtId="0" fontId="27" fillId="0" borderId="15" xfId="5" applyFont="1" applyBorder="1" applyAlignment="1">
      <alignment horizontal="left" vertical="center" wrapText="1"/>
    </xf>
    <xf numFmtId="0" fontId="27" fillId="0" borderId="16" xfId="5" applyFont="1" applyBorder="1" applyAlignment="1">
      <alignment horizontal="left" vertical="center" wrapText="1"/>
    </xf>
    <xf numFmtId="0" fontId="20" fillId="0" borderId="44" xfId="5" applyFont="1" applyBorder="1" applyAlignment="1">
      <alignment horizontal="center" vertical="center"/>
    </xf>
    <xf numFmtId="0" fontId="20" fillId="0" borderId="27" xfId="5" applyFont="1" applyBorder="1" applyAlignment="1">
      <alignment horizontal="center" vertical="center"/>
    </xf>
    <xf numFmtId="0" fontId="20" fillId="0" borderId="39" xfId="5" applyFont="1" applyBorder="1" applyAlignment="1">
      <alignment horizontal="center" vertical="center"/>
    </xf>
    <xf numFmtId="0" fontId="21" fillId="22" borderId="1" xfId="5" applyFont="1" applyFill="1" applyBorder="1" applyAlignment="1">
      <alignment horizontal="center" vertical="center" wrapText="1"/>
    </xf>
    <xf numFmtId="0" fontId="21" fillId="22" borderId="2" xfId="5" applyFont="1" applyFill="1" applyBorder="1" applyAlignment="1">
      <alignment horizontal="center" vertical="center" wrapText="1"/>
    </xf>
    <xf numFmtId="0" fontId="18" fillId="0" borderId="0" xfId="0" quotePrefix="1" applyFont="1" applyAlignment="1">
      <alignment horizontal="left" vertical="center" wrapText="1"/>
    </xf>
    <xf numFmtId="0" fontId="20" fillId="0" borderId="40" xfId="0" applyFont="1" applyBorder="1" applyAlignment="1">
      <alignment horizontal="center" vertical="center"/>
    </xf>
    <xf numFmtId="0" fontId="20" fillId="0" borderId="31" xfId="0" applyFont="1" applyBorder="1" applyAlignment="1">
      <alignment horizontal="center" vertical="center"/>
    </xf>
    <xf numFmtId="0" fontId="20" fillId="0" borderId="34" xfId="0" applyFont="1" applyBorder="1" applyAlignment="1">
      <alignment horizontal="center" vertical="center"/>
    </xf>
    <xf numFmtId="0" fontId="46" fillId="5" borderId="44"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38" xfId="0" applyFont="1" applyFill="1" applyBorder="1" applyAlignment="1">
      <alignment horizontal="center" vertical="center" wrapText="1"/>
    </xf>
    <xf numFmtId="0" fontId="18" fillId="0" borderId="35" xfId="0" applyFont="1" applyBorder="1" applyAlignment="1">
      <alignment horizontal="center" vertical="center" wrapText="1"/>
    </xf>
    <xf numFmtId="0" fontId="18" fillId="0" borderId="33" xfId="0" applyFont="1" applyBorder="1" applyAlignment="1">
      <alignment horizontal="center" vertical="center" wrapText="1"/>
    </xf>
    <xf numFmtId="0" fontId="23" fillId="62" borderId="22" xfId="1" applyFont="1" applyFill="1" applyBorder="1" applyAlignment="1">
      <alignment horizontal="center" vertical="center" wrapText="1"/>
    </xf>
    <xf numFmtId="0" fontId="23" fillId="62" borderId="21" xfId="1" applyFont="1" applyFill="1" applyBorder="1" applyAlignment="1">
      <alignment horizontal="center" vertical="center" wrapText="1"/>
    </xf>
    <xf numFmtId="0" fontId="20" fillId="7" borderId="10" xfId="0" applyFont="1" applyFill="1" applyBorder="1" applyAlignment="1">
      <alignment horizontal="center" vertical="center" wrapText="1"/>
    </xf>
    <xf numFmtId="0" fontId="20" fillId="7" borderId="12" xfId="0" applyFont="1" applyFill="1" applyBorder="1" applyAlignment="1">
      <alignment horizontal="center" vertical="center" wrapText="1"/>
    </xf>
    <xf numFmtId="0" fontId="20" fillId="7" borderId="11" xfId="0" applyFont="1" applyFill="1" applyBorder="1" applyAlignment="1">
      <alignment horizontal="center" vertical="center" wrapText="1"/>
    </xf>
    <xf numFmtId="0" fontId="27" fillId="0" borderId="89" xfId="8" applyFont="1" applyBorder="1" applyAlignment="1">
      <alignment horizontal="left" vertical="center" wrapText="1"/>
    </xf>
    <xf numFmtId="0" fontId="27" fillId="0" borderId="90" xfId="8" applyFont="1" applyBorder="1" applyAlignment="1">
      <alignment horizontal="left" vertical="center" wrapText="1"/>
    </xf>
    <xf numFmtId="0" fontId="27" fillId="0" borderId="91" xfId="8" applyFont="1" applyBorder="1" applyAlignment="1">
      <alignment horizontal="left" vertical="center" wrapText="1"/>
    </xf>
    <xf numFmtId="0" fontId="18" fillId="0" borderId="25" xfId="8" quotePrefix="1" applyFont="1" applyBorder="1" applyAlignment="1">
      <alignment horizontal="left" vertical="center" wrapText="1"/>
    </xf>
    <xf numFmtId="0" fontId="18" fillId="0" borderId="31" xfId="8" quotePrefix="1" applyFont="1" applyBorder="1" applyAlignment="1">
      <alignment horizontal="left" vertical="center" wrapText="1"/>
    </xf>
    <xf numFmtId="0" fontId="18" fillId="0" borderId="87" xfId="8" quotePrefix="1" applyFont="1" applyBorder="1" applyAlignment="1">
      <alignment horizontal="left" vertical="center" wrapText="1"/>
    </xf>
    <xf numFmtId="0" fontId="18" fillId="0" borderId="83" xfId="8" applyFont="1" applyBorder="1" applyAlignment="1">
      <alignment horizontal="left" vertical="center" wrapText="1"/>
    </xf>
    <xf numFmtId="0" fontId="18" fillId="0" borderId="84" xfId="8" applyFont="1" applyBorder="1" applyAlignment="1">
      <alignment horizontal="left" vertical="center" wrapText="1"/>
    </xf>
    <xf numFmtId="0" fontId="18" fillId="0" borderId="85" xfId="8" applyFont="1" applyBorder="1" applyAlignment="1">
      <alignment horizontal="left" vertical="center" wrapText="1"/>
    </xf>
    <xf numFmtId="0" fontId="27" fillId="0" borderId="23" xfId="5" applyFont="1" applyBorder="1" applyAlignment="1">
      <alignment horizontal="left" vertical="center" wrapText="1"/>
    </xf>
    <xf numFmtId="0" fontId="25" fillId="0" borderId="10" xfId="0" applyFont="1" applyBorder="1" applyAlignment="1">
      <alignment horizontal="center" vertical="center"/>
    </xf>
    <xf numFmtId="0" fontId="25" fillId="0" borderId="12" xfId="0" applyFont="1" applyBorder="1" applyAlignment="1">
      <alignment horizontal="center" vertical="center"/>
    </xf>
    <xf numFmtId="0" fontId="25" fillId="0" borderId="11" xfId="0" applyFont="1" applyBorder="1" applyAlignment="1">
      <alignment horizontal="center" vertical="center"/>
    </xf>
    <xf numFmtId="0" fontId="27" fillId="0" borderId="37" xfId="5" applyFont="1" applyBorder="1" applyAlignment="1">
      <alignment horizontal="left" vertical="center" wrapText="1"/>
    </xf>
    <xf numFmtId="0" fontId="27" fillId="0" borderId="46" xfId="5" applyFont="1" applyBorder="1" applyAlignment="1">
      <alignment horizontal="left" vertical="center" wrapText="1"/>
    </xf>
    <xf numFmtId="0" fontId="27" fillId="37" borderId="23" xfId="5" applyFont="1" applyFill="1" applyBorder="1" applyAlignment="1">
      <alignment horizontal="left" vertical="center"/>
    </xf>
    <xf numFmtId="0" fontId="27" fillId="37" borderId="21" xfId="5" applyFont="1" applyFill="1" applyBorder="1" applyAlignment="1">
      <alignment horizontal="left" vertical="center"/>
    </xf>
    <xf numFmtId="0" fontId="27" fillId="0" borderId="37" xfId="5" quotePrefix="1" applyFont="1" applyBorder="1" applyAlignment="1">
      <alignment horizontal="left" vertical="center" wrapText="1"/>
    </xf>
    <xf numFmtId="0" fontId="27" fillId="0" borderId="33" xfId="5" quotePrefix="1" applyFont="1" applyBorder="1" applyAlignment="1">
      <alignment horizontal="left" vertical="center" wrapText="1"/>
    </xf>
    <xf numFmtId="0" fontId="27" fillId="0" borderId="40" xfId="5" applyFont="1" applyBorder="1" applyAlignment="1">
      <alignment horizontal="left" vertical="center" wrapText="1"/>
    </xf>
    <xf numFmtId="0" fontId="27" fillId="0" borderId="26" xfId="5" applyFont="1" applyBorder="1" applyAlignment="1">
      <alignment horizontal="left" vertical="center" wrapText="1"/>
    </xf>
    <xf numFmtId="0" fontId="27" fillId="0" borderId="31" xfId="5" applyFont="1" applyBorder="1" applyAlignment="1">
      <alignment horizontal="left" vertical="center" wrapText="1"/>
    </xf>
    <xf numFmtId="0" fontId="27" fillId="0" borderId="34" xfId="5" applyFont="1" applyBorder="1" applyAlignment="1">
      <alignment horizontal="left" vertical="center" wrapText="1"/>
    </xf>
    <xf numFmtId="0" fontId="57" fillId="16" borderId="10" xfId="0" applyFont="1" applyFill="1" applyBorder="1" applyAlignment="1">
      <alignment horizontal="center" vertical="center"/>
    </xf>
    <xf numFmtId="0" fontId="57" fillId="16" borderId="12" xfId="0" applyFont="1" applyFill="1" applyBorder="1" applyAlignment="1">
      <alignment horizontal="center" vertical="center"/>
    </xf>
    <xf numFmtId="0" fontId="57" fillId="16" borderId="11" xfId="0" applyFont="1" applyFill="1" applyBorder="1" applyAlignment="1">
      <alignment horizontal="center" vertical="center"/>
    </xf>
    <xf numFmtId="0" fontId="29" fillId="5" borderId="17" xfId="5" applyFont="1" applyFill="1" applyBorder="1" applyAlignment="1">
      <alignment horizontal="center" vertical="center"/>
    </xf>
    <xf numFmtId="0" fontId="29" fillId="5" borderId="19" xfId="5" applyFont="1" applyFill="1" applyBorder="1" applyAlignment="1">
      <alignment horizontal="center" vertical="center"/>
    </xf>
    <xf numFmtId="0" fontId="29" fillId="5" borderId="18" xfId="5" applyFont="1" applyFill="1" applyBorder="1" applyAlignment="1">
      <alignment horizontal="center" vertical="center"/>
    </xf>
    <xf numFmtId="0" fontId="27" fillId="0" borderId="46" xfId="5" quotePrefix="1" applyFont="1" applyBorder="1" applyAlignment="1">
      <alignment horizontal="left" vertical="center" wrapText="1"/>
    </xf>
    <xf numFmtId="0" fontId="27" fillId="0" borderId="16" xfId="5" quotePrefix="1" applyFont="1" applyBorder="1" applyAlignment="1">
      <alignment horizontal="left" vertical="center" wrapText="1"/>
    </xf>
    <xf numFmtId="0" fontId="29" fillId="26" borderId="59" xfId="5" applyFont="1" applyFill="1" applyBorder="1" applyAlignment="1">
      <alignment horizontal="center" vertical="center"/>
    </xf>
    <xf numFmtId="0" fontId="29" fillId="26" borderId="60" xfId="5" applyFont="1" applyFill="1" applyBorder="1" applyAlignment="1">
      <alignment horizontal="center" vertical="center"/>
    </xf>
    <xf numFmtId="0" fontId="21" fillId="29" borderId="66" xfId="5" applyFont="1" applyFill="1" applyBorder="1" applyAlignment="1">
      <alignment horizontal="center" vertical="center"/>
    </xf>
    <xf numFmtId="0" fontId="21" fillId="29" borderId="13" xfId="5" applyFont="1" applyFill="1" applyBorder="1" applyAlignment="1">
      <alignment horizontal="center" vertical="center"/>
    </xf>
    <xf numFmtId="0" fontId="21" fillId="29" borderId="67" xfId="5" applyFont="1" applyFill="1" applyBorder="1" applyAlignment="1">
      <alignment horizontal="center" vertical="center"/>
    </xf>
    <xf numFmtId="0" fontId="21" fillId="28" borderId="66" xfId="6" applyFont="1" applyFill="1" applyBorder="1" applyAlignment="1">
      <alignment horizontal="center" vertical="center" wrapText="1"/>
    </xf>
    <xf numFmtId="0" fontId="21" fillId="28" borderId="13" xfId="6" applyFont="1" applyFill="1" applyBorder="1" applyAlignment="1">
      <alignment horizontal="center" vertical="center" wrapText="1"/>
    </xf>
    <xf numFmtId="0" fontId="21" fillId="28" borderId="67" xfId="6" applyFont="1" applyFill="1" applyBorder="1" applyAlignment="1">
      <alignment horizontal="center" vertical="center" wrapText="1"/>
    </xf>
    <xf numFmtId="0" fontId="18" fillId="0" borderId="37" xfId="0" applyFont="1" applyBorder="1" applyAlignment="1">
      <alignment horizontal="left" vertical="center" wrapText="1"/>
    </xf>
    <xf numFmtId="1" fontId="18" fillId="0" borderId="37" xfId="0" applyNumberFormat="1" applyFont="1" applyBorder="1" applyAlignment="1">
      <alignment horizontal="center" vertical="center"/>
    </xf>
    <xf numFmtId="0" fontId="154" fillId="0" borderId="37" xfId="0" applyFont="1" applyBorder="1" applyAlignment="1">
      <alignment horizontal="center" vertical="center"/>
    </xf>
    <xf numFmtId="0" fontId="105" fillId="0" borderId="37" xfId="0" applyFont="1" applyBorder="1" applyAlignment="1">
      <alignment horizontal="center" vertical="center"/>
    </xf>
    <xf numFmtId="0" fontId="105" fillId="0" borderId="42" xfId="0" applyFont="1" applyBorder="1" applyAlignment="1">
      <alignment horizontal="center" vertical="center"/>
    </xf>
    <xf numFmtId="0" fontId="105" fillId="0" borderId="43" xfId="0" applyFont="1" applyBorder="1" applyAlignment="1">
      <alignment horizontal="center" vertical="center"/>
    </xf>
    <xf numFmtId="0" fontId="105" fillId="0" borderId="3" xfId="0" applyFont="1" applyBorder="1" applyAlignment="1">
      <alignment horizontal="center" vertical="center"/>
    </xf>
    <xf numFmtId="0" fontId="18" fillId="0" borderId="0" xfId="0" applyFont="1" applyAlignment="1">
      <alignment horizontal="left" vertical="top" wrapText="1"/>
    </xf>
    <xf numFmtId="0" fontId="32" fillId="0" borderId="37" xfId="0" applyFont="1" applyBorder="1" applyAlignment="1">
      <alignment horizontal="left" vertical="center" wrapText="1"/>
    </xf>
    <xf numFmtId="0" fontId="28" fillId="0" borderId="42" xfId="0" quotePrefix="1" applyFont="1" applyBorder="1" applyAlignment="1">
      <alignment horizontal="center" vertical="center" wrapText="1"/>
    </xf>
    <xf numFmtId="0" fontId="28" fillId="0" borderId="43" xfId="0" quotePrefix="1" applyFont="1" applyBorder="1" applyAlignment="1">
      <alignment horizontal="center" vertical="center" wrapText="1"/>
    </xf>
    <xf numFmtId="0" fontId="28" fillId="0" borderId="3" xfId="0" quotePrefix="1" applyFont="1" applyBorder="1" applyAlignment="1">
      <alignment horizontal="center" vertical="center" wrapText="1"/>
    </xf>
    <xf numFmtId="2" fontId="28" fillId="0" borderId="37" xfId="0" quotePrefix="1" applyNumberFormat="1" applyFont="1" applyBorder="1" applyAlignment="1">
      <alignment horizontal="left" vertical="center" wrapText="1"/>
    </xf>
    <xf numFmtId="0" fontId="28" fillId="0" borderId="40" xfId="0" quotePrefix="1" applyFont="1" applyBorder="1" applyAlignment="1">
      <alignment horizontal="left" vertical="center" wrapText="1"/>
    </xf>
    <xf numFmtId="0" fontId="28" fillId="0" borderId="31" xfId="0" quotePrefix="1" applyFont="1" applyBorder="1" applyAlignment="1">
      <alignment horizontal="left" vertical="center" wrapText="1"/>
    </xf>
    <xf numFmtId="0" fontId="28" fillId="0" borderId="34" xfId="0" quotePrefix="1" applyFont="1" applyBorder="1" applyAlignment="1">
      <alignment horizontal="left" vertical="center" wrapText="1"/>
    </xf>
    <xf numFmtId="1" fontId="12" fillId="43" borderId="121" xfId="0" applyNumberFormat="1" applyFont="1" applyFill="1" applyBorder="1" applyAlignment="1">
      <alignment horizontal="center" vertical="center" wrapText="1"/>
    </xf>
    <xf numFmtId="1" fontId="12" fillId="43" borderId="96" xfId="0" applyNumberFormat="1" applyFont="1" applyFill="1" applyBorder="1" applyAlignment="1">
      <alignment horizontal="center" vertical="center" wrapText="1"/>
    </xf>
    <xf numFmtId="0" fontId="28" fillId="0" borderId="37" xfId="0" quotePrefix="1" applyFont="1" applyBorder="1" applyAlignment="1">
      <alignment horizontal="center" vertical="center" wrapText="1"/>
    </xf>
    <xf numFmtId="0" fontId="42" fillId="0" borderId="37" xfId="0" quotePrefix="1" applyFont="1" applyBorder="1" applyAlignment="1">
      <alignment horizontal="left" vertical="center" wrapText="1"/>
    </xf>
    <xf numFmtId="0" fontId="42" fillId="0" borderId="37" xfId="0" applyFont="1" applyBorder="1" applyAlignment="1">
      <alignment horizontal="left" vertical="center" wrapText="1"/>
    </xf>
    <xf numFmtId="0" fontId="32" fillId="0" borderId="0" xfId="0" applyFont="1" applyAlignment="1">
      <alignment horizontal="left" vertical="top" wrapText="1"/>
    </xf>
    <xf numFmtId="0" fontId="37" fillId="0" borderId="37" xfId="0" applyFont="1" applyBorder="1" applyAlignment="1">
      <alignment horizontal="center" vertical="center"/>
    </xf>
    <xf numFmtId="0" fontId="38" fillId="0" borderId="37" xfId="0" applyFont="1" applyBorder="1" applyAlignment="1">
      <alignment horizontal="left" vertical="center"/>
    </xf>
    <xf numFmtId="2" fontId="28" fillId="0" borderId="40" xfId="0" quotePrefix="1" applyNumberFormat="1" applyFont="1" applyBorder="1" applyAlignment="1">
      <alignment horizontal="left" vertical="center" wrapText="1"/>
    </xf>
    <xf numFmtId="2" fontId="28" fillId="0" borderId="31" xfId="0" quotePrefix="1" applyNumberFormat="1" applyFont="1" applyBorder="1" applyAlignment="1">
      <alignment horizontal="left" vertical="center" wrapText="1"/>
    </xf>
    <xf numFmtId="2" fontId="28" fillId="0" borderId="34" xfId="0" quotePrefix="1" applyNumberFormat="1" applyFont="1" applyBorder="1" applyAlignment="1">
      <alignment horizontal="left" vertical="center" wrapText="1"/>
    </xf>
    <xf numFmtId="0" fontId="56" fillId="0" borderId="37" xfId="0" quotePrefix="1" applyFont="1" applyBorder="1" applyAlignment="1">
      <alignment horizontal="left" vertical="top" wrapText="1"/>
    </xf>
    <xf numFmtId="0" fontId="29" fillId="5" borderId="44" xfId="0" applyFont="1" applyFill="1" applyBorder="1" applyAlignment="1">
      <alignment horizontal="center" vertical="center" wrapText="1"/>
    </xf>
    <xf numFmtId="0" fontId="29" fillId="5" borderId="45" xfId="0" applyFont="1" applyFill="1" applyBorder="1" applyAlignment="1">
      <alignment horizontal="center" vertical="center" wrapText="1"/>
    </xf>
    <xf numFmtId="0" fontId="29" fillId="5" borderId="38" xfId="0" applyFont="1" applyFill="1" applyBorder="1" applyAlignment="1">
      <alignment horizontal="center" vertical="center" wrapText="1"/>
    </xf>
    <xf numFmtId="0" fontId="18" fillId="0" borderId="25" xfId="0" applyFont="1" applyBorder="1" applyAlignment="1">
      <alignment horizontal="center" vertical="center"/>
    </xf>
    <xf numFmtId="0" fontId="18" fillId="0" borderId="26" xfId="0" applyFont="1" applyBorder="1" applyAlignment="1">
      <alignment horizontal="center" vertical="center"/>
    </xf>
    <xf numFmtId="0" fontId="21" fillId="0" borderId="117" xfId="7" applyFont="1" applyBorder="1" applyAlignment="1">
      <alignment horizontal="center" vertical="center" wrapText="1"/>
    </xf>
    <xf numFmtId="0" fontId="21" fillId="0" borderId="138" xfId="7" applyFont="1" applyBorder="1" applyAlignment="1">
      <alignment horizontal="center" vertical="center" wrapText="1"/>
    </xf>
    <xf numFmtId="0" fontId="21" fillId="0" borderId="141" xfId="7" applyFont="1" applyBorder="1" applyAlignment="1">
      <alignment horizontal="center" vertical="center" wrapText="1"/>
    </xf>
    <xf numFmtId="0" fontId="23" fillId="10" borderId="23" xfId="1" applyFont="1" applyFill="1" applyBorder="1" applyAlignment="1">
      <alignment horizontal="center" vertical="center" wrapText="1"/>
    </xf>
    <xf numFmtId="0" fontId="23" fillId="10" borderId="21" xfId="1" applyFont="1" applyFill="1" applyBorder="1" applyAlignment="1">
      <alignment horizontal="center" vertical="center" wrapText="1"/>
    </xf>
    <xf numFmtId="0" fontId="27" fillId="0" borderId="25" xfId="0" applyFont="1" applyBorder="1" applyAlignment="1">
      <alignment horizontal="left" vertical="center" wrapText="1"/>
    </xf>
    <xf numFmtId="0" fontId="42" fillId="0" borderId="37" xfId="0" quotePrefix="1" applyFont="1" applyBorder="1" applyAlignment="1">
      <alignment horizontal="center" vertical="center" wrapText="1"/>
    </xf>
    <xf numFmtId="0" fontId="42" fillId="0" borderId="37" xfId="0" applyFont="1" applyBorder="1" applyAlignment="1">
      <alignment horizontal="center" vertical="center" wrapText="1"/>
    </xf>
    <xf numFmtId="0" fontId="42" fillId="0" borderId="37" xfId="0" quotePrefix="1" applyFont="1" applyBorder="1" applyAlignment="1">
      <alignment horizontal="center" vertical="center"/>
    </xf>
    <xf numFmtId="0" fontId="42" fillId="0" borderId="37" xfId="0" applyFont="1" applyBorder="1" applyAlignment="1">
      <alignment horizontal="center" vertical="center"/>
    </xf>
    <xf numFmtId="0" fontId="18" fillId="0" borderId="105" xfId="0" applyFont="1" applyBorder="1" applyAlignment="1">
      <alignment horizontal="left" vertical="top" wrapText="1"/>
    </xf>
    <xf numFmtId="0" fontId="18" fillId="0" borderId="42" xfId="0" quotePrefix="1" applyFont="1" applyBorder="1" applyAlignment="1">
      <alignment horizontal="center" vertical="center"/>
    </xf>
    <xf numFmtId="0" fontId="18" fillId="0" borderId="43" xfId="0" quotePrefix="1" applyFont="1" applyBorder="1" applyAlignment="1">
      <alignment horizontal="center" vertical="center"/>
    </xf>
    <xf numFmtId="0" fontId="18" fillId="0" borderId="3" xfId="0" quotePrefix="1" applyFont="1" applyBorder="1" applyAlignment="1">
      <alignment horizontal="center" vertical="center"/>
    </xf>
    <xf numFmtId="0" fontId="98" fillId="0" borderId="10" xfId="0" applyFont="1" applyBorder="1" applyAlignment="1">
      <alignment horizontal="center" vertical="center"/>
    </xf>
    <xf numFmtId="0" fontId="98" fillId="0" borderId="12" xfId="0" applyFont="1" applyBorder="1" applyAlignment="1">
      <alignment horizontal="center" vertical="center"/>
    </xf>
    <xf numFmtId="0" fontId="98" fillId="0" borderId="11" xfId="0" applyFont="1" applyBorder="1" applyAlignment="1">
      <alignment horizontal="center" vertical="center"/>
    </xf>
    <xf numFmtId="0" fontId="21" fillId="20" borderId="40" xfId="0" quotePrefix="1" applyFont="1" applyFill="1" applyBorder="1" applyAlignment="1">
      <alignment horizontal="center" vertical="center"/>
    </xf>
    <xf numFmtId="0" fontId="21" fillId="20" borderId="34" xfId="0" quotePrefix="1" applyFont="1" applyFill="1" applyBorder="1" applyAlignment="1">
      <alignment horizontal="center" vertical="center"/>
    </xf>
    <xf numFmtId="0" fontId="21" fillId="0" borderId="116" xfId="7" applyFont="1" applyBorder="1" applyAlignment="1">
      <alignment horizontal="center" vertical="center" wrapText="1"/>
    </xf>
    <xf numFmtId="0" fontId="21" fillId="0" borderId="152" xfId="7" applyFont="1" applyBorder="1" applyAlignment="1">
      <alignment horizontal="center" vertical="center" wrapText="1"/>
    </xf>
    <xf numFmtId="0" fontId="21" fillId="0" borderId="144" xfId="7" applyFont="1" applyBorder="1" applyAlignment="1">
      <alignment horizontal="center" vertical="center" wrapText="1"/>
    </xf>
    <xf numFmtId="0" fontId="110" fillId="0" borderId="0" xfId="0" applyFont="1" applyAlignment="1">
      <alignment horizontal="left" vertical="center" wrapText="1"/>
    </xf>
    <xf numFmtId="0" fontId="62" fillId="5" borderId="1" xfId="5" applyFont="1" applyFill="1" applyBorder="1" applyAlignment="1">
      <alignment horizontal="center" vertical="center"/>
    </xf>
    <xf numFmtId="0" fontId="62" fillId="5" borderId="61" xfId="5" applyFont="1" applyFill="1" applyBorder="1" applyAlignment="1">
      <alignment horizontal="center" vertical="center"/>
    </xf>
    <xf numFmtId="0" fontId="62" fillId="5" borderId="2" xfId="5" applyFont="1" applyFill="1" applyBorder="1" applyAlignment="1">
      <alignment horizontal="center" vertical="center"/>
    </xf>
    <xf numFmtId="1" fontId="14" fillId="0" borderId="111" xfId="5" applyNumberFormat="1" applyFont="1" applyBorder="1" applyAlignment="1">
      <alignment horizontal="center" vertical="center" wrapText="1"/>
    </xf>
    <xf numFmtId="1" fontId="14" fillId="0" borderId="110" xfId="5" applyNumberFormat="1" applyFont="1" applyBorder="1" applyAlignment="1">
      <alignment horizontal="center" vertical="center" wrapText="1"/>
    </xf>
    <xf numFmtId="1" fontId="14" fillId="0" borderId="15" xfId="5" applyNumberFormat="1" applyFont="1" applyBorder="1" applyAlignment="1">
      <alignment horizontal="center" vertical="center" wrapText="1"/>
    </xf>
    <xf numFmtId="1" fontId="14" fillId="0" borderId="16" xfId="5" applyNumberFormat="1" applyFont="1" applyBorder="1" applyAlignment="1">
      <alignment horizontal="center" vertical="center" wrapText="1"/>
    </xf>
    <xf numFmtId="9" fontId="20" fillId="0" borderId="36" xfId="5" applyNumberFormat="1" applyFont="1" applyBorder="1" applyAlignment="1">
      <alignment horizontal="center" vertical="center"/>
    </xf>
    <xf numFmtId="9" fontId="20" fillId="0" borderId="22" xfId="5" applyNumberFormat="1" applyFont="1" applyBorder="1" applyAlignment="1">
      <alignment horizontal="center" vertical="center"/>
    </xf>
    <xf numFmtId="9" fontId="20" fillId="0" borderId="21" xfId="5" applyNumberFormat="1" applyFont="1" applyBorder="1" applyAlignment="1">
      <alignment horizontal="center" vertical="center"/>
    </xf>
    <xf numFmtId="0" fontId="62" fillId="23" borderId="10" xfId="5" applyFont="1" applyFill="1" applyBorder="1" applyAlignment="1">
      <alignment horizontal="center" vertical="center" wrapText="1"/>
    </xf>
    <xf numFmtId="0" fontId="62" fillId="23" borderId="11" xfId="5" applyFont="1" applyFill="1" applyBorder="1" applyAlignment="1">
      <alignment horizontal="center" vertical="center" wrapText="1"/>
    </xf>
    <xf numFmtId="0" fontId="60" fillId="38" borderId="10" xfId="5" applyFont="1" applyFill="1" applyBorder="1" applyAlignment="1">
      <alignment horizontal="center" vertical="center"/>
    </xf>
    <xf numFmtId="0" fontId="60" fillId="38" borderId="12" xfId="5" applyFont="1" applyFill="1" applyBorder="1" applyAlignment="1">
      <alignment horizontal="center" vertical="center"/>
    </xf>
    <xf numFmtId="0" fontId="60" fillId="38" borderId="11" xfId="5" applyFont="1" applyFill="1" applyBorder="1" applyAlignment="1">
      <alignment horizontal="center" vertical="center"/>
    </xf>
    <xf numFmtId="1" fontId="12" fillId="43" borderId="144" xfId="0" applyNumberFormat="1" applyFont="1" applyFill="1" applyBorder="1" applyAlignment="1">
      <alignment horizontal="center" vertical="center" wrapText="1"/>
    </xf>
    <xf numFmtId="1" fontId="12" fillId="43" borderId="95" xfId="0" applyNumberFormat="1" applyFont="1" applyFill="1" applyBorder="1" applyAlignment="1">
      <alignment horizontal="center" vertical="center" wrapText="1"/>
    </xf>
    <xf numFmtId="1" fontId="12" fillId="43" borderId="152" xfId="0" applyNumberFormat="1" applyFont="1" applyFill="1" applyBorder="1" applyAlignment="1">
      <alignment horizontal="center" vertical="center" wrapText="1"/>
    </xf>
    <xf numFmtId="1" fontId="12" fillId="43" borderId="154" xfId="0" applyNumberFormat="1" applyFont="1" applyFill="1" applyBorder="1" applyAlignment="1">
      <alignment horizontal="center" vertical="center" wrapText="1"/>
    </xf>
    <xf numFmtId="0" fontId="60" fillId="43" borderId="10" xfId="5" applyFont="1" applyFill="1" applyBorder="1" applyAlignment="1">
      <alignment horizontal="center" vertical="center"/>
    </xf>
    <xf numFmtId="0" fontId="60" fillId="43" borderId="12" xfId="5" applyFont="1" applyFill="1" applyBorder="1" applyAlignment="1">
      <alignment horizontal="center" vertical="center"/>
    </xf>
    <xf numFmtId="0" fontId="60" fillId="43" borderId="11" xfId="5" applyFont="1" applyFill="1" applyBorder="1" applyAlignment="1">
      <alignment horizontal="center" vertical="center"/>
    </xf>
    <xf numFmtId="0" fontId="21" fillId="20" borderId="31" xfId="0" quotePrefix="1" applyFont="1" applyFill="1" applyBorder="1" applyAlignment="1">
      <alignment horizontal="center" vertical="center"/>
    </xf>
    <xf numFmtId="0" fontId="10" fillId="0" borderId="42"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center"/>
    </xf>
    <xf numFmtId="0" fontId="10" fillId="0" borderId="24" xfId="0" applyFont="1" applyBorder="1" applyAlignment="1">
      <alignment horizontal="left" vertical="center"/>
    </xf>
    <xf numFmtId="0" fontId="10" fillId="0" borderId="28" xfId="0" applyFont="1" applyBorder="1" applyAlignment="1">
      <alignment horizontal="left" vertical="center"/>
    </xf>
    <xf numFmtId="0" fontId="10" fillId="0" borderId="52" xfId="0" applyFont="1" applyBorder="1" applyAlignment="1">
      <alignment horizontal="left" vertical="center"/>
    </xf>
    <xf numFmtId="0" fontId="8" fillId="0" borderId="37" xfId="0" applyFont="1" applyBorder="1" applyAlignment="1">
      <alignment horizontal="center" vertical="center"/>
    </xf>
    <xf numFmtId="0" fontId="0" fillId="0" borderId="37" xfId="0" applyBorder="1" applyAlignment="1">
      <alignment horizontal="center" vertical="center"/>
    </xf>
    <xf numFmtId="0" fontId="10" fillId="0" borderId="37" xfId="0" applyFont="1" applyBorder="1" applyAlignment="1">
      <alignment horizontal="center" vertical="center" wrapText="1"/>
    </xf>
    <xf numFmtId="0" fontId="8" fillId="0" borderId="37" xfId="0" applyFont="1" applyBorder="1" applyAlignment="1">
      <alignment horizontal="left" vertical="center"/>
    </xf>
    <xf numFmtId="0" fontId="0" fillId="0" borderId="37" xfId="0" applyBorder="1" applyAlignment="1">
      <alignment horizontal="left" vertical="center"/>
    </xf>
    <xf numFmtId="0" fontId="20" fillId="0" borderId="14" xfId="0" applyFont="1" applyBorder="1" applyAlignment="1">
      <alignment horizontal="left" vertical="center"/>
    </xf>
    <xf numFmtId="0" fontId="20" fillId="0" borderId="24" xfId="0" applyFont="1" applyBorder="1" applyAlignment="1">
      <alignment horizontal="left" vertical="center"/>
    </xf>
    <xf numFmtId="0" fontId="20" fillId="0" borderId="28" xfId="0" applyFont="1" applyBorder="1" applyAlignment="1">
      <alignment horizontal="left" vertical="center"/>
    </xf>
    <xf numFmtId="0" fontId="20" fillId="0" borderId="52" xfId="0" applyFont="1" applyBorder="1" applyAlignment="1">
      <alignment horizontal="left" vertical="center"/>
    </xf>
    <xf numFmtId="0" fontId="21" fillId="0" borderId="17" xfId="7" applyFont="1" applyBorder="1" applyAlignment="1">
      <alignment horizontal="left" vertical="center" wrapText="1"/>
    </xf>
    <xf numFmtId="0" fontId="21" fillId="0" borderId="25" xfId="7" applyFont="1" applyBorder="1" applyAlignment="1">
      <alignment horizontal="left" vertical="center" wrapText="1"/>
    </xf>
    <xf numFmtId="0" fontId="21" fillId="0" borderId="29" xfId="7" applyFont="1" applyBorder="1" applyAlignment="1">
      <alignment horizontal="left" vertical="center" wrapText="1"/>
    </xf>
    <xf numFmtId="0" fontId="21" fillId="0" borderId="44" xfId="7" applyFont="1" applyBorder="1" applyAlignment="1">
      <alignment horizontal="left" vertical="center" wrapText="1"/>
    </xf>
    <xf numFmtId="0" fontId="21" fillId="0" borderId="39" xfId="7" applyFont="1" applyBorder="1" applyAlignment="1">
      <alignment horizontal="left" vertical="center" wrapText="1"/>
    </xf>
    <xf numFmtId="0" fontId="21" fillId="39" borderId="1" xfId="5" applyFont="1" applyFill="1" applyBorder="1" applyAlignment="1">
      <alignment horizontal="left" vertical="center" wrapText="1"/>
    </xf>
    <xf numFmtId="0" fontId="21" fillId="39" borderId="62" xfId="5" applyFont="1" applyFill="1" applyBorder="1" applyAlignment="1">
      <alignment horizontal="left" vertical="center" wrapText="1"/>
    </xf>
    <xf numFmtId="0" fontId="19" fillId="9" borderId="10" xfId="0" applyFont="1" applyFill="1" applyBorder="1" applyAlignment="1">
      <alignment horizontal="center" vertical="center" wrapText="1"/>
    </xf>
    <xf numFmtId="0" fontId="19" fillId="9" borderId="11" xfId="0" applyFont="1" applyFill="1" applyBorder="1" applyAlignment="1">
      <alignment horizontal="center" vertical="center" wrapText="1"/>
    </xf>
    <xf numFmtId="0" fontId="23" fillId="67" borderId="29" xfId="1" applyFont="1" applyFill="1" applyBorder="1" applyAlignment="1">
      <alignment horizontal="center" vertical="center" wrapText="1"/>
    </xf>
    <xf numFmtId="0" fontId="23" fillId="67" borderId="30" xfId="1" applyFont="1" applyFill="1" applyBorder="1" applyAlignment="1">
      <alignment horizontal="center" vertical="center" wrapText="1"/>
    </xf>
    <xf numFmtId="0" fontId="21" fillId="0" borderId="37" xfId="0" applyFont="1" applyBorder="1" applyAlignment="1">
      <alignment horizontal="center" vertical="center" wrapText="1"/>
    </xf>
    <xf numFmtId="0" fontId="22" fillId="0" borderId="0" xfId="0" applyFont="1" applyAlignment="1">
      <alignment horizontal="left" vertical="top" wrapText="1"/>
    </xf>
    <xf numFmtId="0" fontId="22" fillId="0" borderId="0" xfId="0" applyFont="1" applyAlignment="1">
      <alignment horizontal="left" vertical="center" wrapText="1"/>
    </xf>
    <xf numFmtId="0" fontId="21" fillId="21" borderId="66" xfId="7" applyFont="1" applyFill="1" applyBorder="1" applyAlignment="1">
      <alignment horizontal="center" vertical="center" wrapText="1"/>
    </xf>
    <xf numFmtId="0" fontId="21" fillId="21" borderId="13" xfId="7" applyFont="1" applyFill="1" applyBorder="1" applyAlignment="1">
      <alignment horizontal="center" vertical="center" wrapText="1"/>
    </xf>
    <xf numFmtId="0" fontId="62" fillId="23" borderId="8" xfId="5" applyFont="1" applyFill="1" applyBorder="1" applyAlignment="1">
      <alignment horizontal="center" vertical="center" wrapText="1"/>
    </xf>
    <xf numFmtId="0" fontId="47" fillId="0" borderId="0" xfId="0" applyFont="1" applyAlignment="1">
      <alignment horizontal="left" vertical="center" wrapText="1"/>
    </xf>
    <xf numFmtId="0" fontId="25" fillId="0" borderId="37" xfId="0" applyFont="1" applyBorder="1" applyAlignment="1">
      <alignment horizontal="center" vertical="center" wrapText="1"/>
    </xf>
    <xf numFmtId="0" fontId="25" fillId="20" borderId="63" xfId="0" quotePrefix="1" applyFont="1" applyFill="1" applyBorder="1" applyAlignment="1">
      <alignment horizontal="center" vertical="center"/>
    </xf>
    <xf numFmtId="0" fontId="25" fillId="20" borderId="61" xfId="0" quotePrefix="1" applyFont="1" applyFill="1" applyBorder="1" applyAlignment="1">
      <alignment horizontal="center" vertical="center"/>
    </xf>
    <xf numFmtId="0" fontId="25" fillId="20" borderId="62" xfId="0" quotePrefix="1" applyFont="1" applyFill="1" applyBorder="1" applyAlignment="1">
      <alignment horizontal="center" vertical="center"/>
    </xf>
    <xf numFmtId="0" fontId="25" fillId="20" borderId="1" xfId="0" quotePrefix="1" applyFont="1" applyFill="1" applyBorder="1" applyAlignment="1">
      <alignment horizontal="center" vertical="center"/>
    </xf>
    <xf numFmtId="0" fontId="25" fillId="20" borderId="2" xfId="0" quotePrefix="1" applyFont="1" applyFill="1" applyBorder="1" applyAlignment="1">
      <alignment horizontal="center" vertical="center"/>
    </xf>
    <xf numFmtId="0" fontId="21" fillId="0" borderId="45" xfId="0" applyFont="1" applyBorder="1" applyAlignment="1">
      <alignment horizontal="center" vertical="center"/>
    </xf>
    <xf numFmtId="0" fontId="21" fillId="0" borderId="38" xfId="0" applyFont="1" applyBorder="1" applyAlignment="1">
      <alignment horizontal="center" vertical="center"/>
    </xf>
    <xf numFmtId="0" fontId="25" fillId="20" borderId="10" xfId="0" quotePrefix="1" applyFont="1" applyFill="1" applyBorder="1" applyAlignment="1">
      <alignment horizontal="center" vertical="center"/>
    </xf>
    <xf numFmtId="0" fontId="25" fillId="20" borderId="12" xfId="0" quotePrefix="1" applyFont="1" applyFill="1" applyBorder="1" applyAlignment="1">
      <alignment horizontal="center" vertical="center"/>
    </xf>
    <xf numFmtId="0" fontId="25" fillId="20" borderId="11" xfId="0" quotePrefix="1" applyFont="1" applyFill="1" applyBorder="1" applyAlignment="1">
      <alignment horizontal="center" vertical="center"/>
    </xf>
    <xf numFmtId="0" fontId="60" fillId="38" borderId="44" xfId="5" applyFont="1" applyFill="1" applyBorder="1" applyAlignment="1">
      <alignment horizontal="center" vertical="center"/>
    </xf>
    <xf numFmtId="0" fontId="60" fillId="38" borderId="45" xfId="5" applyFont="1" applyFill="1" applyBorder="1" applyAlignment="1">
      <alignment horizontal="center" vertical="center"/>
    </xf>
    <xf numFmtId="0" fontId="60" fillId="38" borderId="38" xfId="5" applyFont="1" applyFill="1" applyBorder="1" applyAlignment="1">
      <alignment horizontal="center" vertical="center"/>
    </xf>
    <xf numFmtId="0" fontId="21" fillId="20" borderId="66" xfId="7" applyFont="1" applyFill="1" applyBorder="1" applyAlignment="1">
      <alignment horizontal="center" vertical="center" wrapText="1"/>
    </xf>
    <xf numFmtId="0" fontId="21" fillId="20" borderId="13" xfId="7" applyFont="1" applyFill="1" applyBorder="1" applyAlignment="1">
      <alignment horizontal="center" vertical="center" wrapText="1"/>
    </xf>
    <xf numFmtId="0" fontId="21" fillId="19" borderId="66" xfId="7" applyFont="1" applyFill="1" applyBorder="1" applyAlignment="1">
      <alignment horizontal="center" vertical="center" wrapText="1"/>
    </xf>
    <xf numFmtId="0" fontId="21" fillId="19" borderId="67" xfId="7" applyFont="1" applyFill="1" applyBorder="1" applyAlignment="1">
      <alignment horizontal="center" vertical="center" wrapText="1"/>
    </xf>
    <xf numFmtId="0" fontId="18" fillId="0" borderId="37" xfId="0" applyFont="1" applyBorder="1" applyAlignment="1">
      <alignment horizontal="center" vertical="center"/>
    </xf>
    <xf numFmtId="0" fontId="18" fillId="0" borderId="42" xfId="0" applyFont="1" applyBorder="1" applyAlignment="1">
      <alignment horizontal="center" vertical="center"/>
    </xf>
    <xf numFmtId="0" fontId="18" fillId="0" borderId="3" xfId="0" applyFont="1" applyBorder="1" applyAlignment="1">
      <alignment horizontal="center" vertical="center"/>
    </xf>
    <xf numFmtId="0" fontId="19" fillId="4" borderId="12" xfId="0" applyFont="1" applyFill="1" applyBorder="1" applyAlignment="1">
      <alignment horizontal="center" vertical="center" wrapText="1"/>
    </xf>
    <xf numFmtId="0" fontId="22" fillId="0" borderId="17" xfId="0" quotePrefix="1" applyFont="1" applyBorder="1" applyAlignment="1">
      <alignment horizontal="left" vertical="center" wrapText="1"/>
    </xf>
    <xf numFmtId="0" fontId="22" fillId="0" borderId="19" xfId="0" applyFont="1" applyBorder="1" applyAlignment="1">
      <alignment horizontal="left" vertical="center" wrapText="1"/>
    </xf>
    <xf numFmtId="0" fontId="22" fillId="0" borderId="18" xfId="0" applyFont="1" applyBorder="1" applyAlignment="1">
      <alignment horizontal="left" vertical="center" wrapText="1"/>
    </xf>
    <xf numFmtId="0" fontId="30" fillId="0" borderId="25" xfId="0" quotePrefix="1" applyFont="1" applyBorder="1" applyAlignment="1">
      <alignment horizontal="left" vertical="center" wrapText="1"/>
    </xf>
    <xf numFmtId="0" fontId="30" fillId="0" borderId="31" xfId="0" applyFont="1" applyBorder="1" applyAlignment="1">
      <alignment horizontal="left" vertical="center" wrapText="1"/>
    </xf>
    <xf numFmtId="0" fontId="30" fillId="0" borderId="26" xfId="0" applyFont="1" applyBorder="1" applyAlignment="1">
      <alignment horizontal="left" vertical="center" wrapText="1"/>
    </xf>
    <xf numFmtId="0" fontId="30" fillId="0" borderId="25" xfId="0" applyFont="1" applyBorder="1" applyAlignment="1">
      <alignment horizontal="left" vertical="center" wrapText="1"/>
    </xf>
    <xf numFmtId="0" fontId="48" fillId="5" borderId="10" xfId="0" applyFont="1" applyFill="1" applyBorder="1" applyAlignment="1">
      <alignment horizontal="center" vertical="center" wrapText="1"/>
    </xf>
    <xf numFmtId="0" fontId="48" fillId="5" borderId="12" xfId="0" applyFont="1" applyFill="1" applyBorder="1" applyAlignment="1">
      <alignment horizontal="center" vertical="center" wrapText="1"/>
    </xf>
    <xf numFmtId="0" fontId="48" fillId="5" borderId="11" xfId="0" applyFont="1" applyFill="1" applyBorder="1" applyAlignment="1">
      <alignment horizontal="center" vertical="center" wrapText="1"/>
    </xf>
    <xf numFmtId="0" fontId="23" fillId="62" borderId="29" xfId="1" applyFont="1" applyFill="1" applyBorder="1" applyAlignment="1">
      <alignment horizontal="center" vertical="center" wrapText="1"/>
    </xf>
    <xf numFmtId="0" fontId="23" fillId="62" borderId="30" xfId="1" applyFont="1" applyFill="1" applyBorder="1" applyAlignment="1">
      <alignment horizontal="center" vertical="center" wrapText="1"/>
    </xf>
    <xf numFmtId="0" fontId="18" fillId="0" borderId="65" xfId="0" applyFont="1" applyBorder="1" applyAlignment="1">
      <alignment horizontal="center" vertical="center" wrapText="1"/>
    </xf>
    <xf numFmtId="0" fontId="82" fillId="0" borderId="40" xfId="0" applyFont="1" applyBorder="1" applyAlignment="1">
      <alignment horizontal="center" vertical="top" wrapText="1"/>
    </xf>
    <xf numFmtId="0" fontId="82" fillId="0" borderId="34" xfId="0" applyFont="1" applyBorder="1" applyAlignment="1">
      <alignment horizontal="center" vertical="top" wrapText="1"/>
    </xf>
    <xf numFmtId="0" fontId="22" fillId="0" borderId="25" xfId="0" applyFont="1" applyBorder="1" applyAlignment="1">
      <alignment horizontal="left" vertical="center" wrapText="1"/>
    </xf>
    <xf numFmtId="0" fontId="22" fillId="0" borderId="31" xfId="0" applyFont="1" applyBorder="1" applyAlignment="1">
      <alignment horizontal="left" vertical="center" wrapText="1"/>
    </xf>
    <xf numFmtId="0" fontId="22" fillId="0" borderId="26" xfId="0" applyFont="1" applyBorder="1" applyAlignment="1">
      <alignment horizontal="left" vertical="center" wrapText="1"/>
    </xf>
    <xf numFmtId="0" fontId="22" fillId="0" borderId="29" xfId="0" applyFont="1" applyBorder="1" applyAlignment="1">
      <alignment horizontal="left" vertical="center" wrapText="1"/>
    </xf>
    <xf numFmtId="0" fontId="22" fillId="0" borderId="32" xfId="0" applyFont="1" applyBorder="1" applyAlignment="1">
      <alignment horizontal="left" vertical="center" wrapText="1"/>
    </xf>
    <xf numFmtId="0" fontId="22" fillId="0" borderId="30" xfId="0" applyFont="1" applyBorder="1" applyAlignment="1">
      <alignment horizontal="left" vertical="center" wrapText="1"/>
    </xf>
    <xf numFmtId="0" fontId="62" fillId="5" borderId="112" xfId="5" applyFont="1" applyFill="1" applyBorder="1" applyAlignment="1">
      <alignment horizontal="center" vertical="center"/>
    </xf>
    <xf numFmtId="0" fontId="62" fillId="5" borderId="113" xfId="5" applyFont="1" applyFill="1" applyBorder="1" applyAlignment="1">
      <alignment horizontal="center" vertical="center"/>
    </xf>
    <xf numFmtId="0" fontId="62" fillId="5" borderId="114" xfId="5" applyFont="1" applyFill="1" applyBorder="1" applyAlignment="1">
      <alignment horizontal="center" vertical="center"/>
    </xf>
    <xf numFmtId="9" fontId="21" fillId="0" borderId="23" xfId="5" applyNumberFormat="1" applyFont="1" applyBorder="1" applyAlignment="1">
      <alignment horizontal="center" vertical="center"/>
    </xf>
    <xf numFmtId="0" fontId="21" fillId="0" borderId="21" xfId="5" applyFont="1" applyBorder="1" applyAlignment="1">
      <alignment horizontal="center" vertical="center"/>
    </xf>
    <xf numFmtId="0" fontId="101" fillId="0" borderId="10" xfId="5" applyFont="1" applyBorder="1" applyAlignment="1">
      <alignment horizontal="center" vertical="center" wrapText="1"/>
    </xf>
    <xf numFmtId="0" fontId="101" fillId="0" borderId="12" xfId="5" applyFont="1" applyBorder="1" applyAlignment="1">
      <alignment horizontal="center" vertical="center" wrapText="1"/>
    </xf>
    <xf numFmtId="0" fontId="101" fillId="0" borderId="11" xfId="5" applyFont="1" applyBorder="1" applyAlignment="1">
      <alignment horizontal="center" vertical="center" wrapText="1"/>
    </xf>
    <xf numFmtId="0" fontId="83" fillId="0" borderId="0" xfId="0" applyFont="1" applyAlignment="1">
      <alignment horizontal="left" vertical="center" wrapText="1"/>
    </xf>
    <xf numFmtId="0" fontId="8" fillId="0" borderId="105" xfId="0" applyFont="1" applyBorder="1" applyAlignment="1">
      <alignment horizontal="left" vertical="center" wrapText="1"/>
    </xf>
    <xf numFmtId="0" fontId="42" fillId="0" borderId="0" xfId="0" applyFont="1" applyAlignment="1">
      <alignment horizontal="left" vertical="center" wrapText="1"/>
    </xf>
    <xf numFmtId="0" fontId="10" fillId="0" borderId="40" xfId="0" applyFont="1" applyBorder="1" applyAlignment="1">
      <alignment horizontal="center" vertical="top" wrapText="1"/>
    </xf>
    <xf numFmtId="0" fontId="10" fillId="0" borderId="34" xfId="0" applyFont="1" applyBorder="1" applyAlignment="1">
      <alignment horizontal="center" vertical="top" wrapText="1"/>
    </xf>
    <xf numFmtId="0" fontId="21" fillId="0" borderId="44" xfId="6" applyFont="1" applyBorder="1" applyAlignment="1">
      <alignment horizontal="center" vertical="center" wrapText="1"/>
    </xf>
    <xf numFmtId="0" fontId="21" fillId="0" borderId="39" xfId="6" applyFont="1" applyBorder="1" applyAlignment="1">
      <alignment horizontal="center" vertical="center" wrapText="1"/>
    </xf>
    <xf numFmtId="0" fontId="21" fillId="0" borderId="27" xfId="6" applyFont="1" applyBorder="1" applyAlignment="1">
      <alignment horizontal="center" vertical="center" wrapText="1"/>
    </xf>
    <xf numFmtId="0" fontId="61" fillId="0" borderId="44" xfId="5" applyFont="1" applyBorder="1" applyAlignment="1">
      <alignment horizontal="center" vertical="center"/>
    </xf>
    <xf numFmtId="0" fontId="61" fillId="0" borderId="27" xfId="5" applyFont="1" applyBorder="1" applyAlignment="1">
      <alignment horizontal="center" vertical="center"/>
    </xf>
    <xf numFmtId="0" fontId="21" fillId="57" borderId="121" xfId="5" applyFont="1" applyFill="1" applyBorder="1" applyAlignment="1">
      <alignment horizontal="center" vertical="center" wrapText="1"/>
    </xf>
    <xf numFmtId="0" fontId="21" fillId="57" borderId="96" xfId="5" applyFont="1" applyFill="1" applyBorder="1" applyAlignment="1">
      <alignment horizontal="center" vertical="center" wrapText="1"/>
    </xf>
    <xf numFmtId="0" fontId="19" fillId="4" borderId="10" xfId="0" applyFont="1" applyFill="1" applyBorder="1" applyAlignment="1">
      <alignment horizontal="center" wrapText="1"/>
    </xf>
    <xf numFmtId="0" fontId="19" fillId="4" borderId="12" xfId="0" applyFont="1" applyFill="1" applyBorder="1" applyAlignment="1">
      <alignment horizontal="center" wrapText="1"/>
    </xf>
    <xf numFmtId="0" fontId="19" fillId="4" borderId="11" xfId="0" applyFont="1" applyFill="1" applyBorder="1" applyAlignment="1">
      <alignment horizontal="center" wrapText="1"/>
    </xf>
    <xf numFmtId="0" fontId="48" fillId="5" borderId="10" xfId="0" applyFont="1" applyFill="1" applyBorder="1" applyAlignment="1">
      <alignment horizontal="center" vertical="center"/>
    </xf>
    <xf numFmtId="0" fontId="48" fillId="5" borderId="12" xfId="0" applyFont="1" applyFill="1" applyBorder="1" applyAlignment="1">
      <alignment horizontal="center" vertical="center"/>
    </xf>
    <xf numFmtId="0" fontId="48" fillId="5" borderId="11" xfId="0" applyFont="1" applyFill="1" applyBorder="1" applyAlignment="1">
      <alignment horizontal="center" vertical="center"/>
    </xf>
    <xf numFmtId="0" fontId="23" fillId="15" borderId="29" xfId="1" applyFont="1" applyFill="1" applyBorder="1" applyAlignment="1">
      <alignment horizontal="center" vertical="center"/>
    </xf>
    <xf numFmtId="0" fontId="23" fillId="15" borderId="30" xfId="1" applyFont="1" applyFill="1" applyBorder="1" applyAlignment="1">
      <alignment horizontal="center" vertical="center"/>
    </xf>
    <xf numFmtId="0" fontId="21" fillId="7" borderId="10" xfId="0" applyFont="1" applyFill="1" applyBorder="1" applyAlignment="1">
      <alignment horizontal="center" vertical="center"/>
    </xf>
    <xf numFmtId="0" fontId="21" fillId="7" borderId="12" xfId="0" applyFont="1" applyFill="1" applyBorder="1" applyAlignment="1">
      <alignment horizontal="center" vertical="center"/>
    </xf>
    <xf numFmtId="0" fontId="21" fillId="7" borderId="11" xfId="0" applyFont="1" applyFill="1" applyBorder="1" applyAlignment="1">
      <alignment horizontal="center" vertical="center"/>
    </xf>
    <xf numFmtId="0" fontId="28" fillId="0" borderId="0" xfId="0" quotePrefix="1" applyFont="1" applyAlignment="1">
      <alignment horizontal="left" vertical="top" wrapText="1"/>
    </xf>
    <xf numFmtId="0" fontId="18" fillId="0" borderId="31" xfId="0" applyFont="1" applyBorder="1" applyAlignment="1">
      <alignment horizontal="left" vertical="center"/>
    </xf>
    <xf numFmtId="0" fontId="18" fillId="0" borderId="26" xfId="0" applyFont="1" applyBorder="1" applyAlignment="1">
      <alignment horizontal="lef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32" xfId="0" applyFont="1" applyBorder="1" applyAlignment="1">
      <alignment horizontal="left" vertical="center"/>
    </xf>
    <xf numFmtId="0" fontId="18" fillId="0" borderId="30" xfId="0" applyFont="1" applyBorder="1" applyAlignment="1">
      <alignment horizontal="left" vertical="center"/>
    </xf>
    <xf numFmtId="0" fontId="91" fillId="0" borderId="69" xfId="5" applyFont="1" applyBorder="1" applyAlignment="1">
      <alignment horizontal="center" vertical="center" wrapText="1"/>
    </xf>
    <xf numFmtId="0" fontId="91" fillId="0" borderId="43" xfId="5" applyFont="1" applyBorder="1" applyAlignment="1">
      <alignment horizontal="center" vertical="center" wrapText="1"/>
    </xf>
    <xf numFmtId="0" fontId="91" fillId="0" borderId="106" xfId="5" applyFont="1" applyBorder="1" applyAlignment="1">
      <alignment horizontal="center" vertical="center" wrapText="1"/>
    </xf>
    <xf numFmtId="0" fontId="25" fillId="50" borderId="66" xfId="6" applyFont="1" applyFill="1" applyBorder="1" applyAlignment="1">
      <alignment horizontal="center" vertical="center" wrapText="1"/>
    </xf>
    <xf numFmtId="0" fontId="25" fillId="50" borderId="13" xfId="6" applyFont="1" applyFill="1" applyBorder="1" applyAlignment="1">
      <alignment horizontal="center" vertical="center" wrapText="1"/>
    </xf>
    <xf numFmtId="0" fontId="25" fillId="50" borderId="67" xfId="6" applyFont="1" applyFill="1" applyBorder="1" applyAlignment="1">
      <alignment horizontal="center" vertical="center" wrapText="1"/>
    </xf>
    <xf numFmtId="0" fontId="92" fillId="51" borderId="66" xfId="5" applyFont="1" applyFill="1" applyBorder="1" applyAlignment="1">
      <alignment horizontal="center" vertical="center"/>
    </xf>
    <xf numFmtId="0" fontId="92" fillId="51" borderId="13" xfId="5" applyFont="1" applyFill="1" applyBorder="1" applyAlignment="1">
      <alignment horizontal="center" vertical="center"/>
    </xf>
    <xf numFmtId="0" fontId="92" fillId="51" borderId="67" xfId="5" applyFont="1" applyFill="1" applyBorder="1" applyAlignment="1">
      <alignment horizontal="center" vertical="center"/>
    </xf>
    <xf numFmtId="0" fontId="25" fillId="0" borderId="15" xfId="0" applyFont="1" applyBorder="1" applyAlignment="1">
      <alignment horizontal="center" vertical="center"/>
    </xf>
    <xf numFmtId="0" fontId="25" fillId="0" borderId="46" xfId="0" applyFont="1" applyBorder="1" applyAlignment="1">
      <alignment horizontal="center" vertical="center"/>
    </xf>
    <xf numFmtId="0" fontId="25" fillId="0" borderId="16" xfId="0" applyFont="1" applyBorder="1" applyAlignment="1">
      <alignment horizontal="center" vertical="center"/>
    </xf>
    <xf numFmtId="0" fontId="25" fillId="49" borderId="44" xfId="6" applyFont="1" applyFill="1" applyBorder="1" applyAlignment="1">
      <alignment horizontal="center" vertical="center" wrapText="1"/>
    </xf>
    <xf numFmtId="0" fontId="25" fillId="49" borderId="39" xfId="6" applyFont="1" applyFill="1" applyBorder="1" applyAlignment="1">
      <alignment horizontal="center" vertical="center" wrapText="1"/>
    </xf>
    <xf numFmtId="0" fontId="41" fillId="18" borderId="10" xfId="0" applyFont="1" applyFill="1" applyBorder="1" applyAlignment="1">
      <alignment horizontal="center" vertical="center"/>
    </xf>
    <xf numFmtId="0" fontId="41" fillId="18" borderId="12" xfId="0" applyFont="1" applyFill="1" applyBorder="1" applyAlignment="1">
      <alignment horizontal="center" vertical="center"/>
    </xf>
    <xf numFmtId="0" fontId="41" fillId="18" borderId="11" xfId="0" applyFont="1" applyFill="1" applyBorder="1" applyAlignment="1">
      <alignment horizontal="center" vertical="center"/>
    </xf>
    <xf numFmtId="0" fontId="62" fillId="5" borderId="10" xfId="0" applyFont="1" applyFill="1" applyBorder="1" applyAlignment="1">
      <alignment horizontal="center" vertical="center"/>
    </xf>
    <xf numFmtId="0" fontId="62" fillId="5" borderId="12" xfId="0" applyFont="1" applyFill="1" applyBorder="1" applyAlignment="1">
      <alignment horizontal="center" vertical="center"/>
    </xf>
    <xf numFmtId="0" fontId="62" fillId="5" borderId="11" xfId="0" applyFont="1" applyFill="1" applyBorder="1" applyAlignment="1">
      <alignment horizontal="center" vertical="center"/>
    </xf>
    <xf numFmtId="177" fontId="141" fillId="68" borderId="36" xfId="0" applyNumberFormat="1" applyFont="1" applyFill="1" applyBorder="1" applyAlignment="1">
      <alignment horizontal="center" vertical="center"/>
    </xf>
    <xf numFmtId="177" fontId="141" fillId="68" borderId="21" xfId="0" applyNumberFormat="1" applyFont="1" applyFill="1" applyBorder="1" applyAlignment="1">
      <alignment horizontal="center" vertical="center"/>
    </xf>
    <xf numFmtId="0" fontId="21" fillId="28" borderId="10" xfId="0" applyFont="1" applyFill="1" applyBorder="1" applyAlignment="1">
      <alignment horizontal="center" vertical="center"/>
    </xf>
    <xf numFmtId="0" fontId="21" fillId="28" borderId="12" xfId="0" applyFont="1" applyFill="1" applyBorder="1" applyAlignment="1">
      <alignment horizontal="center" vertical="center"/>
    </xf>
    <xf numFmtId="0" fontId="21" fillId="28" borderId="11" xfId="0" applyFont="1" applyFill="1" applyBorder="1" applyAlignment="1">
      <alignment horizontal="center" vertical="center"/>
    </xf>
    <xf numFmtId="0" fontId="22" fillId="0" borderId="25" xfId="0" quotePrefix="1" applyFont="1" applyBorder="1" applyAlignment="1">
      <alignment horizontal="left" vertical="center" wrapText="1"/>
    </xf>
    <xf numFmtId="0" fontId="0" fillId="0" borderId="0" xfId="0"/>
    <xf numFmtId="0" fontId="25" fillId="50" borderId="27" xfId="6" applyFont="1" applyFill="1" applyBorder="1" applyAlignment="1">
      <alignment horizontal="center" vertical="center" wrapText="1"/>
    </xf>
    <xf numFmtId="0" fontId="92" fillId="51" borderId="44" xfId="5" applyFont="1" applyFill="1" applyBorder="1" applyAlignment="1">
      <alignment horizontal="center" vertical="center"/>
    </xf>
    <xf numFmtId="0" fontId="92" fillId="51" borderId="27" xfId="5" applyFont="1" applyFill="1" applyBorder="1" applyAlignment="1">
      <alignment horizontal="center" vertical="center"/>
    </xf>
    <xf numFmtId="0" fontId="62" fillId="64" borderId="54" xfId="0" applyFont="1" applyFill="1" applyBorder="1" applyAlignment="1">
      <alignment horizontal="center" vertical="center" wrapText="1"/>
    </xf>
    <xf numFmtId="0" fontId="62" fillId="64" borderId="48" xfId="0" applyFont="1" applyFill="1" applyBorder="1" applyAlignment="1">
      <alignment horizontal="center" vertical="center" wrapText="1"/>
    </xf>
    <xf numFmtId="0" fontId="62" fillId="64" borderId="105" xfId="0" applyFont="1" applyFill="1" applyBorder="1" applyAlignment="1">
      <alignment horizontal="center" vertical="center" wrapText="1"/>
    </xf>
    <xf numFmtId="0" fontId="22" fillId="0" borderId="40" xfId="0" applyFont="1" applyBorder="1" applyAlignment="1">
      <alignment horizontal="left" vertical="top" wrapText="1"/>
    </xf>
    <xf numFmtId="0" fontId="22" fillId="0" borderId="34" xfId="0" applyFont="1" applyBorder="1" applyAlignment="1">
      <alignment horizontal="left" vertical="top" wrapText="1"/>
    </xf>
    <xf numFmtId="0" fontId="22" fillId="0" borderId="37" xfId="0" applyFont="1" applyBorder="1" applyAlignment="1">
      <alignment horizontal="left" vertical="top" wrapText="1"/>
    </xf>
    <xf numFmtId="0" fontId="20" fillId="0" borderId="42" xfId="0" applyFont="1" applyBorder="1" applyAlignment="1">
      <alignment horizontal="center" vertical="center" wrapText="1"/>
    </xf>
    <xf numFmtId="0" fontId="20" fillId="0" borderId="43" xfId="0" applyFont="1" applyBorder="1" applyAlignment="1">
      <alignment horizontal="center" vertical="center" wrapText="1"/>
    </xf>
    <xf numFmtId="0" fontId="20" fillId="0" borderId="3" xfId="0" applyFont="1" applyBorder="1" applyAlignment="1">
      <alignment horizontal="center" vertical="center" wrapText="1"/>
    </xf>
    <xf numFmtId="9" fontId="0" fillId="0" borderId="58" xfId="0" applyNumberFormat="1" applyBorder="1" applyAlignment="1">
      <alignment horizontal="center" vertical="center"/>
    </xf>
    <xf numFmtId="9" fontId="0" fillId="0" borderId="69" xfId="0" applyNumberFormat="1" applyBorder="1" applyAlignment="1">
      <alignment horizontal="center" vertical="center"/>
    </xf>
    <xf numFmtId="9" fontId="0" fillId="0" borderId="70" xfId="0" applyNumberFormat="1" applyBorder="1" applyAlignment="1">
      <alignment horizontal="center" vertical="center"/>
    </xf>
    <xf numFmtId="0" fontId="0" fillId="0" borderId="66" xfId="0" applyBorder="1" applyAlignment="1">
      <alignment horizontal="center" vertical="center" wrapText="1"/>
    </xf>
    <xf numFmtId="0" fontId="0" fillId="0" borderId="13" xfId="0" applyBorder="1" applyAlignment="1">
      <alignment horizontal="center" vertical="center" wrapText="1"/>
    </xf>
    <xf numFmtId="0" fontId="0" fillId="0" borderId="67"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8" fillId="0" borderId="25" xfId="0" applyFont="1" applyBorder="1" applyAlignment="1">
      <alignment horizontal="left" vertical="center" wrapText="1"/>
    </xf>
    <xf numFmtId="0" fontId="8" fillId="0" borderId="17" xfId="0" applyFont="1" applyBorder="1" applyAlignment="1">
      <alignment horizontal="left" vertical="center" wrapText="1"/>
    </xf>
    <xf numFmtId="0" fontId="0" fillId="0" borderId="18" xfId="0" applyBorder="1" applyAlignment="1">
      <alignment horizontal="left" vertical="center" wrapText="1"/>
    </xf>
    <xf numFmtId="0" fontId="42" fillId="0" borderId="25" xfId="0" applyFont="1" applyBorder="1" applyAlignment="1">
      <alignment horizontal="right" vertical="center" wrapText="1"/>
    </xf>
    <xf numFmtId="0" fontId="42" fillId="0" borderId="26" xfId="0" applyFont="1" applyBorder="1" applyAlignment="1">
      <alignment horizontal="right" vertical="center" wrapText="1"/>
    </xf>
    <xf numFmtId="0" fontId="2" fillId="0" borderId="0" xfId="0" applyFont="1" applyAlignment="1">
      <alignment horizontal="left" vertical="center" wrapText="1"/>
    </xf>
    <xf numFmtId="0" fontId="100" fillId="0" borderId="35" xfId="0" applyFont="1" applyBorder="1" applyAlignment="1">
      <alignment horizontal="left" vertical="center" wrapText="1"/>
    </xf>
    <xf numFmtId="0" fontId="100" fillId="0" borderId="37" xfId="0" applyFont="1" applyBorder="1" applyAlignment="1">
      <alignment horizontal="left" vertical="center" wrapText="1"/>
    </xf>
    <xf numFmtId="0" fontId="100" fillId="0" borderId="33" xfId="0" applyFont="1" applyBorder="1" applyAlignment="1">
      <alignment horizontal="left" vertical="center" wrapText="1"/>
    </xf>
    <xf numFmtId="0" fontId="100" fillId="0" borderId="1" xfId="0" applyFont="1" applyBorder="1" applyAlignment="1">
      <alignment horizontal="left" vertical="center"/>
    </xf>
    <xf numFmtId="0" fontId="100" fillId="0" borderId="61" xfId="0" applyFont="1" applyBorder="1" applyAlignment="1">
      <alignment horizontal="left" vertical="center"/>
    </xf>
    <xf numFmtId="0" fontId="100" fillId="0" borderId="2" xfId="0" applyFont="1" applyBorder="1" applyAlignment="1">
      <alignment horizontal="left" vertical="center"/>
    </xf>
    <xf numFmtId="0" fontId="174" fillId="0" borderId="1" xfId="0" applyFont="1" applyBorder="1" applyAlignment="1">
      <alignment horizontal="center" vertical="center"/>
    </xf>
    <xf numFmtId="0" fontId="174" fillId="0" borderId="61" xfId="0" applyFont="1" applyBorder="1" applyAlignment="1">
      <alignment horizontal="center" vertical="center"/>
    </xf>
    <xf numFmtId="0" fontId="174" fillId="0" borderId="2" xfId="0" applyFont="1" applyBorder="1" applyAlignment="1">
      <alignment horizontal="center" vertical="center"/>
    </xf>
    <xf numFmtId="0" fontId="100" fillId="0" borderId="50" xfId="0" applyFont="1" applyBorder="1" applyAlignment="1">
      <alignment horizontal="left" vertical="center" wrapText="1"/>
    </xf>
    <xf numFmtId="0" fontId="100" fillId="0" borderId="3" xfId="0" applyFont="1" applyBorder="1" applyAlignment="1">
      <alignment horizontal="left" vertical="center" wrapText="1"/>
    </xf>
    <xf numFmtId="0" fontId="100" fillId="0" borderId="51" xfId="0" applyFont="1" applyBorder="1" applyAlignment="1">
      <alignment horizontal="left" vertical="center" wrapText="1"/>
    </xf>
    <xf numFmtId="0" fontId="100" fillId="0" borderId="25" xfId="0" applyFont="1" applyBorder="1" applyAlignment="1">
      <alignment horizontal="left" vertical="center" wrapText="1"/>
    </xf>
    <xf numFmtId="0" fontId="100" fillId="0" borderId="31" xfId="0" applyFont="1" applyBorder="1" applyAlignment="1">
      <alignment horizontal="left" vertical="center" wrapText="1"/>
    </xf>
    <xf numFmtId="0" fontId="100" fillId="0" borderId="26" xfId="0" applyFont="1" applyBorder="1" applyAlignment="1">
      <alignment horizontal="left" vertical="center" wrapText="1"/>
    </xf>
    <xf numFmtId="0" fontId="18" fillId="0" borderId="0" xfId="0" applyFont="1" applyFill="1"/>
    <xf numFmtId="0" fontId="103" fillId="0" borderId="9" xfId="0" applyFont="1" applyFill="1" applyBorder="1" applyAlignment="1">
      <alignment vertical="center"/>
    </xf>
    <xf numFmtId="0" fontId="28" fillId="0" borderId="40" xfId="0" applyFont="1" applyBorder="1" applyAlignment="1">
      <alignment horizontal="left" vertical="center" wrapText="1"/>
    </xf>
    <xf numFmtId="0" fontId="28" fillId="0" borderId="31" xfId="0" applyFont="1" applyBorder="1" applyAlignment="1">
      <alignment horizontal="left" vertical="center" wrapText="1"/>
    </xf>
    <xf numFmtId="0" fontId="28" fillId="0" borderId="34" xfId="0" applyFont="1" applyBorder="1" applyAlignment="1">
      <alignment horizontal="left" vertical="center" wrapText="1"/>
    </xf>
    <xf numFmtId="0" fontId="28" fillId="0" borderId="17" xfId="0" quotePrefix="1" applyFont="1" applyBorder="1" applyAlignment="1">
      <alignment horizontal="left" vertical="center" wrapText="1"/>
    </xf>
    <xf numFmtId="0" fontId="28" fillId="0" borderId="19" xfId="0" applyFont="1" applyBorder="1" applyAlignment="1">
      <alignment horizontal="left" vertical="center" wrapText="1"/>
    </xf>
    <xf numFmtId="0" fontId="28" fillId="0" borderId="18" xfId="0" applyFont="1" applyBorder="1" applyAlignment="1">
      <alignment horizontal="left" vertical="center" wrapText="1"/>
    </xf>
  </cellXfs>
  <cellStyles count="12">
    <cellStyle name="Insatisfaisant" xfId="1" builtinId="27"/>
    <cellStyle name="Lien hypertexte" xfId="2" builtinId="8"/>
    <cellStyle name="Milliers" xfId="4" builtinId="3"/>
    <cellStyle name="Normal" xfId="0" builtinId="0"/>
    <cellStyle name="Normal 10" xfId="8" xr:uid="{7EB560D6-1291-D748-BB1E-90C704CBA4C0}"/>
    <cellStyle name="Normal 2" xfId="5" xr:uid="{FD39962C-2AAB-6A4B-9FFD-9EBB89F2F4E5}"/>
    <cellStyle name="Normal 2 3 2 2" xfId="10" xr:uid="{FA73B430-0FFD-E449-B1FD-ACB0F6A48ABC}"/>
    <cellStyle name="Normal 2 5 2" xfId="6" xr:uid="{4368647D-3FBF-E24C-AA57-0CF6FC6917FE}"/>
    <cellStyle name="Normal 2 7" xfId="7" xr:uid="{B63A944A-1BC8-5844-AD84-2E11AB05A971}"/>
    <cellStyle name="Normal 3 2" xfId="11" xr:uid="{F9B653CD-7807-044F-972E-7B796ADE048A}"/>
    <cellStyle name="Normal 8" xfId="9" xr:uid="{23B58BE9-A4F9-1A47-AE94-03D5E058E033}"/>
    <cellStyle name="Pourcentage" xfId="3" builtinId="5"/>
  </cellStyles>
  <dxfs count="54">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s>
  <tableStyles count="0" defaultTableStyle="TableStyleMedium2" defaultPivotStyle="PivotStyleLight16"/>
  <colors>
    <mruColors>
      <color rgb="FFC7F9CA"/>
      <color rgb="FFBCEBBD"/>
      <color rgb="FFA2D3A3"/>
      <color rgb="FF7BE078"/>
      <color rgb="FFAED3AE"/>
      <color rgb="FF9DD398"/>
      <color rgb="FFA0D39F"/>
      <color rgb="FF8ED387"/>
      <color rgb="FF80D378"/>
      <color rgb="FF6DD3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34935199816017E-2"/>
          <c:y val="0.18817705053190001"/>
          <c:w val="0.9263047042900332"/>
          <c:h val="0.72843148033034488"/>
        </c:manualLayout>
      </c:layout>
      <c:barChart>
        <c:barDir val="col"/>
        <c:grouping val="stacked"/>
        <c:varyColors val="0"/>
        <c:ser>
          <c:idx val="0"/>
          <c:order val="0"/>
          <c:tx>
            <c:strRef>
              <c:f>Résultat!$C$70</c:f>
              <c:strCache>
                <c:ptCount val="1"/>
                <c:pt idx="0">
                  <c:v>Négatif </c:v>
                </c:pt>
              </c:strCache>
            </c:strRef>
          </c:tx>
          <c:spPr>
            <a:solidFill>
              <a:srgbClr val="00005A">
                <a:alpha val="0"/>
              </a:srgb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0574-C74B-B707-307DAD73CE58}"/>
                </c:ext>
              </c:extLst>
            </c:dLbl>
            <c:dLbl>
              <c:idx val="2"/>
              <c:delete val="1"/>
              <c:extLst>
                <c:ext xmlns:c15="http://schemas.microsoft.com/office/drawing/2012/chart" uri="{CE6537A1-D6FC-4f65-9D91-7224C49458BB}"/>
                <c:ext xmlns:c16="http://schemas.microsoft.com/office/drawing/2014/chart" uri="{C3380CC4-5D6E-409C-BE32-E72D297353CC}">
                  <c16:uniqueId val="{00000017-0574-C74B-B707-307DAD73CE58}"/>
                </c:ext>
              </c:extLst>
            </c:dLbl>
            <c:dLbl>
              <c:idx val="3"/>
              <c:delete val="1"/>
              <c:extLst>
                <c:ext xmlns:c15="http://schemas.microsoft.com/office/drawing/2012/chart" uri="{CE6537A1-D6FC-4f65-9D91-7224C49458BB}"/>
                <c:ext xmlns:c16="http://schemas.microsoft.com/office/drawing/2014/chart" uri="{C3380CC4-5D6E-409C-BE32-E72D297353CC}">
                  <c16:uniqueId val="{00000018-0574-C74B-B707-307DAD73CE58}"/>
                </c:ext>
              </c:extLst>
            </c:dLbl>
            <c:dLbl>
              <c:idx val="4"/>
              <c:delete val="1"/>
              <c:extLst>
                <c:ext xmlns:c15="http://schemas.microsoft.com/office/drawing/2012/chart" uri="{CE6537A1-D6FC-4f65-9D91-7224C49458BB}"/>
                <c:ext xmlns:c16="http://schemas.microsoft.com/office/drawing/2014/chart" uri="{C3380CC4-5D6E-409C-BE32-E72D297353CC}">
                  <c16:uniqueId val="{00000019-0574-C74B-B707-307DAD73CE58}"/>
                </c:ext>
              </c:extLst>
            </c:dLbl>
            <c:dLbl>
              <c:idx val="5"/>
              <c:delete val="1"/>
              <c:extLst>
                <c:ext xmlns:c15="http://schemas.microsoft.com/office/drawing/2012/chart" uri="{CE6537A1-D6FC-4f65-9D91-7224C49458BB}"/>
                <c:ext xmlns:c16="http://schemas.microsoft.com/office/drawing/2014/chart" uri="{C3380CC4-5D6E-409C-BE32-E72D297353CC}">
                  <c16:uniqueId val="{0000001A-0574-C74B-B707-307DAD73CE58}"/>
                </c:ext>
              </c:extLst>
            </c:dLbl>
            <c:dLbl>
              <c:idx val="6"/>
              <c:delete val="1"/>
              <c:extLst>
                <c:ext xmlns:c15="http://schemas.microsoft.com/office/drawing/2012/chart" uri="{CE6537A1-D6FC-4f65-9D91-7224C49458BB}"/>
                <c:ext xmlns:c16="http://schemas.microsoft.com/office/drawing/2014/chart" uri="{C3380CC4-5D6E-409C-BE32-E72D297353CC}">
                  <c16:uniqueId val="{0000001B-0574-C74B-B707-307DAD73CE58}"/>
                </c:ext>
              </c:extLst>
            </c:dLbl>
            <c:dLbl>
              <c:idx val="7"/>
              <c:delete val="1"/>
              <c:extLst>
                <c:ext xmlns:c15="http://schemas.microsoft.com/office/drawing/2012/chart" uri="{CE6537A1-D6FC-4f65-9D91-7224C49458BB}"/>
                <c:ext xmlns:c16="http://schemas.microsoft.com/office/drawing/2014/chart" uri="{C3380CC4-5D6E-409C-BE32-E72D297353CC}">
                  <c16:uniqueId val="{0000001C-0574-C74B-B707-307DAD73CE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Résultat!$B$71:$B$79</c:f>
              <c:strCache>
                <c:ptCount val="9"/>
                <c:pt idx="0">
                  <c:v>Émissions en 2022 </c:v>
                </c:pt>
                <c:pt idx="1">
                  <c:v>Déplacements pour les entrainements</c:v>
                </c:pt>
                <c:pt idx="2">
                  <c:v>Déplacements pour les matchs</c:v>
                </c:pt>
                <c:pt idx="3">
                  <c:v>Articles de sport</c:v>
                </c:pt>
                <c:pt idx="4">
                  <c:v>Construction et entretien des infras.</c:v>
                </c:pt>
                <c:pt idx="5">
                  <c:v>Consommation d'énergie des infra.</c:v>
                </c:pt>
                <c:pt idx="6">
                  <c:v>Alimentation et boisson (matchs)</c:v>
                </c:pt>
                <c:pt idx="7">
                  <c:v>Déchets (matchs)</c:v>
                </c:pt>
                <c:pt idx="8">
                  <c:v>Émissions 2050 après transformation</c:v>
                </c:pt>
              </c:strCache>
            </c:strRef>
          </c:cat>
          <c:val>
            <c:numRef>
              <c:f>Résultat!$C$71:$C$79</c:f>
              <c:numCache>
                <c:formatCode>_(* #\ ##0_);_(* \(#\ ##0\);_(* "-"??_);_(@_)</c:formatCode>
                <c:ptCount val="9"/>
                <c:pt idx="1">
                  <c:v>1363607.37263788</c:v>
                </c:pt>
                <c:pt idx="2">
                  <c:v>1090302.7618261962</c:v>
                </c:pt>
                <c:pt idx="3">
                  <c:v>776247.3941642642</c:v>
                </c:pt>
                <c:pt idx="4">
                  <c:v>637610.85626244918</c:v>
                </c:pt>
                <c:pt idx="5">
                  <c:v>542434.53707550094</c:v>
                </c:pt>
                <c:pt idx="6">
                  <c:v>437971.53554587055</c:v>
                </c:pt>
                <c:pt idx="7">
                  <c:v>426583.68677022733</c:v>
                </c:pt>
              </c:numCache>
            </c:numRef>
          </c:val>
          <c:extLst>
            <c:ext xmlns:c16="http://schemas.microsoft.com/office/drawing/2014/chart" uri="{C3380CC4-5D6E-409C-BE32-E72D297353CC}">
              <c16:uniqueId val="{00000000-971F-EE46-88AE-D7DC5AF4E2E4}"/>
            </c:ext>
          </c:extLst>
        </c:ser>
        <c:ser>
          <c:idx val="1"/>
          <c:order val="1"/>
          <c:tx>
            <c:strRef>
              <c:f>Résultat!$D$70</c:f>
              <c:strCache>
                <c:ptCount val="1"/>
                <c:pt idx="0">
                  <c:v>Émissions (ktCO2e)</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2-971F-EE46-88AE-D7DC5AF4E2E4}"/>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4-971F-EE46-88AE-D7DC5AF4E2E4}"/>
              </c:ext>
            </c:extLst>
          </c:dPt>
          <c:dPt>
            <c:idx val="2"/>
            <c:invertIfNegative val="0"/>
            <c:bubble3D val="0"/>
            <c:spPr>
              <a:solidFill>
                <a:schemeClr val="accent5"/>
              </a:solidFill>
              <a:ln>
                <a:noFill/>
              </a:ln>
              <a:effectLst/>
            </c:spPr>
            <c:extLst>
              <c:ext xmlns:c16="http://schemas.microsoft.com/office/drawing/2014/chart" uri="{C3380CC4-5D6E-409C-BE32-E72D297353CC}">
                <c16:uniqueId val="{00000006-971F-EE46-88AE-D7DC5AF4E2E4}"/>
              </c:ext>
            </c:extLst>
          </c:dPt>
          <c:dPt>
            <c:idx val="3"/>
            <c:invertIfNegative val="0"/>
            <c:bubble3D val="0"/>
            <c:spPr>
              <a:solidFill>
                <a:schemeClr val="accent5"/>
              </a:solidFill>
              <a:ln>
                <a:noFill/>
              </a:ln>
              <a:effectLst/>
            </c:spPr>
            <c:extLst>
              <c:ext xmlns:c16="http://schemas.microsoft.com/office/drawing/2014/chart" uri="{C3380CC4-5D6E-409C-BE32-E72D297353CC}">
                <c16:uniqueId val="{00000008-971F-EE46-88AE-D7DC5AF4E2E4}"/>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A-971F-EE46-88AE-D7DC5AF4E2E4}"/>
              </c:ext>
            </c:extLst>
          </c:dPt>
          <c:dPt>
            <c:idx val="5"/>
            <c:invertIfNegative val="0"/>
            <c:bubble3D val="0"/>
            <c:spPr>
              <a:solidFill>
                <a:schemeClr val="accent5"/>
              </a:solidFill>
              <a:ln>
                <a:noFill/>
              </a:ln>
              <a:effectLst/>
            </c:spPr>
            <c:extLst>
              <c:ext xmlns:c16="http://schemas.microsoft.com/office/drawing/2014/chart" uri="{C3380CC4-5D6E-409C-BE32-E72D297353CC}">
                <c16:uniqueId val="{0000000C-971F-EE46-88AE-D7DC5AF4E2E4}"/>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E-971F-EE46-88AE-D7DC5AF4E2E4}"/>
              </c:ext>
            </c:extLst>
          </c:dPt>
          <c:dPt>
            <c:idx val="7"/>
            <c:invertIfNegative val="0"/>
            <c:bubble3D val="0"/>
            <c:spPr>
              <a:solidFill>
                <a:schemeClr val="accent5"/>
              </a:solidFill>
              <a:ln>
                <a:noFill/>
              </a:ln>
              <a:effectLst/>
            </c:spPr>
            <c:extLst>
              <c:ext xmlns:c16="http://schemas.microsoft.com/office/drawing/2014/chart" uri="{C3380CC4-5D6E-409C-BE32-E72D297353CC}">
                <c16:uniqueId val="{00000010-971F-EE46-88AE-D7DC5AF4E2E4}"/>
              </c:ext>
            </c:extLst>
          </c:dPt>
          <c:dPt>
            <c:idx val="8"/>
            <c:invertIfNegative val="0"/>
            <c:bubble3D val="0"/>
            <c:spPr>
              <a:solidFill>
                <a:schemeClr val="tx2"/>
              </a:solidFill>
              <a:ln>
                <a:noFill/>
              </a:ln>
              <a:effectLst/>
            </c:spPr>
            <c:extLst>
              <c:ext xmlns:c16="http://schemas.microsoft.com/office/drawing/2014/chart" uri="{C3380CC4-5D6E-409C-BE32-E72D297353CC}">
                <c16:uniqueId val="{00000012-971F-EE46-88AE-D7DC5AF4E2E4}"/>
              </c:ext>
            </c:extLst>
          </c:dPt>
          <c:dPt>
            <c:idx val="9"/>
            <c:invertIfNegative val="0"/>
            <c:bubble3D val="0"/>
            <c:spPr>
              <a:solidFill>
                <a:schemeClr val="accent5"/>
              </a:solidFill>
              <a:ln>
                <a:noFill/>
              </a:ln>
              <a:effectLst/>
            </c:spPr>
            <c:extLst>
              <c:ext xmlns:c16="http://schemas.microsoft.com/office/drawing/2014/chart" uri="{C3380CC4-5D6E-409C-BE32-E72D297353CC}">
                <c16:uniqueId val="{00000014-971F-EE46-88AE-D7DC5AF4E2E4}"/>
              </c:ext>
            </c:extLst>
          </c:dPt>
          <c:dPt>
            <c:idx val="10"/>
            <c:invertIfNegative val="0"/>
            <c:bubble3D val="0"/>
            <c:spPr>
              <a:solidFill>
                <a:schemeClr val="tx2"/>
              </a:solidFill>
              <a:ln>
                <a:noFill/>
              </a:ln>
              <a:effectLst/>
            </c:spPr>
            <c:extLst>
              <c:ext xmlns:c16="http://schemas.microsoft.com/office/drawing/2014/chart" uri="{C3380CC4-5D6E-409C-BE32-E72D297353CC}">
                <c16:uniqueId val="{00000016-971F-EE46-88AE-D7DC5AF4E2E4}"/>
              </c:ext>
            </c:extLst>
          </c:dPt>
          <c:dLbls>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2-971F-EE46-88AE-D7DC5AF4E2E4}"/>
                </c:ext>
              </c:extLst>
            </c:dLbl>
            <c:dLbl>
              <c:idx val="7"/>
              <c:layout>
                <c:manualLayout>
                  <c:x val="0"/>
                  <c:y val="1.09834119592430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1F-EE46-88AE-D7DC5AF4E2E4}"/>
                </c:ext>
              </c:extLst>
            </c:dLbl>
            <c:dLbl>
              <c:idx val="8"/>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2-971F-EE46-88AE-D7DC5AF4E2E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Résultat!$B$71:$B$79</c:f>
              <c:strCache>
                <c:ptCount val="9"/>
                <c:pt idx="0">
                  <c:v>Émissions en 2022 </c:v>
                </c:pt>
                <c:pt idx="1">
                  <c:v>Déplacements pour les entrainements</c:v>
                </c:pt>
                <c:pt idx="2">
                  <c:v>Déplacements pour les matchs</c:v>
                </c:pt>
                <c:pt idx="3">
                  <c:v>Articles de sport</c:v>
                </c:pt>
                <c:pt idx="4">
                  <c:v>Construction et entretien des infras.</c:v>
                </c:pt>
                <c:pt idx="5">
                  <c:v>Consommation d'énergie des infra.</c:v>
                </c:pt>
                <c:pt idx="6">
                  <c:v>Alimentation et boisson (matchs)</c:v>
                </c:pt>
                <c:pt idx="7">
                  <c:v>Déchets (matchs)</c:v>
                </c:pt>
                <c:pt idx="8">
                  <c:v>Émissions 2050 après transformation</c:v>
                </c:pt>
              </c:strCache>
            </c:strRef>
          </c:cat>
          <c:val>
            <c:numRef>
              <c:f>Résultat!$D$71:$D$79</c:f>
              <c:numCache>
                <c:formatCode>_(* #\ ##0_);_(* \(#\ ##0\);_(* "-"??_);_(@_)</c:formatCode>
                <c:ptCount val="9"/>
                <c:pt idx="0">
                  <c:v>1744298.79770873</c:v>
                </c:pt>
                <c:pt idx="1">
                  <c:v>380691.42507084995</c:v>
                </c:pt>
                <c:pt idx="2">
                  <c:v>273304.61081168387</c:v>
                </c:pt>
                <c:pt idx="3">
                  <c:v>314055.36766193202</c:v>
                </c:pt>
                <c:pt idx="4">
                  <c:v>138636.53790181506</c:v>
                </c:pt>
                <c:pt idx="5">
                  <c:v>95176.319186948298</c:v>
                </c:pt>
                <c:pt idx="6">
                  <c:v>104463.00152963036</c:v>
                </c:pt>
                <c:pt idx="7">
                  <c:v>11387.848775643202</c:v>
                </c:pt>
                <c:pt idx="8">
                  <c:v>426583.6867702275</c:v>
                </c:pt>
              </c:numCache>
            </c:numRef>
          </c:val>
          <c:extLst>
            <c:ext xmlns:c16="http://schemas.microsoft.com/office/drawing/2014/chart" uri="{C3380CC4-5D6E-409C-BE32-E72D297353CC}">
              <c16:uniqueId val="{00000017-971F-EE46-88AE-D7DC5AF4E2E4}"/>
            </c:ext>
          </c:extLst>
        </c:ser>
        <c:dLbls>
          <c:dLblPos val="ctr"/>
          <c:showLegendKey val="0"/>
          <c:showVal val="1"/>
          <c:showCatName val="0"/>
          <c:showSerName val="0"/>
          <c:showPercent val="0"/>
          <c:showBubbleSize val="0"/>
        </c:dLbls>
        <c:gapWidth val="10"/>
        <c:overlap val="100"/>
        <c:axId val="597750128"/>
        <c:axId val="597712944"/>
      </c:barChart>
      <c:catAx>
        <c:axId val="597750128"/>
        <c:scaling>
          <c:orientation val="minMax"/>
        </c:scaling>
        <c:delete val="1"/>
        <c:axPos val="b"/>
        <c:numFmt formatCode="General" sourceLinked="1"/>
        <c:majorTickMark val="none"/>
        <c:minorTickMark val="none"/>
        <c:tickLblPos val="nextTo"/>
        <c:crossAx val="597712944"/>
        <c:crosses val="autoZero"/>
        <c:auto val="1"/>
        <c:lblAlgn val="ctr"/>
        <c:lblOffset val="100"/>
        <c:noMultiLvlLbl val="0"/>
      </c:catAx>
      <c:valAx>
        <c:axId val="597712944"/>
        <c:scaling>
          <c:orientation val="minMax"/>
        </c:scaling>
        <c:delete val="1"/>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fr-FR" sz="1800" b="1" i="0" u="none" strike="noStrike" kern="1200" baseline="0">
                    <a:solidFill>
                      <a:schemeClr val="tx1"/>
                    </a:solidFill>
                  </a:rPr>
                  <a:t>Émissions en tonnes de CO2 équivalents</a:t>
                </a:r>
              </a:p>
            </c:rich>
          </c:tx>
          <c:layout>
            <c:manualLayout>
              <c:xMode val="edge"/>
              <c:yMode val="edge"/>
              <c:x val="2.2323939210115076E-2"/>
              <c:y val="0.24226022135291667"/>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fr-FR"/>
            </a:p>
          </c:txPr>
        </c:title>
        <c:numFmt formatCode="_(* #\ ##0_);_(* \(#\ ##0\);_(* &quot;-&quot;??_);_(@_)" sourceLinked="1"/>
        <c:majorTickMark val="none"/>
        <c:minorTickMark val="none"/>
        <c:tickLblPos val="nextTo"/>
        <c:crossAx val="597750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370785783101251E-2"/>
          <c:y val="0.1603222451311149"/>
          <c:w val="0.41987677357198883"/>
          <c:h val="0.7109111428158259"/>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A-48AE-6349-A6F6-DE2ED17BE86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CEB-7649-9BF3-EB68295652A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CEB-7649-9BF3-EB68295652A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CEB-7649-9BF3-EB68295652A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A-48AE-6349-A6F6-DE2ED17BE861}"/>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3-8CEB-7649-9BF3-EB68295652AC}"/>
                </c:ext>
              </c:extLst>
            </c:dLbl>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5-8CEB-7649-9BF3-EB68295652AC}"/>
                </c:ext>
              </c:extLst>
            </c:dLbl>
            <c:dLbl>
              <c:idx val="3"/>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7-8CEB-7649-9BF3-EB68295652A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'1. Infrastructures '!$B$165:$B$168</c:f>
            </c:multiLvlStrRef>
          </c:cat>
          <c:val>
            <c:numRef>
              <c:f>'1. Infrastructures '!$C$165:$C$168</c:f>
            </c:numRef>
          </c:val>
          <c:extLst>
            <c:ext xmlns:c16="http://schemas.microsoft.com/office/drawing/2014/chart" uri="{C3380CC4-5D6E-409C-BE32-E72D297353CC}">
              <c16:uniqueId val="{00000000-48AE-6349-A6F6-DE2ED17BE861}"/>
            </c:ext>
          </c:extLst>
        </c:ser>
        <c:dLbls>
          <c:showLegendKey val="0"/>
          <c:showVal val="0"/>
          <c:showCatName val="1"/>
          <c:showSerName val="0"/>
          <c:showPercent val="1"/>
          <c:showBubbleSize val="0"/>
          <c:showLeaderLines val="1"/>
        </c:dLbls>
        <c:firstSliceAng val="0"/>
        <c:holeSize val="50"/>
      </c:doughnutChart>
      <c:spPr>
        <a:noFill/>
        <a:ln>
          <a:noFill/>
        </a:ln>
        <a:effectLst/>
      </c:spPr>
    </c:plotArea>
    <c:legend>
      <c:legendPos val="r"/>
      <c:layout>
        <c:manualLayout>
          <c:xMode val="edge"/>
          <c:yMode val="edge"/>
          <c:x val="0.54216663964010892"/>
          <c:y val="0.21457259013108754"/>
          <c:w val="0.42051836693064643"/>
          <c:h val="0.6839699998769814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4F3-D845-A513-FFAB5B1EEDA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F3-D845-A513-FFAB5B1EEDA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4F3-D845-A513-FFAB5B1EEDA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4F3-D845-A513-FFAB5B1EEDA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4F3-D845-A513-FFAB5B1EEDA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A4F3-D845-A513-FFAB5B1EEDAE}"/>
              </c:ext>
            </c:extLst>
          </c:dPt>
          <c:dPt>
            <c:idx val="6"/>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B-A4F3-D845-A513-FFAB5B1EEDA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A4F3-D845-A513-FFAB5B1EEDAE}"/>
                </c:ext>
              </c:extLst>
            </c:dLbl>
            <c:dLbl>
              <c:idx val="2"/>
              <c:layout>
                <c:manualLayout>
                  <c:x val="-1.2565850604567491E-2"/>
                  <c:y val="-1.43194796453848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F3-D845-A513-FFAB5B1EEDAE}"/>
                </c:ext>
              </c:extLst>
            </c:dLbl>
            <c:dLbl>
              <c:idx val="3"/>
              <c:layout>
                <c:manualLayout>
                  <c:x val="-1.0504727507110911E-2"/>
                  <c:y val="-2.4352711670119577E-2"/>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2"/>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layout>
                    <c:manualLayout>
                      <c:w val="4.8949527249288902E-2"/>
                      <c:h val="4.2755734101736262E-2"/>
                    </c:manualLayout>
                  </c15:layout>
                </c:ext>
                <c:ext xmlns:c16="http://schemas.microsoft.com/office/drawing/2014/chart" uri="{C3380CC4-5D6E-409C-BE32-E72D297353CC}">
                  <c16:uniqueId val="{00000007-A4F3-D845-A513-FFAB5B1EEDAE}"/>
                </c:ext>
              </c:extLst>
            </c:dLbl>
            <c:dLbl>
              <c:idx val="4"/>
              <c:layout>
                <c:manualLayout>
                  <c:x val="-7.3405304238543509E-2"/>
                  <c:y val="-0.1147556499700280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F3-D845-A513-FFAB5B1EEDAE}"/>
                </c:ext>
              </c:extLst>
            </c:dLbl>
            <c:dLbl>
              <c:idx val="5"/>
              <c:layout>
                <c:manualLayout>
                  <c:x val="-2.7261011092817901E-2"/>
                  <c:y val="-0.138232603140216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4F3-D845-A513-FFAB5B1EEDAE}"/>
                </c:ext>
              </c:extLst>
            </c:dLbl>
            <c:dLbl>
              <c:idx val="6"/>
              <c:layout>
                <c:manualLayout>
                  <c:x val="1.4728015622533763E-2"/>
                  <c:y val="-0.1415405567415789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4F3-D845-A513-FFAB5B1EEDA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'1. Infrastructures '!$B$171:$B$177</c:f>
            </c:multiLvlStrRef>
          </c:cat>
          <c:val>
            <c:numRef>
              <c:f>'1. Infrastructures '!$C$171:$C$177</c:f>
            </c:numRef>
          </c:val>
          <c:extLst>
            <c:ext xmlns:c16="http://schemas.microsoft.com/office/drawing/2014/chart" uri="{C3380CC4-5D6E-409C-BE32-E72D297353CC}">
              <c16:uniqueId val="{00000008-A4F3-D845-A513-FFAB5B1EEDAE}"/>
            </c:ext>
          </c:extLst>
        </c:ser>
        <c:dLbls>
          <c:showLegendKey val="0"/>
          <c:showVal val="0"/>
          <c:showCatName val="1"/>
          <c:showSerName val="0"/>
          <c:showPercent val="1"/>
          <c:showBubbleSize val="0"/>
          <c:showLeaderLines val="1"/>
        </c:dLbls>
        <c:firstSliceAng val="0"/>
        <c:holeSize val="50"/>
      </c:doughnutChart>
      <c:spPr>
        <a:noFill/>
        <a:ln>
          <a:noFill/>
        </a:ln>
        <a:effectLst/>
      </c:spPr>
    </c:plotArea>
    <c:legend>
      <c:legendPos val="r"/>
      <c:layout>
        <c:manualLayout>
          <c:xMode val="edge"/>
          <c:yMode val="edge"/>
          <c:x val="0.57790510154104069"/>
          <c:y val="0.13124630686505359"/>
          <c:w val="0.40946100301423327"/>
          <c:h val="0.7509141579705034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05BF-BC40-A23B-6DB460B9F9DC}"/>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2-05BF-BC40-A23B-6DB460B9F9D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 Infrastructures '!$B$118:$B$120</c:f>
            </c:multiLvlStrRef>
          </c:cat>
          <c:val>
            <c:numRef>
              <c:f>'1. Infrastructures '!$C$118:$C$120</c:f>
            </c:numRef>
          </c:val>
          <c:extLst>
            <c:ext xmlns:c16="http://schemas.microsoft.com/office/drawing/2014/chart" uri="{C3380CC4-5D6E-409C-BE32-E72D297353CC}">
              <c16:uniqueId val="{00000000-05BF-BC40-A23B-6DB460B9F9DC}"/>
            </c:ext>
          </c:extLst>
        </c:ser>
        <c:dLbls>
          <c:showLegendKey val="0"/>
          <c:showVal val="1"/>
          <c:showCatName val="0"/>
          <c:showSerName val="0"/>
          <c:showPercent val="0"/>
          <c:showBubbleSize val="0"/>
        </c:dLbls>
        <c:gapWidth val="219"/>
        <c:overlap val="-27"/>
        <c:axId val="1734201280"/>
        <c:axId val="1733806480"/>
      </c:barChart>
      <c:catAx>
        <c:axId val="173420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fr-FR"/>
          </a:p>
        </c:txPr>
        <c:crossAx val="1733806480"/>
        <c:crosses val="autoZero"/>
        <c:auto val="1"/>
        <c:lblAlgn val="ctr"/>
        <c:lblOffset val="100"/>
        <c:noMultiLvlLbl val="0"/>
      </c:catAx>
      <c:valAx>
        <c:axId val="17338064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fr-FR"/>
          </a:p>
        </c:txPr>
        <c:crossAx val="1734201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Électricité </c:v>
          </c:tx>
          <c:spPr>
            <a:prstGeom prst="rect">
              <a:avLst/>
            </a:prstGeom>
            <a:solidFill>
              <a:srgbClr val="00005A"/>
            </a:solidFill>
            <a:ln>
              <a:noFill/>
            </a:ln>
            <a:effectLst/>
          </c:spPr>
          <c:invertIfNegative val="0"/>
          <c:cat>
            <c:numLit>
              <c:formatCode>General</c:formatCode>
              <c:ptCount val="2"/>
              <c:pt idx="0">
                <c:v>2020</c:v>
              </c:pt>
              <c:pt idx="1">
                <c:v>2050</c:v>
              </c:pt>
            </c:numLit>
          </c:cat>
          <c:val>
            <c:numLit>
              <c:formatCode>General</c:formatCode>
              <c:ptCount val="2"/>
              <c:pt idx="0">
                <c:v>0.7465459954655923</c:v>
              </c:pt>
              <c:pt idx="1">
                <c:v>0.91153563764701573</c:v>
              </c:pt>
            </c:numLit>
          </c:val>
          <c:extLst>
            <c:ext xmlns:c16="http://schemas.microsoft.com/office/drawing/2014/chart" uri="{C3380CC4-5D6E-409C-BE32-E72D297353CC}">
              <c16:uniqueId val="{00000000-A5BB-9440-A33C-BAD906C45F0E}"/>
            </c:ext>
          </c:extLst>
        </c:ser>
        <c:ser>
          <c:idx val="1"/>
          <c:order val="1"/>
          <c:tx>
            <c:v>Autres Fioul</c:v>
          </c:tx>
          <c:spPr>
            <a:prstGeom prst="rect">
              <a:avLst/>
            </a:prstGeom>
            <a:solidFill>
              <a:srgbClr val="FF8200"/>
            </a:solidFill>
            <a:ln>
              <a:noFill/>
            </a:ln>
            <a:effectLst/>
          </c:spPr>
          <c:invertIfNegative val="0"/>
          <c:cat>
            <c:numLit>
              <c:formatCode>General</c:formatCode>
              <c:ptCount val="2"/>
              <c:pt idx="0">
                <c:v>2020</c:v>
              </c:pt>
              <c:pt idx="1">
                <c:v>2050</c:v>
              </c:pt>
            </c:numLit>
          </c:cat>
          <c:val>
            <c:numLit>
              <c:formatCode>General</c:formatCode>
              <c:ptCount val="2"/>
              <c:pt idx="0">
                <c:v>2.2717734500568972E-2</c:v>
              </c:pt>
              <c:pt idx="1">
                <c:v>0</c:v>
              </c:pt>
            </c:numLit>
          </c:val>
          <c:extLst>
            <c:ext xmlns:c16="http://schemas.microsoft.com/office/drawing/2014/chart" uri="{C3380CC4-5D6E-409C-BE32-E72D297353CC}">
              <c16:uniqueId val="{00000001-A5BB-9440-A33C-BAD906C45F0E}"/>
            </c:ext>
          </c:extLst>
        </c:ser>
        <c:ser>
          <c:idx val="2"/>
          <c:order val="2"/>
          <c:tx>
            <c:v>Fioul pour groupes électrogènes</c:v>
          </c:tx>
          <c:spPr>
            <a:prstGeom prst="rect">
              <a:avLst/>
            </a:prstGeom>
            <a:solidFill>
              <a:srgbClr val="EFB771"/>
            </a:solidFill>
            <a:ln>
              <a:noFill/>
            </a:ln>
            <a:effectLst/>
          </c:spPr>
          <c:invertIfNegative val="0"/>
          <c:cat>
            <c:numLit>
              <c:formatCode>General</c:formatCode>
              <c:ptCount val="2"/>
              <c:pt idx="0">
                <c:v>2020</c:v>
              </c:pt>
              <c:pt idx="1">
                <c:v>2050</c:v>
              </c:pt>
            </c:numLit>
          </c:cat>
          <c:val>
            <c:numLit>
              <c:formatCode>General</c:formatCode>
              <c:ptCount val="2"/>
              <c:pt idx="0">
                <c:v>2.3130510733028551E-2</c:v>
              </c:pt>
              <c:pt idx="1">
                <c:v>0</c:v>
              </c:pt>
            </c:numLit>
          </c:val>
          <c:extLst>
            <c:ext xmlns:c16="http://schemas.microsoft.com/office/drawing/2014/chart" uri="{C3380CC4-5D6E-409C-BE32-E72D297353CC}">
              <c16:uniqueId val="{00000002-A5BB-9440-A33C-BAD906C45F0E}"/>
            </c:ext>
          </c:extLst>
        </c:ser>
        <c:ser>
          <c:idx val="3"/>
          <c:order val="3"/>
          <c:tx>
            <c:v>Gaz </c:v>
          </c:tx>
          <c:spPr>
            <a:prstGeom prst="rect">
              <a:avLst/>
            </a:prstGeom>
            <a:solidFill>
              <a:srgbClr val="FFDE23"/>
            </a:solidFill>
            <a:ln>
              <a:noFill/>
            </a:ln>
            <a:effectLst/>
          </c:spPr>
          <c:invertIfNegative val="0"/>
          <c:cat>
            <c:numLit>
              <c:formatCode>General</c:formatCode>
              <c:ptCount val="2"/>
              <c:pt idx="0">
                <c:v>2020</c:v>
              </c:pt>
              <c:pt idx="1">
                <c:v>2050</c:v>
              </c:pt>
            </c:numLit>
          </c:cat>
          <c:val>
            <c:numLit>
              <c:formatCode>General</c:formatCode>
              <c:ptCount val="2"/>
              <c:pt idx="0">
                <c:v>0.17062744267930458</c:v>
              </c:pt>
              <c:pt idx="1">
                <c:v>0</c:v>
              </c:pt>
            </c:numLit>
          </c:val>
          <c:extLst>
            <c:ext xmlns:c16="http://schemas.microsoft.com/office/drawing/2014/chart" uri="{C3380CC4-5D6E-409C-BE32-E72D297353CC}">
              <c16:uniqueId val="{00000003-A5BB-9440-A33C-BAD906C45F0E}"/>
            </c:ext>
          </c:extLst>
        </c:ser>
        <c:ser>
          <c:idx val="4"/>
          <c:order val="4"/>
          <c:tx>
            <c:v>Chauffage urbain</c:v>
          </c:tx>
          <c:spPr>
            <a:prstGeom prst="rect">
              <a:avLst/>
            </a:prstGeom>
            <a:solidFill>
              <a:srgbClr val="89BBE8"/>
            </a:solidFill>
            <a:ln>
              <a:noFill/>
            </a:ln>
            <a:effectLst/>
          </c:spPr>
          <c:invertIfNegative val="0"/>
          <c:cat>
            <c:numLit>
              <c:formatCode>General</c:formatCode>
              <c:ptCount val="2"/>
              <c:pt idx="0">
                <c:v>2020</c:v>
              </c:pt>
              <c:pt idx="1">
                <c:v>2050</c:v>
              </c:pt>
            </c:numLit>
          </c:cat>
          <c:val>
            <c:numLit>
              <c:formatCode>General</c:formatCode>
              <c:ptCount val="2"/>
              <c:pt idx="0">
                <c:v>3.6978316621505559E-2</c:v>
              </c:pt>
              <c:pt idx="1">
                <c:v>8.8464362352984258E-2</c:v>
              </c:pt>
            </c:numLit>
          </c:val>
          <c:extLst>
            <c:ext xmlns:c16="http://schemas.microsoft.com/office/drawing/2014/chart" uri="{C3380CC4-5D6E-409C-BE32-E72D297353CC}">
              <c16:uniqueId val="{00000004-A5BB-9440-A33C-BAD906C45F0E}"/>
            </c:ext>
          </c:extLst>
        </c:ser>
        <c:dLbls>
          <c:showLegendKey val="0"/>
          <c:showVal val="0"/>
          <c:showCatName val="0"/>
          <c:showSerName val="0"/>
          <c:showPercent val="0"/>
          <c:showBubbleSize val="0"/>
        </c:dLbls>
        <c:gapWidth val="150"/>
        <c:overlap val="100"/>
        <c:axId val="1137669391"/>
        <c:axId val="653426143"/>
      </c:barChart>
      <c:catAx>
        <c:axId val="1137669391"/>
        <c:scaling>
          <c:orientation val="minMax"/>
        </c:scaling>
        <c:delete val="0"/>
        <c:axPos val="b"/>
        <c:numFmt formatCode="General" sourceLinked="1"/>
        <c:majorTickMark val="none"/>
        <c:minorTickMark val="none"/>
        <c:tickLblPos val="nextTo"/>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baseline="0">
                <a:solidFill>
                  <a:schemeClr val="tx1"/>
                </a:solidFill>
                <a:latin typeface="+mn-lt"/>
                <a:ea typeface="+mn-ea"/>
                <a:cs typeface="+mn-cs"/>
              </a:defRPr>
            </a:pPr>
            <a:endParaRPr lang="fr-FR"/>
          </a:p>
        </c:txPr>
        <c:crossAx val="653426143"/>
        <c:crosses val="autoZero"/>
        <c:auto val="1"/>
        <c:lblAlgn val="ctr"/>
        <c:lblOffset val="100"/>
        <c:noMultiLvlLbl val="0"/>
      </c:catAx>
      <c:valAx>
        <c:axId val="653426143"/>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0%"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100" b="1" i="0" u="none" strike="noStrike" baseline="0">
                <a:solidFill>
                  <a:schemeClr val="tx1"/>
                </a:solidFill>
                <a:latin typeface="+mn-lt"/>
                <a:ea typeface="+mn-ea"/>
                <a:cs typeface="+mn-cs"/>
              </a:defRPr>
            </a:pPr>
            <a:endParaRPr lang="fr-FR"/>
          </a:p>
        </c:txPr>
        <c:crossAx val="1137669391"/>
        <c:crosses val="autoZero"/>
        <c:crossBetween val="between"/>
      </c:valAx>
      <c:spPr>
        <a:prstGeom prst="rect">
          <a:avLst/>
        </a:prstGeom>
        <a:noFill/>
        <a:ln>
          <a:noFill/>
        </a:ln>
        <a:effectLst/>
      </c:spPr>
    </c:plotArea>
    <c:legend>
      <c:legendPos val="b"/>
      <c:layout>
        <c:manualLayout>
          <c:xMode val="edge"/>
          <c:yMode val="edge"/>
          <c:x val="0.17383381774662335"/>
          <c:y val="0.86412881663021379"/>
          <c:w val="0.82616618225337668"/>
          <c:h val="0.12205401461283459"/>
        </c:manualLayout>
      </c:layout>
      <c:overlay val="0"/>
      <c:spPr>
        <a:prstGeom prst="rect">
          <a:avLst/>
        </a:prstGeom>
        <a:noFill/>
        <a:ln>
          <a:noFill/>
        </a:ln>
        <a:effectLst/>
      </c:spPr>
      <c:txPr>
        <a:bodyPr rot="0" spcFirstLastPara="1" vertOverflow="ellipsis" vert="horz" wrap="square" anchor="ctr" anchorCtr="1"/>
        <a:lstStyle/>
        <a:p>
          <a:pPr>
            <a:defRPr sz="1100" b="1" i="0" u="none" strike="noStrike" baseline="0">
              <a:solidFill>
                <a:schemeClr val="tx1"/>
              </a:solidFill>
              <a:latin typeface="+mn-lt"/>
              <a:ea typeface="+mn-ea"/>
              <a:cs typeface="+mn-cs"/>
            </a:defRPr>
          </a:pPr>
          <a:endParaRPr lang="fr-FR"/>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13910284326522E-2"/>
          <c:y val="0.14305316038263019"/>
          <c:w val="0.41437499999999999"/>
          <c:h val="0.82849799999999996"/>
        </c:manualLayout>
      </c:layout>
      <c:doughnutChart>
        <c:varyColors val="1"/>
        <c:ser>
          <c:idx val="0"/>
          <c:order val="0"/>
          <c:dPt>
            <c:idx val="0"/>
            <c:bubble3D val="0"/>
            <c:spPr>
              <a:prstGeom prst="rect">
                <a:avLst/>
              </a:prstGeom>
              <a:solidFill>
                <a:schemeClr val="accent2"/>
              </a:solidFill>
              <a:ln w="19050">
                <a:solidFill>
                  <a:schemeClr val="lt1"/>
                </a:solidFill>
              </a:ln>
              <a:effectLst/>
            </c:spPr>
            <c:extLst>
              <c:ext xmlns:c16="http://schemas.microsoft.com/office/drawing/2014/chart" uri="{C3380CC4-5D6E-409C-BE32-E72D297353CC}">
                <c16:uniqueId val="{00000001-BE01-1345-B633-E857FA919F8A}"/>
              </c:ext>
            </c:extLst>
          </c:dPt>
          <c:dPt>
            <c:idx val="1"/>
            <c:bubble3D val="0"/>
            <c:spPr>
              <a:prstGeom prst="rect">
                <a:avLst/>
              </a:prstGeom>
              <a:solidFill>
                <a:schemeClr val="accent4"/>
              </a:solidFill>
              <a:ln w="19050">
                <a:solidFill>
                  <a:schemeClr val="lt1"/>
                </a:solidFill>
              </a:ln>
              <a:effectLst/>
            </c:spPr>
            <c:extLst>
              <c:ext xmlns:c16="http://schemas.microsoft.com/office/drawing/2014/chart" uri="{C3380CC4-5D6E-409C-BE32-E72D297353CC}">
                <c16:uniqueId val="{00000003-BE01-1345-B633-E857FA919F8A}"/>
              </c:ext>
            </c:extLst>
          </c:dPt>
          <c:dPt>
            <c:idx val="2"/>
            <c:bubble3D val="0"/>
            <c:spPr>
              <a:prstGeom prst="rect">
                <a:avLst/>
              </a:prstGeom>
              <a:solidFill>
                <a:srgbClr val="00005A"/>
              </a:solidFill>
              <a:ln w="19050">
                <a:solidFill>
                  <a:schemeClr val="lt1"/>
                </a:solidFill>
              </a:ln>
              <a:effectLst/>
            </c:spPr>
            <c:extLst>
              <c:ext xmlns:c16="http://schemas.microsoft.com/office/drawing/2014/chart" uri="{C3380CC4-5D6E-409C-BE32-E72D297353CC}">
                <c16:uniqueId val="{00000005-BE01-1345-B633-E857FA919F8A}"/>
              </c:ext>
            </c:extLst>
          </c:dPt>
          <c:dPt>
            <c:idx val="3"/>
            <c:bubble3D val="0"/>
            <c:spPr>
              <a:prstGeom prst="rect">
                <a:avLst/>
              </a:prstGeom>
              <a:solidFill>
                <a:srgbClr val="5693CA"/>
              </a:solidFill>
              <a:ln w="19050">
                <a:solidFill>
                  <a:schemeClr val="lt1"/>
                </a:solidFill>
              </a:ln>
              <a:effectLst/>
            </c:spPr>
            <c:extLst>
              <c:ext xmlns:c16="http://schemas.microsoft.com/office/drawing/2014/chart" uri="{C3380CC4-5D6E-409C-BE32-E72D297353CC}">
                <c16:uniqueId val="{00000007-BE01-1345-B633-E857FA919F8A}"/>
              </c:ext>
            </c:extLst>
          </c:dPt>
          <c:dPt>
            <c:idx val="4"/>
            <c:bubble3D val="0"/>
            <c:spPr>
              <a:prstGeom prst="rect">
                <a:avLst/>
              </a:prstGeom>
              <a:solidFill>
                <a:schemeClr val="accent6"/>
              </a:solidFill>
              <a:ln w="19050">
                <a:solidFill>
                  <a:schemeClr val="lt1"/>
                </a:solidFill>
              </a:ln>
              <a:effectLst/>
            </c:spPr>
            <c:extLst>
              <c:ext xmlns:c16="http://schemas.microsoft.com/office/drawing/2014/chart" uri="{C3380CC4-5D6E-409C-BE32-E72D297353CC}">
                <c16:uniqueId val="{00000009-BE01-1345-B633-E857FA919F8A}"/>
              </c:ext>
            </c:extLst>
          </c:dPt>
          <c:dPt>
            <c:idx val="5"/>
            <c:bubble3D val="0"/>
            <c:spPr>
              <a:solidFill>
                <a:srgbClr val="00B050"/>
              </a:solidFill>
            </c:spPr>
            <c:extLst>
              <c:ext xmlns:c16="http://schemas.microsoft.com/office/drawing/2014/chart" uri="{C3380CC4-5D6E-409C-BE32-E72D297353CC}">
                <c16:uniqueId val="{0000000B-BE01-1345-B633-E857FA919F8A}"/>
              </c:ext>
            </c:extLst>
          </c:dPt>
          <c:dLbls>
            <c:dLbl>
              <c:idx val="0"/>
              <c:layout>
                <c:manualLayout>
                  <c:x val="8.2897999999999999E-2"/>
                  <c:y val="0.138866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01-1345-B633-E857FA919F8A}"/>
                </c:ext>
              </c:extLst>
            </c:dLbl>
            <c:dLbl>
              <c:idx val="1"/>
              <c:layout>
                <c:manualLayout>
                  <c:x val="-9.1859999999999997E-2"/>
                  <c:y val="-8.5111999999999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01-1345-B633-E857FA919F8A}"/>
                </c:ext>
              </c:extLst>
            </c:dLbl>
            <c:dLbl>
              <c:idx val="2"/>
              <c:layout>
                <c:manualLayout>
                  <c:x val="-0.12677098413455154"/>
                  <c:y val="-5.9606845570819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01-1345-B633-E857FA919F8A}"/>
                </c:ext>
              </c:extLst>
            </c:dLbl>
            <c:dLbl>
              <c:idx val="3"/>
              <c:layout>
                <c:manualLayout>
                  <c:x val="-0.10299676017564388"/>
                  <c:y val="-0.131087754940326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01-1345-B633-E857FA919F8A}"/>
                </c:ext>
              </c:extLst>
            </c:dLbl>
            <c:dLbl>
              <c:idx val="4"/>
              <c:layout>
                <c:manualLayout>
                  <c:x val="-1.9575707641774989E-2"/>
                  <c:y val="-0.156441208228356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01-1345-B633-E857FA919F8A}"/>
                </c:ext>
              </c:extLst>
            </c:dLbl>
            <c:dLbl>
              <c:idx val="5"/>
              <c:layout>
                <c:manualLayout>
                  <c:x val="0.10313787018367647"/>
                  <c:y val="-0.145147664365793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E01-1345-B633-E857FA919F8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baseline="0">
                    <a:solidFill>
                      <a:schemeClr val="tx1"/>
                    </a:solidFill>
                    <a:latin typeface="+mn-lt"/>
                    <a:ea typeface="+mn-ea"/>
                    <a:cs typeface="+mn-cs"/>
                  </a:defRPr>
                </a:pPr>
                <a:endParaRPr lang="fr-FR"/>
              </a:p>
            </c:txPr>
            <c:showLegendKey val="0"/>
            <c:showVal val="1"/>
            <c:showCatName val="0"/>
            <c:showSerName val="0"/>
            <c:showPercent val="0"/>
            <c:showBubbleSize val="0"/>
            <c:showLeaderLines val="1"/>
            <c:leaderLines>
              <c:spPr>
                <a:prstGeom prst="rect">
                  <a:avLst/>
                </a:prstGeom>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'2. Energie '!$B$226:$B$230</c:f>
              <c:strCache>
                <c:ptCount val="5"/>
                <c:pt idx="0">
                  <c:v>Gaz naturel</c:v>
                </c:pt>
                <c:pt idx="1">
                  <c:v>Électricité</c:v>
                </c:pt>
                <c:pt idx="2">
                  <c:v>Fioul</c:v>
                </c:pt>
                <c:pt idx="3">
                  <c:v>Chaleur</c:v>
                </c:pt>
                <c:pt idx="4">
                  <c:v>Énergies renouvelables</c:v>
                </c:pt>
              </c:strCache>
            </c:strRef>
          </c:cat>
          <c:val>
            <c:numRef>
              <c:f>'2. Energie '!$C$226:$C$230</c:f>
              <c:numCache>
                <c:formatCode>0%</c:formatCode>
                <c:ptCount val="5"/>
                <c:pt idx="0">
                  <c:v>0.52001313441235342</c:v>
                </c:pt>
                <c:pt idx="1">
                  <c:v>0.37126771270068226</c:v>
                </c:pt>
                <c:pt idx="2">
                  <c:v>8.8944468539325625E-2</c:v>
                </c:pt>
                <c:pt idx="3" formatCode="0.0%">
                  <c:v>1.7850960424024561E-2</c:v>
                </c:pt>
                <c:pt idx="4" formatCode="0.0%">
                  <c:v>1.923723923614114E-3</c:v>
                </c:pt>
              </c:numCache>
            </c:numRef>
          </c:val>
          <c:extLst>
            <c:ext xmlns:c16="http://schemas.microsoft.com/office/drawing/2014/chart" uri="{C3380CC4-5D6E-409C-BE32-E72D297353CC}">
              <c16:uniqueId val="{0000000A-BE01-1345-B633-E857FA919F8A}"/>
            </c:ext>
          </c:extLst>
        </c:ser>
        <c:dLbls>
          <c:showLegendKey val="0"/>
          <c:showVal val="1"/>
          <c:showCatName val="0"/>
          <c:showSerName val="0"/>
          <c:showPercent val="0"/>
          <c:showBubbleSize val="0"/>
          <c:showLeaderLines val="1"/>
        </c:dLbls>
        <c:firstSliceAng val="0"/>
        <c:holeSize val="50"/>
      </c:doughnutChart>
      <c:spPr>
        <a:prstGeom prst="rect">
          <a:avLst/>
        </a:prstGeom>
        <a:noFill/>
        <a:ln>
          <a:noFill/>
        </a:ln>
        <a:effectLst/>
      </c:spPr>
    </c:plotArea>
    <c:plotVisOnly val="1"/>
    <c:dispBlanksAs val="gap"/>
    <c:showDLblsOverMax val="0"/>
  </c:chart>
  <c:spPr>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13910284326522E-2"/>
          <c:y val="0.14305316038263019"/>
          <c:w val="0.41437499999999999"/>
          <c:h val="0.82849799999999996"/>
        </c:manualLayout>
      </c:layout>
      <c:doughnutChart>
        <c:varyColors val="1"/>
        <c:ser>
          <c:idx val="0"/>
          <c:order val="0"/>
          <c:dPt>
            <c:idx val="0"/>
            <c:bubble3D val="0"/>
            <c:spPr>
              <a:prstGeom prst="rect">
                <a:avLst/>
              </a:prstGeom>
              <a:solidFill>
                <a:schemeClr val="accent2"/>
              </a:solidFill>
              <a:ln w="19050">
                <a:solidFill>
                  <a:schemeClr val="lt1"/>
                </a:solidFill>
              </a:ln>
              <a:effectLst/>
            </c:spPr>
            <c:extLst>
              <c:ext xmlns:c16="http://schemas.microsoft.com/office/drawing/2014/chart" uri="{C3380CC4-5D6E-409C-BE32-E72D297353CC}">
                <c16:uniqueId val="{00000001-60E1-8740-81DA-B2E11C3E0814}"/>
              </c:ext>
            </c:extLst>
          </c:dPt>
          <c:dPt>
            <c:idx val="1"/>
            <c:bubble3D val="0"/>
            <c:spPr>
              <a:prstGeom prst="rect">
                <a:avLst/>
              </a:prstGeom>
              <a:solidFill>
                <a:schemeClr val="accent4"/>
              </a:solidFill>
              <a:ln w="19050">
                <a:solidFill>
                  <a:schemeClr val="lt1"/>
                </a:solidFill>
              </a:ln>
              <a:effectLst/>
            </c:spPr>
            <c:extLst>
              <c:ext xmlns:c16="http://schemas.microsoft.com/office/drawing/2014/chart" uri="{C3380CC4-5D6E-409C-BE32-E72D297353CC}">
                <c16:uniqueId val="{00000003-60E1-8740-81DA-B2E11C3E0814}"/>
              </c:ext>
            </c:extLst>
          </c:dPt>
          <c:dPt>
            <c:idx val="2"/>
            <c:bubble3D val="0"/>
            <c:spPr>
              <a:prstGeom prst="rect">
                <a:avLst/>
              </a:prstGeom>
              <a:solidFill>
                <a:srgbClr val="00005A"/>
              </a:solidFill>
              <a:ln w="19050">
                <a:solidFill>
                  <a:schemeClr val="lt1"/>
                </a:solidFill>
              </a:ln>
              <a:effectLst/>
            </c:spPr>
            <c:extLst>
              <c:ext xmlns:c16="http://schemas.microsoft.com/office/drawing/2014/chart" uri="{C3380CC4-5D6E-409C-BE32-E72D297353CC}">
                <c16:uniqueId val="{00000005-60E1-8740-81DA-B2E11C3E0814}"/>
              </c:ext>
            </c:extLst>
          </c:dPt>
          <c:dPt>
            <c:idx val="3"/>
            <c:bubble3D val="0"/>
            <c:spPr>
              <a:prstGeom prst="rect">
                <a:avLst/>
              </a:prstGeom>
              <a:solidFill>
                <a:srgbClr val="5693CA"/>
              </a:solidFill>
              <a:ln w="19050">
                <a:solidFill>
                  <a:schemeClr val="lt1"/>
                </a:solidFill>
              </a:ln>
              <a:effectLst/>
            </c:spPr>
            <c:extLst>
              <c:ext xmlns:c16="http://schemas.microsoft.com/office/drawing/2014/chart" uri="{C3380CC4-5D6E-409C-BE32-E72D297353CC}">
                <c16:uniqueId val="{00000007-60E1-8740-81DA-B2E11C3E0814}"/>
              </c:ext>
            </c:extLst>
          </c:dPt>
          <c:dPt>
            <c:idx val="4"/>
            <c:bubble3D val="0"/>
            <c:spPr>
              <a:prstGeom prst="rect">
                <a:avLst/>
              </a:prstGeom>
              <a:solidFill>
                <a:schemeClr val="accent6"/>
              </a:solidFill>
              <a:ln w="19050">
                <a:solidFill>
                  <a:schemeClr val="lt1"/>
                </a:solidFill>
              </a:ln>
              <a:effectLst/>
            </c:spPr>
            <c:extLst>
              <c:ext xmlns:c16="http://schemas.microsoft.com/office/drawing/2014/chart" uri="{C3380CC4-5D6E-409C-BE32-E72D297353CC}">
                <c16:uniqueId val="{00000009-60E1-8740-81DA-B2E11C3E0814}"/>
              </c:ext>
            </c:extLst>
          </c:dPt>
          <c:dPt>
            <c:idx val="5"/>
            <c:bubble3D val="0"/>
            <c:spPr>
              <a:solidFill>
                <a:srgbClr val="00B050"/>
              </a:solidFill>
            </c:spPr>
            <c:extLst>
              <c:ext xmlns:c16="http://schemas.microsoft.com/office/drawing/2014/chart" uri="{C3380CC4-5D6E-409C-BE32-E72D297353CC}">
                <c16:uniqueId val="{0000000B-60E1-8740-81DA-B2E11C3E0814}"/>
              </c:ext>
            </c:extLst>
          </c:dPt>
          <c:dLbls>
            <c:dLbl>
              <c:idx val="0"/>
              <c:layout>
                <c:manualLayout>
                  <c:x val="8.2897999999999999E-2"/>
                  <c:y val="0.138866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E1-8740-81DA-B2E11C3E0814}"/>
                </c:ext>
              </c:extLst>
            </c:dLbl>
            <c:dLbl>
              <c:idx val="1"/>
              <c:layout>
                <c:manualLayout>
                  <c:x val="-9.1859999999999997E-2"/>
                  <c:y val="-8.5111999999999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E1-8740-81DA-B2E11C3E0814}"/>
                </c:ext>
              </c:extLst>
            </c:dLbl>
            <c:dLbl>
              <c:idx val="2"/>
              <c:layout>
                <c:manualLayout>
                  <c:x val="-0.12677098413455154"/>
                  <c:y val="-5.9606845570819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E1-8740-81DA-B2E11C3E0814}"/>
                </c:ext>
              </c:extLst>
            </c:dLbl>
            <c:dLbl>
              <c:idx val="3"/>
              <c:layout>
                <c:manualLayout>
                  <c:x val="-6.5223261749269873E-2"/>
                  <c:y val="-0.13698125719424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E1-8740-81DA-B2E11C3E0814}"/>
                </c:ext>
              </c:extLst>
            </c:dLbl>
            <c:dLbl>
              <c:idx val="4"/>
              <c:layout>
                <c:manualLayout>
                  <c:x val="4.0326373460635541E-3"/>
                  <c:y val="-0.150547801127041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E1-8740-81DA-B2E11C3E0814}"/>
                </c:ext>
              </c:extLst>
            </c:dLbl>
            <c:dLbl>
              <c:idx val="5"/>
              <c:layout>
                <c:manualLayout>
                  <c:x val="0.10628564729344228"/>
                  <c:y val="-0.115680367862859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E1-8740-81DA-B2E11C3E0814}"/>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baseline="0">
                    <a:solidFill>
                      <a:schemeClr val="tx1"/>
                    </a:solidFill>
                    <a:latin typeface="+mn-lt"/>
                    <a:ea typeface="+mn-ea"/>
                    <a:cs typeface="+mn-cs"/>
                  </a:defRPr>
                </a:pPr>
                <a:endParaRPr lang="fr-FR"/>
              </a:p>
            </c:txPr>
            <c:showLegendKey val="0"/>
            <c:showVal val="1"/>
            <c:showCatName val="0"/>
            <c:showSerName val="0"/>
            <c:showPercent val="0"/>
            <c:showBubbleSize val="0"/>
            <c:showLeaderLines val="1"/>
            <c:leaderLines>
              <c:spPr>
                <a:prstGeom prst="rect">
                  <a:avLst/>
                </a:prstGeom>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'2. Energie '!$B$236:$B$240</c:f>
              <c:strCache>
                <c:ptCount val="5"/>
                <c:pt idx="0">
                  <c:v>Gaz naturel</c:v>
                </c:pt>
                <c:pt idx="1">
                  <c:v>Électricité</c:v>
                </c:pt>
                <c:pt idx="2">
                  <c:v>Fioul</c:v>
                </c:pt>
                <c:pt idx="3">
                  <c:v>Chaleur</c:v>
                </c:pt>
                <c:pt idx="4">
                  <c:v>Énergies renouvelables</c:v>
                </c:pt>
              </c:strCache>
            </c:strRef>
          </c:cat>
          <c:val>
            <c:numRef>
              <c:f>'2. Energie '!$C$236:$C$240</c:f>
              <c:numCache>
                <c:formatCode>0%</c:formatCode>
                <c:ptCount val="5"/>
                <c:pt idx="0">
                  <c:v>0.70181707982810126</c:v>
                </c:pt>
                <c:pt idx="1">
                  <c:v>0.11478213247853886</c:v>
                </c:pt>
                <c:pt idx="2">
                  <c:v>0.17133564254646116</c:v>
                </c:pt>
                <c:pt idx="3" formatCode="0.0%">
                  <c:v>1.1886756677326443E-2</c:v>
                </c:pt>
                <c:pt idx="4" formatCode="0.00%">
                  <c:v>1.783884695721521E-4</c:v>
                </c:pt>
              </c:numCache>
            </c:numRef>
          </c:val>
          <c:extLst>
            <c:ext xmlns:c16="http://schemas.microsoft.com/office/drawing/2014/chart" uri="{C3380CC4-5D6E-409C-BE32-E72D297353CC}">
              <c16:uniqueId val="{0000000C-60E1-8740-81DA-B2E11C3E0814}"/>
            </c:ext>
          </c:extLst>
        </c:ser>
        <c:dLbls>
          <c:showLegendKey val="0"/>
          <c:showVal val="1"/>
          <c:showCatName val="0"/>
          <c:showSerName val="0"/>
          <c:showPercent val="0"/>
          <c:showBubbleSize val="0"/>
          <c:showLeaderLines val="1"/>
        </c:dLbls>
        <c:firstSliceAng val="0"/>
        <c:holeSize val="50"/>
      </c:doughnutChart>
      <c:spPr>
        <a:prstGeom prst="rect">
          <a:avLst/>
        </a:prstGeom>
        <a:noFill/>
        <a:ln>
          <a:noFill/>
        </a:ln>
        <a:effectLst/>
      </c:spPr>
    </c:plotArea>
    <c:legend>
      <c:legendPos val="r"/>
      <c:layout>
        <c:manualLayout>
          <c:xMode val="edge"/>
          <c:yMode val="edge"/>
          <c:x val="0.54950797585161493"/>
          <c:y val="0.12538447779856915"/>
          <c:w val="0.41327000000000003"/>
          <c:h val="0.83313300000000001"/>
        </c:manualLayout>
      </c:layout>
      <c:overlay val="0"/>
      <c:spPr>
        <a:prstGeom prst="rect">
          <a:avLst/>
        </a:prstGeom>
        <a:noFill/>
        <a:ln>
          <a:noFill/>
        </a:ln>
        <a:effectLst/>
      </c:spPr>
      <c:txPr>
        <a:bodyPr rot="0" spcFirstLastPara="1" vertOverflow="ellipsis" vert="horz" wrap="square" anchor="ctr" anchorCtr="1"/>
        <a:lstStyle/>
        <a:p>
          <a:pPr>
            <a:defRPr sz="1400" b="1" i="0" u="none" strike="noStrike" baseline="0">
              <a:solidFill>
                <a:schemeClr val="tx1"/>
              </a:solidFill>
              <a:latin typeface="+mn-lt"/>
              <a:ea typeface="+mn-ea"/>
              <a:cs typeface="+mn-cs"/>
            </a:defRPr>
          </a:pPr>
          <a:endParaRPr lang="fr-FR"/>
        </a:p>
      </c:txPr>
    </c:legend>
    <c:plotVisOnly val="1"/>
    <c:dispBlanksAs val="gap"/>
    <c:showDLblsOverMax val="0"/>
  </c:chart>
  <c:spPr>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prstGeom prst="rect">
              <a:avLst/>
            </a:prstGeom>
            <a:solidFill>
              <a:schemeClr val="accent1">
                <a:alpha val="0"/>
              </a:schemeClr>
            </a:solidFill>
            <a:ln>
              <a:noFill/>
            </a:ln>
            <a:effectLst/>
          </c:spPr>
          <c:invertIfNegative val="0"/>
          <c:cat>
            <c:strRef>
              <c:f>'Fiche levier - 2'!$G$21:$G$25</c:f>
              <c:strCache>
                <c:ptCount val="5"/>
                <c:pt idx="0">
                  <c:v>Émissions annuelles en 2022</c:v>
                </c:pt>
                <c:pt idx="1">
                  <c:v>Sortie des énergies fossiles (remplacement des groupes électrogènes, chaudières fioul et gaz)</c:v>
                </c:pt>
                <c:pt idx="2">
                  <c:v>Baisse de la consommation d'énergie (rénovation, optimisation, sobriété)</c:v>
                </c:pt>
                <c:pt idx="3">
                  <c:v>Baisse de l'intensité carbone de l'énergie (électricité, chauffage urbain)</c:v>
                </c:pt>
                <c:pt idx="4">
                  <c:v>Émissions annuelles en 2050 après transformation</c:v>
                </c:pt>
              </c:strCache>
            </c:strRef>
          </c:cat>
          <c:val>
            <c:numRef>
              <c:f>'Fiche levier - 2'!$H$21:$H$25</c:f>
              <c:numCache>
                <c:formatCode>_-* #\ ##0_-;\-* #\ ##0_-;_-* "-"??_-;_-@_-</c:formatCode>
                <c:ptCount val="5"/>
                <c:pt idx="0">
                  <c:v>0</c:v>
                </c:pt>
                <c:pt idx="1">
                  <c:v>36630</c:v>
                </c:pt>
                <c:pt idx="2">
                  <c:v>14650</c:v>
                </c:pt>
                <c:pt idx="3">
                  <c:v>3040</c:v>
                </c:pt>
                <c:pt idx="4">
                  <c:v>0</c:v>
                </c:pt>
              </c:numCache>
            </c:numRef>
          </c:val>
          <c:extLst>
            <c:ext xmlns:c16="http://schemas.microsoft.com/office/drawing/2014/chart" uri="{C3380CC4-5D6E-409C-BE32-E72D297353CC}">
              <c16:uniqueId val="{00000000-D961-2944-9E3B-74930E77DA5C}"/>
            </c:ext>
          </c:extLst>
        </c:ser>
        <c:ser>
          <c:idx val="1"/>
          <c:order val="1"/>
          <c:spPr>
            <a:prstGeom prst="rect">
              <a:avLst/>
            </a:prstGeom>
            <a:solidFill>
              <a:schemeClr val="accent2"/>
            </a:solidFill>
            <a:ln>
              <a:noFill/>
            </a:ln>
            <a:effectLst/>
          </c:spPr>
          <c:invertIfNegative val="0"/>
          <c:dPt>
            <c:idx val="0"/>
            <c:invertIfNegative val="0"/>
            <c:bubble3D val="0"/>
            <c:spPr>
              <a:prstGeom prst="rect">
                <a:avLst/>
              </a:prstGeom>
              <a:solidFill>
                <a:srgbClr val="002060"/>
              </a:solidFill>
              <a:ln>
                <a:noFill/>
              </a:ln>
              <a:effectLst/>
            </c:spPr>
            <c:extLst>
              <c:ext xmlns:c16="http://schemas.microsoft.com/office/drawing/2014/chart" uri="{C3380CC4-5D6E-409C-BE32-E72D297353CC}">
                <c16:uniqueId val="{00000002-D961-2944-9E3B-74930E77DA5C}"/>
              </c:ext>
            </c:extLst>
          </c:dPt>
          <c:dPt>
            <c:idx val="1"/>
            <c:invertIfNegative val="0"/>
            <c:bubble3D val="0"/>
            <c:spPr>
              <a:prstGeom prst="rect">
                <a:avLst/>
              </a:prstGeom>
              <a:solidFill>
                <a:schemeClr val="accent4"/>
              </a:solidFill>
              <a:ln>
                <a:noFill/>
              </a:ln>
              <a:effectLst/>
            </c:spPr>
            <c:extLst>
              <c:ext xmlns:c16="http://schemas.microsoft.com/office/drawing/2014/chart" uri="{C3380CC4-5D6E-409C-BE32-E72D297353CC}">
                <c16:uniqueId val="{00000004-D961-2944-9E3B-74930E77DA5C}"/>
              </c:ext>
            </c:extLst>
          </c:dPt>
          <c:dPt>
            <c:idx val="2"/>
            <c:invertIfNegative val="0"/>
            <c:bubble3D val="0"/>
            <c:spPr>
              <a:prstGeom prst="rect">
                <a:avLst/>
              </a:prstGeom>
              <a:solidFill>
                <a:schemeClr val="accent5"/>
              </a:solidFill>
              <a:ln>
                <a:noFill/>
              </a:ln>
              <a:effectLst/>
            </c:spPr>
            <c:extLst>
              <c:ext xmlns:c16="http://schemas.microsoft.com/office/drawing/2014/chart" uri="{C3380CC4-5D6E-409C-BE32-E72D297353CC}">
                <c16:uniqueId val="{00000006-D961-2944-9E3B-74930E77DA5C}"/>
              </c:ext>
            </c:extLst>
          </c:dPt>
          <c:dPt>
            <c:idx val="3"/>
            <c:invertIfNegative val="0"/>
            <c:bubble3D val="0"/>
            <c:spPr>
              <a:prstGeom prst="rect">
                <a:avLst/>
              </a:prstGeom>
              <a:solidFill>
                <a:schemeClr val="accent3"/>
              </a:solidFill>
              <a:ln>
                <a:noFill/>
              </a:ln>
              <a:effectLst/>
            </c:spPr>
            <c:extLst>
              <c:ext xmlns:c16="http://schemas.microsoft.com/office/drawing/2014/chart" uri="{C3380CC4-5D6E-409C-BE32-E72D297353CC}">
                <c16:uniqueId val="{00000008-D961-2944-9E3B-74930E77DA5C}"/>
              </c:ext>
            </c:extLst>
          </c:dPt>
          <c:dPt>
            <c:idx val="4"/>
            <c:invertIfNegative val="0"/>
            <c:bubble3D val="0"/>
            <c:spPr>
              <a:prstGeom prst="rect">
                <a:avLst/>
              </a:prstGeom>
              <a:solidFill>
                <a:srgbClr val="00005A"/>
              </a:solidFill>
              <a:ln>
                <a:noFill/>
              </a:ln>
              <a:effectLst/>
            </c:spPr>
            <c:extLst>
              <c:ext xmlns:c16="http://schemas.microsoft.com/office/drawing/2014/chart" uri="{C3380CC4-5D6E-409C-BE32-E72D297353CC}">
                <c16:uniqueId val="{0000000A-D961-2944-9E3B-74930E77DA5C}"/>
              </c:ext>
            </c:extLst>
          </c:dPt>
          <c:cat>
            <c:strRef>
              <c:f>'Fiche levier - 2'!$G$21:$G$25</c:f>
              <c:strCache>
                <c:ptCount val="5"/>
                <c:pt idx="0">
                  <c:v>Émissions annuelles en 2022</c:v>
                </c:pt>
                <c:pt idx="1">
                  <c:v>Sortie des énergies fossiles (remplacement des groupes électrogènes, chaudières fioul et gaz)</c:v>
                </c:pt>
                <c:pt idx="2">
                  <c:v>Baisse de la consommation d'énergie (rénovation, optimisation, sobriété)</c:v>
                </c:pt>
                <c:pt idx="3">
                  <c:v>Baisse de l'intensité carbone de l'énergie (électricité, chauffage urbain)</c:v>
                </c:pt>
                <c:pt idx="4">
                  <c:v>Émissions annuelles en 2050 après transformation</c:v>
                </c:pt>
              </c:strCache>
            </c:strRef>
          </c:cat>
          <c:val>
            <c:numRef>
              <c:f>'Fiche levier - 2'!$I$21:$I$25</c:f>
              <c:numCache>
                <c:formatCode>_-* #\ ##0_-;\-* #\ ##0_-;_-* "-"??_-;_-@_-</c:formatCode>
                <c:ptCount val="5"/>
                <c:pt idx="0">
                  <c:v>98190</c:v>
                </c:pt>
                <c:pt idx="1">
                  <c:v>61563.8127283676</c:v>
                </c:pt>
                <c:pt idx="2">
                  <c:v>21980</c:v>
                </c:pt>
                <c:pt idx="3">
                  <c:v>11610</c:v>
                </c:pt>
                <c:pt idx="4">
                  <c:v>3010</c:v>
                </c:pt>
              </c:numCache>
            </c:numRef>
          </c:val>
          <c:extLst>
            <c:ext xmlns:c16="http://schemas.microsoft.com/office/drawing/2014/chart" uri="{C3380CC4-5D6E-409C-BE32-E72D297353CC}">
              <c16:uniqueId val="{0000000B-D961-2944-9E3B-74930E77DA5C}"/>
            </c:ext>
          </c:extLst>
        </c:ser>
        <c:dLbls>
          <c:showLegendKey val="0"/>
          <c:showVal val="0"/>
          <c:showCatName val="0"/>
          <c:showSerName val="0"/>
          <c:showPercent val="0"/>
          <c:showBubbleSize val="0"/>
        </c:dLbls>
        <c:gapWidth val="11"/>
        <c:overlap val="100"/>
        <c:axId val="182660096"/>
        <c:axId val="183281040"/>
      </c:barChart>
      <c:catAx>
        <c:axId val="182660096"/>
        <c:scaling>
          <c:orientation val="minMax"/>
        </c:scaling>
        <c:delete val="0"/>
        <c:axPos val="b"/>
        <c:numFmt formatCode="General" sourceLinked="1"/>
        <c:majorTickMark val="none"/>
        <c:minorTickMark val="none"/>
        <c:tickLblPos val="nextTo"/>
        <c:spPr>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baseline="0">
                <a:solidFill>
                  <a:schemeClr val="tx2"/>
                </a:solidFill>
                <a:latin typeface="+mn-lt"/>
                <a:ea typeface="+mn-ea"/>
                <a:cs typeface="+mn-cs"/>
              </a:defRPr>
            </a:pPr>
            <a:endParaRPr lang="fr-FR"/>
          </a:p>
        </c:txPr>
        <c:crossAx val="183281040"/>
        <c:crosses val="autoZero"/>
        <c:auto val="1"/>
        <c:lblAlgn val="ctr"/>
        <c:lblOffset val="100"/>
        <c:noMultiLvlLbl val="0"/>
      </c:catAx>
      <c:valAx>
        <c:axId val="183281040"/>
        <c:scaling>
          <c:orientation val="minMax"/>
          <c:max val="100000"/>
          <c:min val="0"/>
        </c:scaling>
        <c:delete val="0"/>
        <c:axPos val="l"/>
        <c:majorGridlines>
          <c:spPr>
            <a:prstGeom prst="rect">
              <a:avLst/>
            </a:prstGeom>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a:lnSpc>
                    <a:spcPct val="100000"/>
                  </a:lnSpc>
                  <a:spcBef>
                    <a:spcPts val="0"/>
                  </a:spcBef>
                  <a:spcAft>
                    <a:spcPts val="0"/>
                  </a:spcAft>
                  <a:buClrTx/>
                  <a:buSzTx/>
                  <a:buFontTx/>
                  <a:buNone/>
                  <a:defRPr sz="1200" b="0" i="0" u="none" strike="noStrike" baseline="0">
                    <a:solidFill>
                      <a:schemeClr val="tx2"/>
                    </a:solidFill>
                    <a:latin typeface="+mn-lt"/>
                    <a:ea typeface="+mn-ea"/>
                    <a:cs typeface="+mn-cs"/>
                  </a:defRPr>
                </a:pPr>
                <a:r>
                  <a:rPr lang="fr-FR" sz="1200" b="1" i="0" u="none" strike="noStrike">
                    <a:solidFill>
                      <a:schemeClr val="tx2"/>
                    </a:solidFill>
                  </a:rPr>
                  <a:t>Émissions en tonnes de CO2 équivalents</a:t>
                </a:r>
                <a:endParaRPr lang="fr-FR" sz="1200">
                  <a:solidFill>
                    <a:schemeClr val="tx2"/>
                  </a:solidFill>
                </a:endParaRPr>
              </a:p>
            </c:rich>
          </c:tx>
          <c:overlay val="0"/>
          <c:spPr>
            <a:prstGeom prst="rect">
              <a:avLst/>
            </a:prstGeom>
            <a:noFill/>
            <a:ln>
              <a:noFill/>
            </a:ln>
            <a:effectLst/>
          </c:spPr>
        </c:title>
        <c:numFmt formatCode="_-* #\ ##0_-;\-* #\ ##0_-;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200" b="1" i="0" u="none" strike="noStrike" baseline="0">
                <a:solidFill>
                  <a:schemeClr val="tx2"/>
                </a:solidFill>
                <a:latin typeface="+mn-lt"/>
                <a:ea typeface="+mn-ea"/>
                <a:cs typeface="+mn-cs"/>
              </a:defRPr>
            </a:pPr>
            <a:endParaRPr lang="fr-FR"/>
          </a:p>
        </c:txPr>
        <c:crossAx val="182660096"/>
        <c:crosses val="autoZero"/>
        <c:crossBetween val="between"/>
      </c:valAx>
      <c:spPr>
        <a:prstGeom prst="rect">
          <a:avLst/>
        </a:prstGeom>
        <a:noFill/>
        <a:ln>
          <a:noFill/>
        </a:ln>
        <a:effectLst/>
      </c:spPr>
    </c:plotArea>
    <c:plotVisOnly val="1"/>
    <c:dispBlanksAs val="gap"/>
    <c:showDLblsOverMax val="0"/>
  </c:chart>
  <c:spPr>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'Fiche levier - 2'!$S$32</c:f>
              <c:strCache>
                <c:ptCount val="1"/>
                <c:pt idx="0">
                  <c:v>Électricité </c:v>
                </c:pt>
              </c:strCache>
            </c:strRef>
          </c:tx>
          <c:spPr>
            <a:prstGeom prst="rect">
              <a:avLst/>
            </a:prstGeom>
            <a:solidFill>
              <a:srgbClr val="00005A"/>
            </a:solidFill>
            <a:ln>
              <a:solidFill>
                <a:schemeClr val="bg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cat>
            <c:numRef>
              <c:f>'Fiche levier - 2'!$T$31:$U$31</c:f>
              <c:numCache>
                <c:formatCode>General</c:formatCode>
                <c:ptCount val="2"/>
                <c:pt idx="0">
                  <c:v>2022</c:v>
                </c:pt>
                <c:pt idx="1">
                  <c:v>2050</c:v>
                </c:pt>
              </c:numCache>
            </c:numRef>
          </c:cat>
          <c:val>
            <c:numRef>
              <c:f>'Fiche levier - 2'!$T$32:$U$32</c:f>
              <c:numCache>
                <c:formatCode>0%</c:formatCode>
                <c:ptCount val="2"/>
                <c:pt idx="0">
                  <c:v>0.37126771270068226</c:v>
                </c:pt>
                <c:pt idx="1">
                  <c:v>0.80852041058054702</c:v>
                </c:pt>
              </c:numCache>
            </c:numRef>
          </c:val>
          <c:extLst>
            <c:ext xmlns:c16="http://schemas.microsoft.com/office/drawing/2014/chart" uri="{C3380CC4-5D6E-409C-BE32-E72D297353CC}">
              <c16:uniqueId val="{00000000-362E-804F-85E9-2159E4031AEF}"/>
            </c:ext>
          </c:extLst>
        </c:ser>
        <c:ser>
          <c:idx val="1"/>
          <c:order val="1"/>
          <c:tx>
            <c:strRef>
              <c:f>'Fiche levier - 2'!$S$33</c:f>
              <c:strCache>
                <c:ptCount val="1"/>
                <c:pt idx="0">
                  <c:v>Gaz </c:v>
                </c:pt>
              </c:strCache>
            </c:strRef>
          </c:tx>
          <c:spPr>
            <a:prstGeom prst="rect">
              <a:avLst/>
            </a:prstGeom>
            <a:solidFill>
              <a:schemeClr val="accent4"/>
            </a:solidFill>
            <a:ln>
              <a:solidFill>
                <a:schemeClr val="bg2"/>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1A5-EC40-A1D5-F9916994D4C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cat>
            <c:numRef>
              <c:f>'Fiche levier - 2'!$T$31:$U$31</c:f>
              <c:numCache>
                <c:formatCode>General</c:formatCode>
                <c:ptCount val="2"/>
                <c:pt idx="0">
                  <c:v>2022</c:v>
                </c:pt>
                <c:pt idx="1">
                  <c:v>2050</c:v>
                </c:pt>
              </c:numCache>
            </c:numRef>
          </c:cat>
          <c:val>
            <c:numRef>
              <c:f>'Fiche levier - 2'!$T$33:$U$33</c:f>
              <c:numCache>
                <c:formatCode>0%</c:formatCode>
                <c:ptCount val="2"/>
                <c:pt idx="0">
                  <c:v>0.52001313441235342</c:v>
                </c:pt>
                <c:pt idx="1">
                  <c:v>0</c:v>
                </c:pt>
              </c:numCache>
            </c:numRef>
          </c:val>
          <c:extLst>
            <c:ext xmlns:c16="http://schemas.microsoft.com/office/drawing/2014/chart" uri="{C3380CC4-5D6E-409C-BE32-E72D297353CC}">
              <c16:uniqueId val="{00000001-362E-804F-85E9-2159E4031AEF}"/>
            </c:ext>
          </c:extLst>
        </c:ser>
        <c:ser>
          <c:idx val="2"/>
          <c:order val="2"/>
          <c:tx>
            <c:strRef>
              <c:f>'Fiche levier - 2'!$S$34</c:f>
              <c:strCache>
                <c:ptCount val="1"/>
                <c:pt idx="0">
                  <c:v>Fioul</c:v>
                </c:pt>
              </c:strCache>
            </c:strRef>
          </c:tx>
          <c:spPr>
            <a:prstGeom prst="rect">
              <a:avLst/>
            </a:prstGeom>
            <a:solidFill>
              <a:schemeClr val="accent2"/>
            </a:solidFill>
            <a:ln>
              <a:solidFill>
                <a:schemeClr val="bg2"/>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41A5-EC40-A1D5-F9916994D4C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cat>
            <c:numRef>
              <c:f>'Fiche levier - 2'!$T$31:$U$31</c:f>
              <c:numCache>
                <c:formatCode>General</c:formatCode>
                <c:ptCount val="2"/>
                <c:pt idx="0">
                  <c:v>2022</c:v>
                </c:pt>
                <c:pt idx="1">
                  <c:v>2050</c:v>
                </c:pt>
              </c:numCache>
            </c:numRef>
          </c:cat>
          <c:val>
            <c:numRef>
              <c:f>'Fiche levier - 2'!$T$34:$U$34</c:f>
              <c:numCache>
                <c:formatCode>0%</c:formatCode>
                <c:ptCount val="2"/>
                <c:pt idx="0">
                  <c:v>8.8944468539325625E-2</c:v>
                </c:pt>
                <c:pt idx="1">
                  <c:v>0</c:v>
                </c:pt>
              </c:numCache>
            </c:numRef>
          </c:val>
          <c:extLst>
            <c:ext xmlns:c16="http://schemas.microsoft.com/office/drawing/2014/chart" uri="{C3380CC4-5D6E-409C-BE32-E72D297353CC}">
              <c16:uniqueId val="{00000002-362E-804F-85E9-2159E4031AEF}"/>
            </c:ext>
          </c:extLst>
        </c:ser>
        <c:ser>
          <c:idx val="3"/>
          <c:order val="3"/>
          <c:tx>
            <c:strRef>
              <c:f>'Fiche levier - 2'!$S$35</c:f>
              <c:strCache>
                <c:ptCount val="1"/>
                <c:pt idx="0">
                  <c:v>ENR et chauffage urbain</c:v>
                </c:pt>
              </c:strCache>
            </c:strRef>
          </c:tx>
          <c:spPr>
            <a:prstGeom prst="rect">
              <a:avLst/>
            </a:prstGeom>
            <a:solidFill>
              <a:schemeClr val="accent5"/>
            </a:solidFill>
            <a:ln>
              <a:solidFill>
                <a:schemeClr val="bg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cat>
            <c:numRef>
              <c:f>'Fiche levier - 2'!$T$31:$U$31</c:f>
              <c:numCache>
                <c:formatCode>General</c:formatCode>
                <c:ptCount val="2"/>
                <c:pt idx="0">
                  <c:v>2022</c:v>
                </c:pt>
                <c:pt idx="1">
                  <c:v>2050</c:v>
                </c:pt>
              </c:numCache>
            </c:numRef>
          </c:cat>
          <c:val>
            <c:numRef>
              <c:f>'Fiche levier - 2'!$T$35:$U$35</c:f>
              <c:numCache>
                <c:formatCode>0%</c:formatCode>
                <c:ptCount val="2"/>
                <c:pt idx="0">
                  <c:v>1.9774684347638675E-2</c:v>
                </c:pt>
                <c:pt idx="1">
                  <c:v>0.19147958941945309</c:v>
                </c:pt>
              </c:numCache>
            </c:numRef>
          </c:val>
          <c:extLst>
            <c:ext xmlns:c16="http://schemas.microsoft.com/office/drawing/2014/chart" uri="{C3380CC4-5D6E-409C-BE32-E72D297353CC}">
              <c16:uniqueId val="{00000003-362E-804F-85E9-2159E4031AEF}"/>
            </c:ext>
          </c:extLst>
        </c:ser>
        <c:dLbls>
          <c:dLblPos val="ctr"/>
          <c:showLegendKey val="0"/>
          <c:showVal val="1"/>
          <c:showCatName val="0"/>
          <c:showSerName val="0"/>
          <c:showPercent val="0"/>
          <c:showBubbleSize val="0"/>
        </c:dLbls>
        <c:gapWidth val="150"/>
        <c:overlap val="100"/>
        <c:axId val="1137669391"/>
        <c:axId val="653426143"/>
      </c:barChart>
      <c:catAx>
        <c:axId val="1137669391"/>
        <c:scaling>
          <c:orientation val="minMax"/>
        </c:scaling>
        <c:delete val="0"/>
        <c:axPos val="b"/>
        <c:numFmt formatCode="General" sourceLinked="1"/>
        <c:majorTickMark val="none"/>
        <c:minorTickMark val="none"/>
        <c:tickLblPos val="nextTo"/>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baseline="0">
                <a:solidFill>
                  <a:schemeClr val="tx2"/>
                </a:solidFill>
                <a:latin typeface="+mn-lt"/>
                <a:ea typeface="+mn-ea"/>
                <a:cs typeface="+mn-cs"/>
              </a:defRPr>
            </a:pPr>
            <a:endParaRPr lang="fr-FR"/>
          </a:p>
        </c:txPr>
        <c:crossAx val="653426143"/>
        <c:crosses val="autoZero"/>
        <c:auto val="1"/>
        <c:lblAlgn val="ctr"/>
        <c:lblOffset val="100"/>
        <c:noMultiLvlLbl val="0"/>
      </c:catAx>
      <c:valAx>
        <c:axId val="653426143"/>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0%"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100" b="1" i="0" u="none" strike="noStrike" baseline="0">
                <a:solidFill>
                  <a:schemeClr val="tx2"/>
                </a:solidFill>
                <a:latin typeface="+mn-lt"/>
                <a:ea typeface="+mn-ea"/>
                <a:cs typeface="+mn-cs"/>
              </a:defRPr>
            </a:pPr>
            <a:endParaRPr lang="fr-FR"/>
          </a:p>
        </c:txPr>
        <c:crossAx val="1137669391"/>
        <c:crosses val="autoZero"/>
        <c:crossBetween val="between"/>
      </c:valAx>
      <c:spPr>
        <a:prstGeom prst="rect">
          <a:avLst/>
        </a:prstGeom>
        <a:noFill/>
        <a:ln>
          <a:noFill/>
        </a:ln>
        <a:effectLst/>
      </c:spPr>
    </c:plotArea>
    <c:legend>
      <c:legendPos val="b"/>
      <c:layout>
        <c:manualLayout>
          <c:xMode val="edge"/>
          <c:yMode val="edge"/>
          <c:x val="0.1008047910308547"/>
          <c:y val="0.93147735210403049"/>
          <c:w val="0.82616618225337668"/>
          <c:h val="6.0886183506794221E-2"/>
        </c:manualLayout>
      </c:layout>
      <c:overlay val="0"/>
      <c:spPr>
        <a:prstGeom prst="rect">
          <a:avLst/>
        </a:prstGeom>
        <a:noFill/>
        <a:ln>
          <a:noFill/>
        </a:ln>
        <a:effectLst/>
      </c:spPr>
      <c:txPr>
        <a:bodyPr rot="0" spcFirstLastPara="1" vertOverflow="ellipsis" vert="horz" wrap="square" anchor="ctr" anchorCtr="1"/>
        <a:lstStyle/>
        <a:p>
          <a:pPr>
            <a:defRPr sz="1100" b="1" i="0" u="none" strike="noStrike" baseline="0">
              <a:solidFill>
                <a:schemeClr val="tx2"/>
              </a:solidFill>
              <a:latin typeface="+mn-lt"/>
              <a:ea typeface="+mn-ea"/>
              <a:cs typeface="+mn-cs"/>
            </a:defRPr>
          </a:pPr>
          <a:endParaRPr lang="fr-FR"/>
        </a:p>
      </c:txPr>
    </c:legend>
    <c:plotVisOnly val="1"/>
    <c:dispBlanksAs val="gap"/>
    <c:showDLblsOverMax val="0"/>
  </c:chart>
  <c:spPr bwMode="auto">
    <a:xfrm>
      <a:off x="0" y="0"/>
      <a:ext cx="0" cy="0"/>
    </a:xfrm>
    <a:prstGeom prst="rect">
      <a:avLst/>
    </a:prstGeom>
    <a:solidFill>
      <a:schemeClr val="bg1"/>
    </a:solidFill>
    <a:ln w="9525" cap="flat" cmpd="sng" algn="ctr">
      <a:solidFill>
        <a:schemeClr val="bg2"/>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'3.1 - Déplacement match '!$C$577</c:f>
              <c:strCache>
                <c:ptCount val="1"/>
                <c:pt idx="0">
                  <c:v>Car/mini bus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 Déplacement match '!$B$578:$B$580</c:f>
            </c:strRef>
          </c:cat>
          <c:val>
            <c:numRef>
              <c:f>'3.1 - Déplacement match '!$C$578:$C$580</c:f>
            </c:numRef>
          </c:val>
          <c:extLst>
            <c:ext xmlns:c16="http://schemas.microsoft.com/office/drawing/2014/chart" uri="{C3380CC4-5D6E-409C-BE32-E72D297353CC}">
              <c16:uniqueId val="{00000000-3069-AC4A-A48D-1D96D2B41F29}"/>
            </c:ext>
          </c:extLst>
        </c:ser>
        <c:ser>
          <c:idx val="1"/>
          <c:order val="1"/>
          <c:tx>
            <c:strRef>
              <c:f>'3.1 - Déplacement match '!$D$577</c:f>
              <c:strCache>
                <c:ptCount val="1"/>
                <c:pt idx="0">
                  <c:v>Voiture</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3069-AC4A-A48D-1D96D2B41F2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 Déplacement match '!$B$578:$B$580</c:f>
            </c:strRef>
          </c:cat>
          <c:val>
            <c:numRef>
              <c:f>'3.1 - Déplacement match '!$D$578:$D$580</c:f>
            </c:numRef>
          </c:val>
          <c:extLst>
            <c:ext xmlns:c16="http://schemas.microsoft.com/office/drawing/2014/chart" uri="{C3380CC4-5D6E-409C-BE32-E72D297353CC}">
              <c16:uniqueId val="{00000001-3069-AC4A-A48D-1D96D2B41F29}"/>
            </c:ext>
          </c:extLst>
        </c:ser>
        <c:ser>
          <c:idx val="2"/>
          <c:order val="2"/>
          <c:tx>
            <c:strRef>
              <c:f>'3.1 - Déplacement match '!$E$577</c:f>
              <c:strCache>
                <c:ptCount val="1"/>
                <c:pt idx="0">
                  <c:v>Train</c:v>
                </c:pt>
              </c:strCache>
            </c:strRef>
          </c:tx>
          <c:spPr>
            <a:solidFill>
              <a:schemeClr val="accent3"/>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5-3069-AC4A-A48D-1D96D2B41F2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 Déplacement match '!$B$578:$B$580</c:f>
            </c:strRef>
          </c:cat>
          <c:val>
            <c:numRef>
              <c:f>'3.1 - Déplacement match '!$E$578:$E$580</c:f>
            </c:numRef>
          </c:val>
          <c:extLst>
            <c:ext xmlns:c16="http://schemas.microsoft.com/office/drawing/2014/chart" uri="{C3380CC4-5D6E-409C-BE32-E72D297353CC}">
              <c16:uniqueId val="{00000002-3069-AC4A-A48D-1D96D2B41F29}"/>
            </c:ext>
          </c:extLst>
        </c:ser>
        <c:ser>
          <c:idx val="3"/>
          <c:order val="3"/>
          <c:tx>
            <c:strRef>
              <c:f>'3.1 - Déplacement match '!$F$577</c:f>
              <c:strCache>
                <c:ptCount val="1"/>
                <c:pt idx="0">
                  <c:v>Avion</c:v>
                </c:pt>
              </c:strCache>
            </c:strRef>
          </c:tx>
          <c:spPr>
            <a:solidFill>
              <a:schemeClr val="accent4"/>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6-3069-AC4A-A48D-1D96D2B41F29}"/>
                </c:ext>
              </c:extLst>
            </c:dLbl>
            <c:dLbl>
              <c:idx val="2"/>
              <c:delete val="1"/>
              <c:extLst>
                <c:ext xmlns:c15="http://schemas.microsoft.com/office/drawing/2012/chart" uri="{CE6537A1-D6FC-4f65-9D91-7224C49458BB}"/>
                <c:ext xmlns:c16="http://schemas.microsoft.com/office/drawing/2014/chart" uri="{C3380CC4-5D6E-409C-BE32-E72D297353CC}">
                  <c16:uniqueId val="{00000004-3069-AC4A-A48D-1D96D2B41F2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 Déplacement match '!$B$578:$B$580</c:f>
            </c:strRef>
          </c:cat>
          <c:val>
            <c:numRef>
              <c:f>'3.1 - Déplacement match '!$F$578:$F$580</c:f>
            </c:numRef>
          </c:val>
          <c:extLst>
            <c:ext xmlns:c16="http://schemas.microsoft.com/office/drawing/2014/chart" uri="{C3380CC4-5D6E-409C-BE32-E72D297353CC}">
              <c16:uniqueId val="{00000003-3069-AC4A-A48D-1D96D2B41F29}"/>
            </c:ext>
          </c:extLst>
        </c:ser>
        <c:dLbls>
          <c:showLegendKey val="0"/>
          <c:showVal val="1"/>
          <c:showCatName val="0"/>
          <c:showSerName val="0"/>
          <c:showPercent val="0"/>
          <c:showBubbleSize val="0"/>
        </c:dLbls>
        <c:gapWidth val="219"/>
        <c:overlap val="-27"/>
        <c:axId val="758409040"/>
        <c:axId val="401392368"/>
      </c:barChart>
      <c:catAx>
        <c:axId val="75840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401392368"/>
        <c:crosses val="autoZero"/>
        <c:auto val="1"/>
        <c:lblAlgn val="ctr"/>
        <c:lblOffset val="100"/>
        <c:noMultiLvlLbl val="0"/>
      </c:catAx>
      <c:valAx>
        <c:axId val="401392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758409040"/>
        <c:crosses val="autoZero"/>
        <c:crossBetween val="between"/>
      </c:valAx>
      <c:spPr>
        <a:noFill/>
        <a:ln>
          <a:noFill/>
        </a:ln>
        <a:effectLst/>
      </c:spPr>
    </c:plotArea>
    <c:legend>
      <c:legendPos val="b"/>
      <c:layout>
        <c:manualLayout>
          <c:xMode val="edge"/>
          <c:yMode val="edge"/>
          <c:x val="0.64698995213059796"/>
          <c:y val="4.2034217018984972E-2"/>
          <c:w val="0.34228931451085903"/>
          <c:h val="7.6274708094796834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'3.1 - Déplacement match '!$C$608</c:f>
              <c:strCache>
                <c:ptCount val="1"/>
                <c:pt idx="0">
                  <c:v>Car/mini bus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 Déplacement match '!$B$609:$B$611</c:f>
            </c:strRef>
          </c:cat>
          <c:val>
            <c:numRef>
              <c:f>'3.1 - Déplacement match '!$C$609:$C$611</c:f>
            </c:numRef>
          </c:val>
          <c:extLst>
            <c:ext xmlns:c16="http://schemas.microsoft.com/office/drawing/2014/chart" uri="{C3380CC4-5D6E-409C-BE32-E72D297353CC}">
              <c16:uniqueId val="{00000000-3E73-5B42-A484-EFFBFC9A665A}"/>
            </c:ext>
          </c:extLst>
        </c:ser>
        <c:ser>
          <c:idx val="1"/>
          <c:order val="1"/>
          <c:tx>
            <c:strRef>
              <c:f>'3.1 - Déplacement match '!$D$608</c:f>
              <c:strCache>
                <c:ptCount val="1"/>
                <c:pt idx="0">
                  <c:v>Voiture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 Déplacement match '!$B$609:$B$611</c:f>
            </c:strRef>
          </c:cat>
          <c:val>
            <c:numRef>
              <c:f>'3.1 - Déplacement match '!$D$609:$D$611</c:f>
            </c:numRef>
          </c:val>
          <c:extLst>
            <c:ext xmlns:c16="http://schemas.microsoft.com/office/drawing/2014/chart" uri="{C3380CC4-5D6E-409C-BE32-E72D297353CC}">
              <c16:uniqueId val="{00000002-3E73-5B42-A484-EFFBFC9A665A}"/>
            </c:ext>
          </c:extLst>
        </c:ser>
        <c:ser>
          <c:idx val="2"/>
          <c:order val="2"/>
          <c:tx>
            <c:strRef>
              <c:f>'3.1 - Déplacement match '!$E$608</c:f>
              <c:strCache>
                <c:ptCount val="1"/>
                <c:pt idx="0">
                  <c:v>Train</c:v>
                </c:pt>
              </c:strCache>
            </c:strRef>
          </c:tx>
          <c:spPr>
            <a:solidFill>
              <a:schemeClr val="accent3"/>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3E73-5B42-A484-EFFBFC9A665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 Déplacement match '!$B$609:$B$611</c:f>
            </c:strRef>
          </c:cat>
          <c:val>
            <c:numRef>
              <c:f>'3.1 - Déplacement match '!$E$609:$E$611</c:f>
            </c:numRef>
          </c:val>
          <c:extLst>
            <c:ext xmlns:c16="http://schemas.microsoft.com/office/drawing/2014/chart" uri="{C3380CC4-5D6E-409C-BE32-E72D297353CC}">
              <c16:uniqueId val="{00000004-3E73-5B42-A484-EFFBFC9A665A}"/>
            </c:ext>
          </c:extLst>
        </c:ser>
        <c:ser>
          <c:idx val="3"/>
          <c:order val="3"/>
          <c:tx>
            <c:strRef>
              <c:f>'3.1 - Déplacement match '!$F$608</c:f>
              <c:strCache>
                <c:ptCount val="1"/>
                <c:pt idx="0">
                  <c:v>Avion</c:v>
                </c:pt>
              </c:strCache>
            </c:strRef>
          </c:tx>
          <c:spPr>
            <a:solidFill>
              <a:schemeClr val="accent4"/>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5-3E73-5B42-A484-EFFBFC9A665A}"/>
                </c:ext>
              </c:extLst>
            </c:dLbl>
            <c:dLbl>
              <c:idx val="2"/>
              <c:delete val="1"/>
              <c:extLst>
                <c:ext xmlns:c15="http://schemas.microsoft.com/office/drawing/2012/chart" uri="{CE6537A1-D6FC-4f65-9D91-7224C49458BB}"/>
                <c:ext xmlns:c16="http://schemas.microsoft.com/office/drawing/2014/chart" uri="{C3380CC4-5D6E-409C-BE32-E72D297353CC}">
                  <c16:uniqueId val="{00000006-3E73-5B42-A484-EFFBFC9A665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 Déplacement match '!$B$609:$B$611</c:f>
            </c:strRef>
          </c:cat>
          <c:val>
            <c:numRef>
              <c:f>'3.1 - Déplacement match '!$F$609:$F$611</c:f>
            </c:numRef>
          </c:val>
          <c:extLst>
            <c:ext xmlns:c16="http://schemas.microsoft.com/office/drawing/2014/chart" uri="{C3380CC4-5D6E-409C-BE32-E72D297353CC}">
              <c16:uniqueId val="{00000007-3E73-5B42-A484-EFFBFC9A665A}"/>
            </c:ext>
          </c:extLst>
        </c:ser>
        <c:dLbls>
          <c:dLblPos val="outEnd"/>
          <c:showLegendKey val="0"/>
          <c:showVal val="1"/>
          <c:showCatName val="0"/>
          <c:showSerName val="0"/>
          <c:showPercent val="0"/>
          <c:showBubbleSize val="0"/>
        </c:dLbls>
        <c:gapWidth val="219"/>
        <c:overlap val="-27"/>
        <c:axId val="758409040"/>
        <c:axId val="401392368"/>
      </c:barChart>
      <c:catAx>
        <c:axId val="75840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401392368"/>
        <c:crosses val="autoZero"/>
        <c:auto val="1"/>
        <c:lblAlgn val="ctr"/>
        <c:lblOffset val="100"/>
        <c:noMultiLvlLbl val="0"/>
      </c:catAx>
      <c:valAx>
        <c:axId val="401392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75840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Résultat!$I$18</c:f>
              <c:strCache>
                <c:ptCount val="1"/>
                <c:pt idx="0">
                  <c:v>Entrainement</c:v>
                </c:pt>
              </c:strCache>
            </c:strRef>
          </c:tx>
          <c:spPr>
            <a:solidFill>
              <a:schemeClr val="accent1"/>
            </a:solidFill>
            <a:ln w="12700">
              <a:solidFill>
                <a:schemeClr val="bg2"/>
              </a:solidFill>
            </a:ln>
            <a:effectLst/>
          </c:spPr>
          <c:invertIfNegative val="0"/>
          <c:dPt>
            <c:idx val="1"/>
            <c:invertIfNegative val="0"/>
            <c:bubble3D val="0"/>
            <c:spPr>
              <a:solidFill>
                <a:schemeClr val="accent4"/>
              </a:solidFill>
              <a:ln w="12700">
                <a:solidFill>
                  <a:schemeClr val="bg2"/>
                </a:solidFill>
              </a:ln>
              <a:effectLst/>
            </c:spPr>
            <c:extLst>
              <c:ext xmlns:c16="http://schemas.microsoft.com/office/drawing/2014/chart" uri="{C3380CC4-5D6E-409C-BE32-E72D297353CC}">
                <c16:uniqueId val="{00000002-162D-D74E-B622-35AE2ACC5CDA}"/>
              </c:ext>
            </c:extLst>
          </c:dPt>
          <c:dPt>
            <c:idx val="2"/>
            <c:invertIfNegative val="0"/>
            <c:bubble3D val="0"/>
            <c:spPr>
              <a:solidFill>
                <a:schemeClr val="accent2"/>
              </a:solidFill>
              <a:ln w="12700">
                <a:solidFill>
                  <a:schemeClr val="bg2"/>
                </a:solidFill>
              </a:ln>
              <a:effectLst/>
            </c:spPr>
            <c:extLst>
              <c:ext xmlns:c16="http://schemas.microsoft.com/office/drawing/2014/chart" uri="{C3380CC4-5D6E-409C-BE32-E72D297353CC}">
                <c16:uniqueId val="{00000003-162D-D74E-B622-35AE2ACC5CDA}"/>
              </c:ext>
            </c:extLst>
          </c:dPt>
          <c:dPt>
            <c:idx val="3"/>
            <c:invertIfNegative val="0"/>
            <c:bubble3D val="0"/>
            <c:spPr>
              <a:solidFill>
                <a:schemeClr val="accent3"/>
              </a:solidFill>
              <a:ln w="12700">
                <a:solidFill>
                  <a:schemeClr val="bg2"/>
                </a:solidFill>
              </a:ln>
              <a:effectLst/>
            </c:spPr>
            <c:extLst>
              <c:ext xmlns:c16="http://schemas.microsoft.com/office/drawing/2014/chart" uri="{C3380CC4-5D6E-409C-BE32-E72D297353CC}">
                <c16:uniqueId val="{00000004-162D-D74E-B622-35AE2ACC5CDA}"/>
              </c:ext>
            </c:extLst>
          </c:dPt>
          <c:dPt>
            <c:idx val="4"/>
            <c:invertIfNegative val="0"/>
            <c:bubble3D val="0"/>
            <c:spPr>
              <a:solidFill>
                <a:srgbClr val="7A3E00"/>
              </a:solidFill>
              <a:ln w="12700">
                <a:solidFill>
                  <a:schemeClr val="bg2"/>
                </a:solidFill>
              </a:ln>
              <a:effectLst/>
            </c:spPr>
            <c:extLst>
              <c:ext xmlns:c16="http://schemas.microsoft.com/office/drawing/2014/chart" uri="{C3380CC4-5D6E-409C-BE32-E72D297353CC}">
                <c16:uniqueId val="{00000005-162D-D74E-B622-35AE2ACC5CDA}"/>
              </c:ext>
            </c:extLst>
          </c:dPt>
          <c:dPt>
            <c:idx val="5"/>
            <c:invertIfNegative val="0"/>
            <c:bubble3D val="0"/>
            <c:spPr>
              <a:solidFill>
                <a:schemeClr val="tx1"/>
              </a:solidFill>
              <a:ln w="12700">
                <a:solidFill>
                  <a:schemeClr val="bg2"/>
                </a:solidFill>
              </a:ln>
              <a:effectLst/>
            </c:spPr>
            <c:extLst>
              <c:ext xmlns:c16="http://schemas.microsoft.com/office/drawing/2014/chart" uri="{C3380CC4-5D6E-409C-BE32-E72D297353CC}">
                <c16:uniqueId val="{00000006-162D-D74E-B622-35AE2ACC5CDA}"/>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7-162D-D74E-B622-35AE2ACC5CDA}"/>
                </c:ext>
              </c:extLst>
            </c:dLbl>
            <c:dLbl>
              <c:idx val="4"/>
              <c:layout>
                <c:manualLayout>
                  <c:x val="-1.3234920679307136E-16"/>
                  <c:y val="-7.00770847932725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2D-D74E-B622-35AE2ACC5CDA}"/>
                </c:ext>
              </c:extLst>
            </c:dLbl>
            <c:dLbl>
              <c:idx val="5"/>
              <c:layout>
                <c:manualLayout>
                  <c:x val="-1.3234920679307136E-16"/>
                  <c:y val="-2.80308339173092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2D-D74E-B622-35AE2ACC5CD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Résultat!$H$19:$H$24</c:f>
              <c:strCache>
                <c:ptCount val="6"/>
                <c:pt idx="0">
                  <c:v>Déplacements</c:v>
                </c:pt>
                <c:pt idx="1">
                  <c:v>Articles de sport</c:v>
                </c:pt>
                <c:pt idx="2">
                  <c:v>Construction et 
entretien des infras.</c:v>
                </c:pt>
                <c:pt idx="3">
                  <c:v>Alimentation et boissons</c:v>
                </c:pt>
                <c:pt idx="4">
                  <c:v>Consommation d'énergie des infras.</c:v>
                </c:pt>
                <c:pt idx="5">
                  <c:v>Déchets </c:v>
                </c:pt>
              </c:strCache>
            </c:strRef>
          </c:cat>
          <c:val>
            <c:numRef>
              <c:f>Résultat!$I$19:$I$24</c:f>
              <c:numCache>
                <c:formatCode>0%</c:formatCode>
                <c:ptCount val="6"/>
                <c:pt idx="0">
                  <c:v>0.24582127860337874</c:v>
                </c:pt>
                <c:pt idx="1">
                  <c:v>0.22227996524170365</c:v>
                </c:pt>
                <c:pt idx="2">
                  <c:v>0.17711667205323553</c:v>
                </c:pt>
                <c:pt idx="3">
                  <c:v>0.11444885577623719</c:v>
                </c:pt>
                <c:pt idx="4">
                  <c:v>5.6289850864957053E-2</c:v>
                </c:pt>
                <c:pt idx="5">
                  <c:v>1.1155486715569245E-2</c:v>
                </c:pt>
              </c:numCache>
            </c:numRef>
          </c:val>
          <c:extLst>
            <c:ext xmlns:c16="http://schemas.microsoft.com/office/drawing/2014/chart" uri="{C3380CC4-5D6E-409C-BE32-E72D297353CC}">
              <c16:uniqueId val="{00000000-162D-D74E-B622-35AE2ACC5CDA}"/>
            </c:ext>
          </c:extLst>
        </c:ser>
        <c:ser>
          <c:idx val="1"/>
          <c:order val="1"/>
          <c:tx>
            <c:strRef>
              <c:f>Résultat!$J$18</c:f>
              <c:strCache>
                <c:ptCount val="1"/>
                <c:pt idx="0">
                  <c:v>Match</c:v>
                </c:pt>
              </c:strCache>
            </c:strRef>
          </c:tx>
          <c:spPr>
            <a:solidFill>
              <a:schemeClr val="accent6"/>
            </a:solidFill>
            <a:ln>
              <a:solidFill>
                <a:schemeClr val="bg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chemeClr val="bg2"/>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Résultat!$H$19:$H$24</c:f>
              <c:strCache>
                <c:ptCount val="6"/>
                <c:pt idx="0">
                  <c:v>Déplacements</c:v>
                </c:pt>
                <c:pt idx="1">
                  <c:v>Articles de sport</c:v>
                </c:pt>
                <c:pt idx="2">
                  <c:v>Construction et 
entretien des infras.</c:v>
                </c:pt>
                <c:pt idx="3">
                  <c:v>Alimentation et boissons</c:v>
                </c:pt>
                <c:pt idx="4">
                  <c:v>Consommation d'énergie des infras.</c:v>
                </c:pt>
                <c:pt idx="5">
                  <c:v>Déchets </c:v>
                </c:pt>
              </c:strCache>
            </c:strRef>
          </c:cat>
          <c:val>
            <c:numRef>
              <c:f>Résultat!$J$19:$J$24</c:f>
              <c:numCache>
                <c:formatCode>0%</c:formatCode>
                <c:ptCount val="6"/>
                <c:pt idx="0">
                  <c:v>0.17288789074491856</c:v>
                </c:pt>
              </c:numCache>
            </c:numRef>
          </c:val>
          <c:extLst>
            <c:ext xmlns:c16="http://schemas.microsoft.com/office/drawing/2014/chart" uri="{C3380CC4-5D6E-409C-BE32-E72D297353CC}">
              <c16:uniqueId val="{00000001-162D-D74E-B622-35AE2ACC5CDA}"/>
            </c:ext>
          </c:extLst>
        </c:ser>
        <c:dLbls>
          <c:dLblPos val="ctr"/>
          <c:showLegendKey val="0"/>
          <c:showVal val="1"/>
          <c:showCatName val="0"/>
          <c:showSerName val="0"/>
          <c:showPercent val="0"/>
          <c:showBubbleSize val="0"/>
        </c:dLbls>
        <c:gapWidth val="150"/>
        <c:overlap val="100"/>
        <c:axId val="796941263"/>
        <c:axId val="621638735"/>
      </c:barChart>
      <c:catAx>
        <c:axId val="79694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crossAx val="621638735"/>
        <c:crosses val="autoZero"/>
        <c:auto val="1"/>
        <c:lblAlgn val="ctr"/>
        <c:lblOffset val="100"/>
        <c:noMultiLvlLbl val="0"/>
      </c:catAx>
      <c:valAx>
        <c:axId val="6216387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crossAx val="796941263"/>
        <c:crosses val="autoZero"/>
        <c:crossBetween val="between"/>
      </c:valAx>
      <c:spPr>
        <a:noFill/>
        <a:ln>
          <a:noFill/>
        </a:ln>
        <a:effectLst/>
      </c:spPr>
    </c:plotArea>
    <c:legend>
      <c:legendPos val="b"/>
      <c:layout>
        <c:manualLayout>
          <c:xMode val="edge"/>
          <c:yMode val="edge"/>
          <c:x val="0.76583806026429413"/>
          <c:y val="2.3162860969630123E-2"/>
          <c:w val="0.22659348744924554"/>
          <c:h val="9.675483030777713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4"/>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0-DD94-674E-BDDC-D313B33D4869}"/>
              </c:ext>
            </c:extLst>
          </c:dPt>
          <c:dPt>
            <c:idx val="2"/>
            <c:invertIfNegative val="0"/>
            <c:bubble3D val="0"/>
            <c:spPr>
              <a:solidFill>
                <a:schemeClr val="tx2"/>
              </a:solidFill>
              <a:ln>
                <a:noFill/>
              </a:ln>
              <a:effectLst/>
            </c:spPr>
            <c:extLst>
              <c:ext xmlns:c16="http://schemas.microsoft.com/office/drawing/2014/chart" uri="{C3380CC4-5D6E-409C-BE32-E72D297353CC}">
                <c16:uniqueId val="{00000004-DD94-674E-BDDC-D313B33D4869}"/>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2-DD94-674E-BDDC-D313B33D4869}"/>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3-DD94-674E-BDDC-D313B33D4869}"/>
              </c:ext>
            </c:extLst>
          </c:dPt>
          <c:cat>
            <c:strRef>
              <c:f>'3.1 - Déplacement match '!$B$643:$B$647</c:f>
            </c:strRef>
          </c:cat>
          <c:val>
            <c:numRef>
              <c:f>'3.1 - Déplacement match '!$C$643:$C$647</c:f>
            </c:numRef>
          </c:val>
          <c:extLst>
            <c:ext xmlns:c16="http://schemas.microsoft.com/office/drawing/2014/chart" uri="{C3380CC4-5D6E-409C-BE32-E72D297353CC}">
              <c16:uniqueId val="{00000000-8270-0040-86C0-8EF49566AEFA}"/>
            </c:ext>
          </c:extLst>
        </c:ser>
        <c:dLbls>
          <c:showLegendKey val="0"/>
          <c:showVal val="0"/>
          <c:showCatName val="0"/>
          <c:showSerName val="0"/>
          <c:showPercent val="0"/>
          <c:showBubbleSize val="0"/>
        </c:dLbls>
        <c:gapWidth val="219"/>
        <c:overlap val="-27"/>
        <c:axId val="2023492335"/>
        <c:axId val="2023452287"/>
      </c:barChart>
      <c:catAx>
        <c:axId val="2023492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crossAx val="2023452287"/>
        <c:crosses val="autoZero"/>
        <c:auto val="1"/>
        <c:lblAlgn val="ctr"/>
        <c:lblOffset val="100"/>
        <c:noMultiLvlLbl val="0"/>
      </c:catAx>
      <c:valAx>
        <c:axId val="2023452287"/>
        <c:scaling>
          <c:orientation val="minMax"/>
        </c:scaling>
        <c:delete val="0"/>
        <c:axPos val="l"/>
        <c:majorGridlines>
          <c:spPr>
            <a:ln w="9525" cap="flat" cmpd="sng" algn="ctr">
              <a:solidFill>
                <a:schemeClr val="tx1">
                  <a:lumMod val="15000"/>
                  <a:lumOff val="85000"/>
                </a:schemeClr>
              </a:solidFill>
              <a:round/>
            </a:ln>
            <a:effectLst/>
          </c:spPr>
        </c:majorGridlines>
        <c:numFmt formatCode="_(* #\ ##0.00_);_(* \(#\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crossAx val="2023492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Part de l'empreinte carbone</c:v>
          </c:tx>
          <c:spPr>
            <a:solidFill>
              <a:schemeClr val="accent1"/>
            </a:solidFill>
            <a:ln>
              <a:noFill/>
            </a:ln>
            <a:effectLst/>
          </c:spPr>
          <c:invertIfNegative val="0"/>
          <c:val>
            <c:numRef>
              <c:f>'3.1 - Déplacement match '!$B$665:$G$665</c:f>
            </c:numRef>
          </c:val>
          <c:extLst>
            <c:ext xmlns:c15="http://schemas.microsoft.com/office/drawing/2012/chart" uri="{02D57815-91ED-43cb-92C2-25804820EDAC}">
              <c15:filteredCategoryTitle>
                <c15:cat>
                  <c:multiLvlStrRef>
                    <c:extLst>
                      <c:ext uri="{02D57815-91ED-43cb-92C2-25804820EDAC}">
                        <c15:formulaRef>
                          <c15:sqref>'3.1 - Déplacement match '!$B$662:$G$663</c15:sqref>
                        </c15:formulaRef>
                      </c:ext>
                    </c:extLst>
                  </c:multiLvlStrRef>
                </c15:cat>
              </c15:filteredCategoryTitle>
            </c:ext>
            <c:ext xmlns:c16="http://schemas.microsoft.com/office/drawing/2014/chart" uri="{C3380CC4-5D6E-409C-BE32-E72D297353CC}">
              <c16:uniqueId val="{00000000-EB60-4D46-83B1-57BBCFE22BE4}"/>
            </c:ext>
          </c:extLst>
        </c:ser>
        <c:dLbls>
          <c:showLegendKey val="0"/>
          <c:showVal val="0"/>
          <c:showCatName val="0"/>
          <c:showSerName val="0"/>
          <c:showPercent val="0"/>
          <c:showBubbleSize val="0"/>
        </c:dLbls>
        <c:gapWidth val="150"/>
        <c:axId val="2004448431"/>
        <c:axId val="2004444271"/>
      </c:barChart>
      <c:lineChart>
        <c:grouping val="standard"/>
        <c:varyColors val="0"/>
        <c:ser>
          <c:idx val="1"/>
          <c:order val="1"/>
          <c:tx>
            <c:v>Part de personnes effectuant le déplacement</c:v>
          </c:tx>
          <c:spPr>
            <a:ln w="28575" cap="rnd">
              <a:noFill/>
              <a:round/>
            </a:ln>
            <a:effectLst/>
          </c:spPr>
          <c:marker>
            <c:symbol val="circle"/>
            <c:size val="7"/>
            <c:spPr>
              <a:solidFill>
                <a:schemeClr val="accent2"/>
              </a:solidFill>
              <a:ln w="9525">
                <a:solidFill>
                  <a:schemeClr val="accent2"/>
                </a:solidFill>
              </a:ln>
              <a:effectLst/>
            </c:spPr>
          </c:marker>
          <c:val>
            <c:numRef>
              <c:f>'3.1 - Déplacement match '!$B$668:$G$668</c:f>
            </c:numRef>
          </c:val>
          <c:smooth val="0"/>
          <c:extLst>
            <c:ext xmlns:c15="http://schemas.microsoft.com/office/drawing/2012/chart" uri="{02D57815-91ED-43cb-92C2-25804820EDAC}">
              <c15:filteredCategoryTitle>
                <c15:cat>
                  <c:multiLvlStrRef>
                    <c:extLst>
                      <c:ext uri="{02D57815-91ED-43cb-92C2-25804820EDAC}">
                        <c15:formulaRef>
                          <c15:sqref>'3.1 - Déplacement match '!$B$662:$G$663</c15:sqref>
                        </c15:formulaRef>
                      </c:ext>
                    </c:extLst>
                  </c:multiLvlStrRef>
                </c15:cat>
              </c15:filteredCategoryTitle>
            </c:ext>
            <c:ext xmlns:c16="http://schemas.microsoft.com/office/drawing/2014/chart" uri="{C3380CC4-5D6E-409C-BE32-E72D297353CC}">
              <c16:uniqueId val="{00000001-EB60-4D46-83B1-57BBCFE22BE4}"/>
            </c:ext>
          </c:extLst>
        </c:ser>
        <c:dLbls>
          <c:showLegendKey val="0"/>
          <c:showVal val="0"/>
          <c:showCatName val="0"/>
          <c:showSerName val="0"/>
          <c:showPercent val="0"/>
          <c:showBubbleSize val="0"/>
        </c:dLbls>
        <c:marker val="1"/>
        <c:smooth val="0"/>
        <c:axId val="408979552"/>
        <c:axId val="2008478623"/>
      </c:lineChart>
      <c:catAx>
        <c:axId val="2004448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2004444271"/>
        <c:crosses val="autoZero"/>
        <c:auto val="1"/>
        <c:lblAlgn val="ctr"/>
        <c:lblOffset val="100"/>
        <c:noMultiLvlLbl val="0"/>
      </c:catAx>
      <c:valAx>
        <c:axId val="2004444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2004448431"/>
        <c:crosses val="autoZero"/>
        <c:crossBetween val="between"/>
      </c:valAx>
      <c:valAx>
        <c:axId val="2008478623"/>
        <c:scaling>
          <c:orientation val="minMax"/>
        </c:scaling>
        <c:delete val="1"/>
        <c:axPos val="r"/>
        <c:numFmt formatCode="0%" sourceLinked="1"/>
        <c:majorTickMark val="none"/>
        <c:minorTickMark val="none"/>
        <c:tickLblPos val="nextTo"/>
        <c:crossAx val="408979552"/>
        <c:crosses val="max"/>
        <c:crossBetween val="between"/>
      </c:valAx>
      <c:catAx>
        <c:axId val="408979552"/>
        <c:scaling>
          <c:orientation val="minMax"/>
        </c:scaling>
        <c:delete val="1"/>
        <c:axPos val="b"/>
        <c:numFmt formatCode="General" sourceLinked="1"/>
        <c:majorTickMark val="none"/>
        <c:minorTickMark val="none"/>
        <c:tickLblPos val="nextTo"/>
        <c:crossAx val="2008478623"/>
        <c:crosses val="autoZero"/>
        <c:auto val="1"/>
        <c:lblAlgn val="ctr"/>
        <c:lblOffset val="100"/>
        <c:noMultiLvlLbl val="0"/>
      </c:catAx>
      <c:spPr>
        <a:noFill/>
        <a:ln>
          <a:noFill/>
        </a:ln>
        <a:effectLst/>
      </c:spPr>
    </c:plotArea>
    <c:legend>
      <c:legendPos val="b"/>
      <c:layout>
        <c:manualLayout>
          <c:xMode val="edge"/>
          <c:yMode val="edge"/>
          <c:x val="4.9028691538740135E-2"/>
          <c:y val="5.3787716234631709E-2"/>
          <c:w val="0.54280365193317381"/>
          <c:h val="4.537660927746244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'3.1 - Déplacement match '!$B$706</c:f>
              <c:strCache>
                <c:ptCount val="1"/>
                <c:pt idx="0">
                  <c:v>Emissions par personne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'3.1 - Déplacement match '!$C$706:$E$706</c:f>
            </c:numRef>
          </c:val>
          <c:extLst>
            <c:ext xmlns:c15="http://schemas.microsoft.com/office/drawing/2012/chart" uri="{02D57815-91ED-43cb-92C2-25804820EDAC}">
              <c15:filteredCategoryTitle>
                <c15:cat>
                  <c:strRef>
                    <c:extLst>
                      <c:ext uri="{02D57815-91ED-43cb-92C2-25804820EDAC}">
                        <c15:formulaRef>
                          <c15:sqref>'3.1 - Déplacement match '!$C$705:$E$705</c15:sqref>
                        </c15:formulaRef>
                      </c:ext>
                    </c:extLst>
                  </c:strRef>
                </c15:cat>
              </c15:filteredCategoryTitle>
            </c:ext>
            <c:ext xmlns:c16="http://schemas.microsoft.com/office/drawing/2014/chart" uri="{C3380CC4-5D6E-409C-BE32-E72D297353CC}">
              <c16:uniqueId val="{00000000-01E9-F243-A2BD-186CAEDD89D3}"/>
            </c:ext>
          </c:extLst>
        </c:ser>
        <c:dLbls>
          <c:dLblPos val="outEnd"/>
          <c:showLegendKey val="0"/>
          <c:showVal val="1"/>
          <c:showCatName val="0"/>
          <c:showSerName val="0"/>
          <c:showPercent val="0"/>
          <c:showBubbleSize val="0"/>
        </c:dLbls>
        <c:gapWidth val="219"/>
        <c:overlap val="-27"/>
        <c:axId val="453641871"/>
        <c:axId val="453643599"/>
      </c:barChart>
      <c:catAx>
        <c:axId val="453641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453643599"/>
        <c:crosses val="autoZero"/>
        <c:auto val="1"/>
        <c:lblAlgn val="ctr"/>
        <c:lblOffset val="100"/>
        <c:noMultiLvlLbl val="0"/>
      </c:catAx>
      <c:valAx>
        <c:axId val="453643599"/>
        <c:scaling>
          <c:orientation val="minMax"/>
        </c:scaling>
        <c:delete val="0"/>
        <c:axPos val="l"/>
        <c:majorGridlines>
          <c:spPr>
            <a:ln w="9525" cap="flat" cmpd="sng" algn="ctr">
              <a:solidFill>
                <a:schemeClr val="tx1">
                  <a:lumMod val="15000"/>
                  <a:lumOff val="85000"/>
                </a:schemeClr>
              </a:solidFill>
              <a:round/>
            </a:ln>
            <a:effectLst/>
          </c:spPr>
        </c:majorGridlines>
        <c:numFmt formatCode="_ * #\ ##0_)_ ;_ *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4536418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'Fiche levier - 3.1'!$D$167</c:f>
              <c:strCache>
                <c:ptCount val="1"/>
                <c:pt idx="0">
                  <c:v>2020</c:v>
                </c:pt>
              </c:strCache>
            </c:strRef>
          </c:tx>
          <c:spPr>
            <a:solidFill>
              <a:schemeClr val="tx1">
                <a:lumMod val="65000"/>
                <a:lumOff val="35000"/>
              </a:schemeClr>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B2BA-D74E-AF68-FB1C4A158BD7}"/>
              </c:ext>
            </c:extLst>
          </c:dPt>
          <c:dPt>
            <c:idx val="1"/>
            <c:invertIfNegative val="0"/>
            <c:bubble3D val="0"/>
            <c:spPr>
              <a:solidFill>
                <a:schemeClr val="tx1">
                  <a:lumMod val="65000"/>
                  <a:lumOff val="35000"/>
                  <a:alpha val="0"/>
                </a:schemeClr>
              </a:solidFill>
              <a:ln>
                <a:noFill/>
              </a:ln>
              <a:effectLst/>
            </c:spPr>
            <c:extLst>
              <c:ext xmlns:c16="http://schemas.microsoft.com/office/drawing/2014/chart" uri="{C3380CC4-5D6E-409C-BE32-E72D297353CC}">
                <c16:uniqueId val="{00000003-B2BA-D74E-AF68-FB1C4A158BD7}"/>
              </c:ext>
            </c:extLst>
          </c:dPt>
          <c:dPt>
            <c:idx val="2"/>
            <c:invertIfNegative val="0"/>
            <c:bubble3D val="0"/>
            <c:spPr>
              <a:solidFill>
                <a:schemeClr val="tx1">
                  <a:lumMod val="65000"/>
                  <a:lumOff val="35000"/>
                  <a:alpha val="0"/>
                </a:schemeClr>
              </a:solidFill>
              <a:ln>
                <a:noFill/>
              </a:ln>
              <a:effectLst/>
            </c:spPr>
            <c:extLst>
              <c:ext xmlns:c16="http://schemas.microsoft.com/office/drawing/2014/chart" uri="{C3380CC4-5D6E-409C-BE32-E72D297353CC}">
                <c16:uniqueId val="{00000005-B2BA-D74E-AF68-FB1C4A158BD7}"/>
              </c:ext>
            </c:extLst>
          </c:dPt>
          <c:dPt>
            <c:idx val="3"/>
            <c:invertIfNegative val="0"/>
            <c:bubble3D val="0"/>
            <c:spPr>
              <a:solidFill>
                <a:schemeClr val="tx1">
                  <a:lumMod val="65000"/>
                  <a:lumOff val="35000"/>
                  <a:alpha val="0"/>
                </a:schemeClr>
              </a:solidFill>
              <a:ln>
                <a:noFill/>
              </a:ln>
              <a:effectLst/>
            </c:spPr>
            <c:extLst>
              <c:ext xmlns:c16="http://schemas.microsoft.com/office/drawing/2014/chart" uri="{C3380CC4-5D6E-409C-BE32-E72D297353CC}">
                <c16:uniqueId val="{00000007-B2BA-D74E-AF68-FB1C4A158BD7}"/>
              </c:ext>
            </c:extLst>
          </c:dPt>
          <c:dPt>
            <c:idx val="4"/>
            <c:invertIfNegative val="0"/>
            <c:bubble3D val="0"/>
            <c:spPr>
              <a:solidFill>
                <a:schemeClr val="tx2"/>
              </a:solidFill>
              <a:ln>
                <a:noFill/>
              </a:ln>
              <a:effectLst/>
            </c:spPr>
            <c:extLst>
              <c:ext xmlns:c16="http://schemas.microsoft.com/office/drawing/2014/chart" uri="{C3380CC4-5D6E-409C-BE32-E72D297353CC}">
                <c16:uniqueId val="{00000009-B2BA-D74E-AF68-FB1C4A158BD7}"/>
              </c:ext>
            </c:extLst>
          </c:dPt>
          <c:cat>
            <c:multiLvlStrRef>
              <c:f>'Fiche levier - 3.1'!$C$168:$C$172</c:f>
            </c:multiLvlStrRef>
          </c:cat>
          <c:val>
            <c:numRef>
              <c:f>'Fiche levier - 3.1'!$D$168:$D$172</c:f>
            </c:numRef>
          </c:val>
          <c:extLst>
            <c:ext xmlns:c16="http://schemas.microsoft.com/office/drawing/2014/chart" uri="{C3380CC4-5D6E-409C-BE32-E72D297353CC}">
              <c16:uniqueId val="{0000000A-B2BA-D74E-AF68-FB1C4A158BD7}"/>
            </c:ext>
          </c:extLst>
        </c:ser>
        <c:ser>
          <c:idx val="1"/>
          <c:order val="1"/>
          <c:tx>
            <c:strRef>
              <c:f>'Fiche levier - 3.1'!$E$167</c:f>
              <c:strCache>
                <c:ptCount val="1"/>
                <c:pt idx="0">
                  <c:v>2050</c:v>
                </c:pt>
              </c:strCache>
            </c:strRef>
          </c:tx>
          <c:spPr>
            <a:solidFill>
              <a:schemeClr val="accent2"/>
            </a:solidFill>
            <a:ln>
              <a:noFill/>
            </a:ln>
            <a:effectLst/>
          </c:spPr>
          <c:invertIfNegative val="0"/>
          <c:dPt>
            <c:idx val="1"/>
            <c:invertIfNegative val="0"/>
            <c:bubble3D val="0"/>
            <c:spPr>
              <a:solidFill>
                <a:schemeClr val="accent4"/>
              </a:solidFill>
              <a:ln>
                <a:noFill/>
              </a:ln>
              <a:effectLst/>
            </c:spPr>
            <c:extLst>
              <c:ext xmlns:c16="http://schemas.microsoft.com/office/drawing/2014/chart" uri="{C3380CC4-5D6E-409C-BE32-E72D297353CC}">
                <c16:uniqueId val="{0000000C-B2BA-D74E-AF68-FB1C4A158BD7}"/>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E-B2BA-D74E-AF68-FB1C4A158BD7}"/>
              </c:ext>
            </c:extLst>
          </c:dPt>
          <c:dPt>
            <c:idx val="3"/>
            <c:invertIfNegative val="0"/>
            <c:bubble3D val="0"/>
            <c:spPr>
              <a:solidFill>
                <a:schemeClr val="accent3"/>
              </a:solidFill>
              <a:ln>
                <a:noFill/>
              </a:ln>
              <a:effectLst/>
            </c:spPr>
            <c:extLst>
              <c:ext xmlns:c16="http://schemas.microsoft.com/office/drawing/2014/chart" uri="{C3380CC4-5D6E-409C-BE32-E72D297353CC}">
                <c16:uniqueId val="{00000010-B2BA-D74E-AF68-FB1C4A158BD7}"/>
              </c:ext>
            </c:extLst>
          </c:dPt>
          <c:cat>
            <c:multiLvlStrRef>
              <c:f>'Fiche levier - 3.1'!$C$168:$C$172</c:f>
            </c:multiLvlStrRef>
          </c:cat>
          <c:val>
            <c:numRef>
              <c:f>'Fiche levier - 3.1'!$E$168:$E$172</c:f>
            </c:numRef>
          </c:val>
          <c:extLst>
            <c:ext xmlns:c16="http://schemas.microsoft.com/office/drawing/2014/chart" uri="{C3380CC4-5D6E-409C-BE32-E72D297353CC}">
              <c16:uniqueId val="{00000011-B2BA-D74E-AF68-FB1C4A158BD7}"/>
            </c:ext>
          </c:extLst>
        </c:ser>
        <c:dLbls>
          <c:showLegendKey val="0"/>
          <c:showVal val="0"/>
          <c:showCatName val="0"/>
          <c:showSerName val="0"/>
          <c:showPercent val="0"/>
          <c:showBubbleSize val="0"/>
        </c:dLbls>
        <c:gapWidth val="11"/>
        <c:overlap val="100"/>
        <c:axId val="2142503119"/>
        <c:axId val="2143198223"/>
      </c:barChart>
      <c:catAx>
        <c:axId val="2142503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fr-FR"/>
          </a:p>
        </c:txPr>
        <c:crossAx val="2143198223"/>
        <c:crosses val="autoZero"/>
        <c:auto val="1"/>
        <c:lblAlgn val="ctr"/>
        <c:lblOffset val="100"/>
        <c:noMultiLvlLbl val="0"/>
      </c:catAx>
      <c:valAx>
        <c:axId val="2143198223"/>
        <c:scaling>
          <c:orientation val="minMax"/>
          <c:max val="340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21425031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2"/>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AE48-0445-9867-E009FAC915A7}"/>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3-AE48-0445-9867-E009FAC915A7}"/>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2-AE48-0445-9867-E009FAC915A7}"/>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4-AE48-0445-9867-E009FAC915A7}"/>
              </c:ext>
            </c:extLst>
          </c:dPt>
          <c:dLbls>
            <c:dLbl>
              <c:idx val="2"/>
              <c:layout>
                <c:manualLayout>
                  <c:x val="0"/>
                  <c:y val="4.32456779626705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8-0445-9867-E009FAC915A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('Fiche levier - 3.1'!$E$141:$G$141,'Fiche levier - 3.1'!$I$141:$K$141)</c:f>
            </c:multiLvlStrRef>
          </c:cat>
          <c:val>
            <c:numRef>
              <c:f>('Fiche levier - 3.1'!$E$143:$G$143,'Fiche levier - 3.1'!$I$143:$K$143)</c:f>
            </c:numRef>
          </c:val>
          <c:extLst>
            <c:ext xmlns:c16="http://schemas.microsoft.com/office/drawing/2014/chart" uri="{C3380CC4-5D6E-409C-BE32-E72D297353CC}">
              <c16:uniqueId val="{00000000-AE48-0445-9867-E009FAC915A7}"/>
            </c:ext>
          </c:extLst>
        </c:ser>
        <c:dLbls>
          <c:dLblPos val="ctr"/>
          <c:showLegendKey val="0"/>
          <c:showVal val="1"/>
          <c:showCatName val="0"/>
          <c:showSerName val="0"/>
          <c:showPercent val="0"/>
          <c:showBubbleSize val="0"/>
        </c:dLbls>
        <c:gapWidth val="72"/>
        <c:overlap val="-27"/>
        <c:axId val="1624618447"/>
        <c:axId val="1667077823"/>
      </c:barChart>
      <c:catAx>
        <c:axId val="162461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fr-FR"/>
          </a:p>
        </c:txPr>
        <c:crossAx val="1667077823"/>
        <c:crosses val="autoZero"/>
        <c:auto val="1"/>
        <c:lblAlgn val="ctr"/>
        <c:lblOffset val="100"/>
        <c:noMultiLvlLbl val="0"/>
      </c:catAx>
      <c:valAx>
        <c:axId val="166707782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fr-FR"/>
          </a:p>
        </c:txPr>
        <c:crossAx val="1624618447"/>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8750-A442-9B5F-3D9EA5BC169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9-8750-A442-9B5F-3D9EA5BC169E}"/>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3-8750-A442-9B5F-3D9EA5BC169E}"/>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5-8750-A442-9B5F-3D9EA5BC169E}"/>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A-8750-A442-9B5F-3D9EA5BC169E}"/>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7-8750-A442-9B5F-3D9EA5BC169E}"/>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1-8750-A442-9B5F-3D9EA5BC169E}"/>
                </c:ext>
              </c:extLst>
            </c:dLbl>
            <c:dLbl>
              <c:idx val="2"/>
              <c:layout>
                <c:manualLayout>
                  <c:x val="0"/>
                  <c:y val="4.32456779626705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50-A442-9B5F-3D9EA5BC169E}"/>
                </c:ext>
              </c:extLst>
            </c:dLbl>
            <c:dLbl>
              <c:idx val="3"/>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5-8750-A442-9B5F-3D9EA5BC169E}"/>
                </c:ext>
              </c:extLst>
            </c:dLbl>
            <c:dLbl>
              <c:idx val="5"/>
              <c:layout>
                <c:manualLayout>
                  <c:x val="-1.4117561964112256E-16"/>
                  <c:y val="1.11643490016551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50-A442-9B5F-3D9EA5BC169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('Fiche levier - 3.1'!$D$149:$F$149,'Fiche levier - 3.1'!$G$149:$I$149)</c:f>
            </c:multiLvlStrRef>
          </c:cat>
          <c:val>
            <c:numRef>
              <c:f>('Fiche levier - 3.1'!$D$151:$F$151,'Fiche levier - 3.1'!$G$151:$I$151)</c:f>
            </c:numRef>
          </c:val>
          <c:extLst>
            <c:ext xmlns:c16="http://schemas.microsoft.com/office/drawing/2014/chart" uri="{C3380CC4-5D6E-409C-BE32-E72D297353CC}">
              <c16:uniqueId val="{00000008-8750-A442-9B5F-3D9EA5BC169E}"/>
            </c:ext>
          </c:extLst>
        </c:ser>
        <c:dLbls>
          <c:dLblPos val="ctr"/>
          <c:showLegendKey val="0"/>
          <c:showVal val="1"/>
          <c:showCatName val="0"/>
          <c:showSerName val="0"/>
          <c:showPercent val="0"/>
          <c:showBubbleSize val="0"/>
        </c:dLbls>
        <c:gapWidth val="72"/>
        <c:overlap val="-27"/>
        <c:axId val="1624618447"/>
        <c:axId val="1667077823"/>
      </c:barChart>
      <c:catAx>
        <c:axId val="162461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fr-FR"/>
          </a:p>
        </c:txPr>
        <c:crossAx val="1667077823"/>
        <c:crosses val="autoZero"/>
        <c:auto val="1"/>
        <c:lblAlgn val="ctr"/>
        <c:lblOffset val="100"/>
        <c:noMultiLvlLbl val="0"/>
      </c:catAx>
      <c:valAx>
        <c:axId val="166707782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fr-FR"/>
          </a:p>
        </c:txPr>
        <c:crossAx val="1624618447"/>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A4AE-9F48-8ADC-9E3E19F9F593}"/>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4AE-9F48-8ADC-9E3E19F9F593}"/>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5-A4AE-9F48-8ADC-9E3E19F9F593}"/>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7-A4AE-9F48-8ADC-9E3E19F9F593}"/>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9-A4AE-9F48-8ADC-9E3E19F9F593}"/>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B-A4AE-9F48-8ADC-9E3E19F9F593}"/>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1-A4AE-9F48-8ADC-9E3E19F9F593}"/>
                </c:ext>
              </c:extLst>
            </c:dLbl>
            <c:dLbl>
              <c:idx val="2"/>
              <c:layout>
                <c:manualLayout>
                  <c:x val="0"/>
                  <c:y val="4.32456779626705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E-9F48-8ADC-9E3E19F9F593}"/>
                </c:ext>
              </c:extLst>
            </c:dLbl>
            <c:dLbl>
              <c:idx val="3"/>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7-A4AE-9F48-8ADC-9E3E19F9F593}"/>
                </c:ext>
              </c:extLst>
            </c:dLbl>
            <c:dLbl>
              <c:idx val="5"/>
              <c:layout>
                <c:manualLayout>
                  <c:x val="-1.4117561964112256E-16"/>
                  <c:y val="1.11643490016551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4AE-9F48-8ADC-9E3E19F9F59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('Fiche levier - 3.1'!$D$157:$F$157,'Fiche levier - 3.1'!$G$157:$I$157)</c:f>
            </c:multiLvlStrRef>
          </c:cat>
          <c:val>
            <c:numRef>
              <c:f>('Fiche levier - 3.1'!$D$159:$F$159,'Fiche levier - 3.1'!$G$159:$I$159)</c:f>
            </c:numRef>
          </c:val>
          <c:extLst>
            <c:ext xmlns:c16="http://schemas.microsoft.com/office/drawing/2014/chart" uri="{C3380CC4-5D6E-409C-BE32-E72D297353CC}">
              <c16:uniqueId val="{0000000C-A4AE-9F48-8ADC-9E3E19F9F593}"/>
            </c:ext>
          </c:extLst>
        </c:ser>
        <c:dLbls>
          <c:dLblPos val="ctr"/>
          <c:showLegendKey val="0"/>
          <c:showVal val="1"/>
          <c:showCatName val="0"/>
          <c:showSerName val="0"/>
          <c:showPercent val="0"/>
          <c:showBubbleSize val="0"/>
        </c:dLbls>
        <c:gapWidth val="72"/>
        <c:overlap val="-27"/>
        <c:axId val="1624618447"/>
        <c:axId val="1667077823"/>
      </c:barChart>
      <c:catAx>
        <c:axId val="162461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fr-FR"/>
          </a:p>
        </c:txPr>
        <c:crossAx val="1667077823"/>
        <c:crosses val="autoZero"/>
        <c:auto val="1"/>
        <c:lblAlgn val="ctr"/>
        <c:lblOffset val="100"/>
        <c:noMultiLvlLbl val="0"/>
      </c:catAx>
      <c:valAx>
        <c:axId val="166707782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fr-FR"/>
          </a:p>
        </c:txPr>
        <c:crossAx val="1624618447"/>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'3.2 - Déplacement entraînement'!$D$176</c:f>
              <c:strCache>
                <c:ptCount val="1"/>
                <c:pt idx="0">
                  <c:v>Parts modales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'3.2 - Déplacement entraînement'!$B$177:$B$180</c:f>
            </c:strRef>
          </c:cat>
          <c:val>
            <c:numRef>
              <c:f>'3.2 - Déplacement entraînement'!$D$177:$D$180</c:f>
            </c:numRef>
          </c:val>
          <c:extLst>
            <c:ext xmlns:c16="http://schemas.microsoft.com/office/drawing/2014/chart" uri="{C3380CC4-5D6E-409C-BE32-E72D297353CC}">
              <c16:uniqueId val="{00000000-9CD0-6842-9AA5-1CF10C96D69A}"/>
            </c:ext>
          </c:extLst>
        </c:ser>
        <c:ser>
          <c:idx val="1"/>
          <c:order val="1"/>
          <c:tx>
            <c:strRef>
              <c:f>'3.2 - Déplacement entraînement'!$E$176</c:f>
              <c:strCache>
                <c:ptCount val="1"/>
                <c:pt idx="0">
                  <c:v>Répartition des émissions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'3.2 - Déplacement entraînement'!$B$177:$B$180</c:f>
            </c:strRef>
          </c:cat>
          <c:val>
            <c:numRef>
              <c:f>'3.2 - Déplacement entraînement'!$E$177:$E$180</c:f>
            </c:numRef>
          </c:val>
          <c:extLst>
            <c:ext xmlns:c16="http://schemas.microsoft.com/office/drawing/2014/chart" uri="{C3380CC4-5D6E-409C-BE32-E72D297353CC}">
              <c16:uniqueId val="{00000001-9CD0-6842-9AA5-1CF10C96D69A}"/>
            </c:ext>
          </c:extLst>
        </c:ser>
        <c:dLbls>
          <c:showLegendKey val="0"/>
          <c:showVal val="0"/>
          <c:showCatName val="0"/>
          <c:showSerName val="0"/>
          <c:showPercent val="0"/>
          <c:showBubbleSize val="0"/>
        </c:dLbls>
        <c:gapWidth val="219"/>
        <c:overlap val="-27"/>
        <c:axId val="607543567"/>
        <c:axId val="268041471"/>
      </c:barChart>
      <c:catAx>
        <c:axId val="607543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fr-FR"/>
          </a:p>
        </c:txPr>
        <c:crossAx val="268041471"/>
        <c:crosses val="autoZero"/>
        <c:auto val="1"/>
        <c:lblAlgn val="ctr"/>
        <c:lblOffset val="100"/>
        <c:noMultiLvlLbl val="0"/>
      </c:catAx>
      <c:valAx>
        <c:axId val="26804147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fr-FR"/>
          </a:p>
        </c:txPr>
        <c:crossAx val="607543567"/>
        <c:crosses val="autoZero"/>
        <c:crossBetween val="between"/>
      </c:valAx>
      <c:spPr>
        <a:noFill/>
        <a:ln>
          <a:noFill/>
        </a:ln>
        <a:effectLst/>
      </c:spPr>
    </c:plotArea>
    <c:legend>
      <c:legendPos val="b"/>
      <c:layout>
        <c:manualLayout>
          <c:xMode val="edge"/>
          <c:yMode val="edge"/>
          <c:x val="0.56962328257141326"/>
          <c:y val="4.4032079738648547E-2"/>
          <c:w val="0.41656346480020723"/>
          <c:h val="6.334488190014053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'3.2 - Déplacement entraînement'!$C$74</c:f>
              <c:strCache>
                <c:ptCount val="1"/>
                <c:pt idx="0">
                  <c:v>Voiture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'3.2 - Déplacement entraînement'!$D$70:$G$70</c:f>
              <c:strCache>
                <c:ptCount val="4"/>
                <c:pt idx="0">
                  <c:v>Communes densément peuplées</c:v>
                </c:pt>
                <c:pt idx="1">
                  <c:v>Communes de densité intermédiaire</c:v>
                </c:pt>
                <c:pt idx="2">
                  <c:v>Communes peu denses</c:v>
                </c:pt>
                <c:pt idx="3">
                  <c:v>Communes très peu denses</c:v>
                </c:pt>
              </c:strCache>
            </c:strRef>
          </c:cat>
          <c:val>
            <c:numRef>
              <c:f>'3.2 - Déplacement entraînement'!$D$74:$G$74</c:f>
              <c:numCache>
                <c:formatCode>0%</c:formatCode>
                <c:ptCount val="4"/>
                <c:pt idx="0">
                  <c:v>0.5</c:v>
                </c:pt>
                <c:pt idx="1">
                  <c:v>0.70758122743682306</c:v>
                </c:pt>
                <c:pt idx="2">
                  <c:v>0.84013605442176875</c:v>
                </c:pt>
                <c:pt idx="3">
                  <c:v>0.875</c:v>
                </c:pt>
              </c:numCache>
            </c:numRef>
          </c:val>
          <c:extLst>
            <c:ext xmlns:c16="http://schemas.microsoft.com/office/drawing/2014/chart" uri="{C3380CC4-5D6E-409C-BE32-E72D297353CC}">
              <c16:uniqueId val="{00000000-8D55-5940-8B48-A4A4E8EC18CD}"/>
            </c:ext>
          </c:extLst>
        </c:ser>
        <c:ser>
          <c:idx val="1"/>
          <c:order val="1"/>
          <c:tx>
            <c:strRef>
              <c:f>'3.2 - Déplacement entraînement'!$C$75</c:f>
              <c:strCache>
                <c:ptCount val="1"/>
                <c:pt idx="0">
                  <c:v>Bus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'3.2 - Déplacement entraînement'!$D$70:$G$70</c:f>
              <c:strCache>
                <c:ptCount val="4"/>
                <c:pt idx="0">
                  <c:v>Communes densément peuplées</c:v>
                </c:pt>
                <c:pt idx="1">
                  <c:v>Communes de densité intermédiaire</c:v>
                </c:pt>
                <c:pt idx="2">
                  <c:v>Communes peu denses</c:v>
                </c:pt>
                <c:pt idx="3">
                  <c:v>Communes très peu denses</c:v>
                </c:pt>
              </c:strCache>
            </c:strRef>
          </c:cat>
          <c:val>
            <c:numRef>
              <c:f>'3.2 - Déplacement entraînement'!$D$75:$G$75</c:f>
              <c:numCache>
                <c:formatCode>0%</c:formatCode>
                <c:ptCount val="4"/>
                <c:pt idx="0" formatCode="0.0%">
                  <c:v>2.8571428571428571E-3</c:v>
                </c:pt>
                <c:pt idx="1">
                  <c:v>2.1660649819494584E-2</c:v>
                </c:pt>
                <c:pt idx="2">
                  <c:v>1.020408163265306E-2</c:v>
                </c:pt>
                <c:pt idx="3">
                  <c:v>4.1666666666666664E-2</c:v>
                </c:pt>
              </c:numCache>
            </c:numRef>
          </c:val>
          <c:extLst>
            <c:ext xmlns:c16="http://schemas.microsoft.com/office/drawing/2014/chart" uri="{C3380CC4-5D6E-409C-BE32-E72D297353CC}">
              <c16:uniqueId val="{00000001-8D55-5940-8B48-A4A4E8EC18CD}"/>
            </c:ext>
          </c:extLst>
        </c:ser>
        <c:ser>
          <c:idx val="2"/>
          <c:order val="2"/>
          <c:tx>
            <c:strRef>
              <c:f>'3.2 - Déplacement entraînement'!$C$76</c:f>
              <c:strCache>
                <c:ptCount val="1"/>
                <c:pt idx="0">
                  <c:v>Métro/tramway/TER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'3.2 - Déplacement entraînement'!$D$70:$G$70</c:f>
              <c:strCache>
                <c:ptCount val="4"/>
                <c:pt idx="0">
                  <c:v>Communes densément peuplées</c:v>
                </c:pt>
                <c:pt idx="1">
                  <c:v>Communes de densité intermédiaire</c:v>
                </c:pt>
                <c:pt idx="2">
                  <c:v>Communes peu denses</c:v>
                </c:pt>
                <c:pt idx="3">
                  <c:v>Communes très peu denses</c:v>
                </c:pt>
              </c:strCache>
            </c:strRef>
          </c:cat>
          <c:val>
            <c:numRef>
              <c:f>'3.2 - Déplacement entraînement'!$D$76:$G$76</c:f>
              <c:numCache>
                <c:formatCode>0.0%</c:formatCode>
                <c:ptCount val="4"/>
                <c:pt idx="0" formatCode="0%">
                  <c:v>9.7142857142857142E-2</c:v>
                </c:pt>
                <c:pt idx="1">
                  <c:v>3.6101083032490976E-3</c:v>
                </c:pt>
                <c:pt idx="2" formatCode="0%">
                  <c:v>3.4013605442176869E-3</c:v>
                </c:pt>
                <c:pt idx="3" formatCode="0%">
                  <c:v>0</c:v>
                </c:pt>
              </c:numCache>
            </c:numRef>
          </c:val>
          <c:extLst>
            <c:ext xmlns:c16="http://schemas.microsoft.com/office/drawing/2014/chart" uri="{C3380CC4-5D6E-409C-BE32-E72D297353CC}">
              <c16:uniqueId val="{00000002-8D55-5940-8B48-A4A4E8EC18CD}"/>
            </c:ext>
          </c:extLst>
        </c:ser>
        <c:ser>
          <c:idx val="3"/>
          <c:order val="3"/>
          <c:tx>
            <c:strRef>
              <c:f>'3.2 - Déplacement entraînement'!$C$77</c:f>
              <c:strCache>
                <c:ptCount val="1"/>
                <c:pt idx="0">
                  <c:v>Mobilités actives (marche, vélo, etc.)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'3.2 - Déplacement entraînement'!$D$70:$G$70</c:f>
              <c:strCache>
                <c:ptCount val="4"/>
                <c:pt idx="0">
                  <c:v>Communes densément peuplées</c:v>
                </c:pt>
                <c:pt idx="1">
                  <c:v>Communes de densité intermédiaire</c:v>
                </c:pt>
                <c:pt idx="2">
                  <c:v>Communes peu denses</c:v>
                </c:pt>
                <c:pt idx="3">
                  <c:v>Communes très peu denses</c:v>
                </c:pt>
              </c:strCache>
            </c:strRef>
          </c:cat>
          <c:val>
            <c:numRef>
              <c:f>'3.2 - Déplacement entraînement'!$D$77:$G$77</c:f>
              <c:numCache>
                <c:formatCode>0%</c:formatCode>
                <c:ptCount val="4"/>
                <c:pt idx="0">
                  <c:v>0.4</c:v>
                </c:pt>
                <c:pt idx="1">
                  <c:v>0.26714801444043323</c:v>
                </c:pt>
                <c:pt idx="2">
                  <c:v>0.14625850340136054</c:v>
                </c:pt>
                <c:pt idx="3">
                  <c:v>8.3333333333333329E-2</c:v>
                </c:pt>
              </c:numCache>
            </c:numRef>
          </c:val>
          <c:extLst>
            <c:ext xmlns:c16="http://schemas.microsoft.com/office/drawing/2014/chart" uri="{C3380CC4-5D6E-409C-BE32-E72D297353CC}">
              <c16:uniqueId val="{00000003-8D55-5940-8B48-A4A4E8EC18CD}"/>
            </c:ext>
          </c:extLst>
        </c:ser>
        <c:dLbls>
          <c:dLblPos val="outEnd"/>
          <c:showLegendKey val="0"/>
          <c:showVal val="1"/>
          <c:showCatName val="0"/>
          <c:showSerName val="0"/>
          <c:showPercent val="0"/>
          <c:showBubbleSize val="0"/>
        </c:dLbls>
        <c:gapWidth val="219"/>
        <c:overlap val="-27"/>
        <c:axId val="262536575"/>
        <c:axId val="656536335"/>
      </c:barChart>
      <c:catAx>
        <c:axId val="262536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accent1"/>
                </a:solidFill>
                <a:latin typeface="+mn-lt"/>
                <a:ea typeface="+mn-ea"/>
                <a:cs typeface="+mn-cs"/>
              </a:defRPr>
            </a:pPr>
            <a:endParaRPr lang="fr-FR"/>
          </a:p>
        </c:txPr>
        <c:crossAx val="656536335"/>
        <c:crosses val="autoZero"/>
        <c:auto val="1"/>
        <c:lblAlgn val="ctr"/>
        <c:lblOffset val="100"/>
        <c:noMultiLvlLbl val="0"/>
      </c:catAx>
      <c:valAx>
        <c:axId val="656536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accent1"/>
                </a:solidFill>
                <a:latin typeface="+mn-lt"/>
                <a:ea typeface="+mn-ea"/>
                <a:cs typeface="+mn-cs"/>
              </a:defRPr>
            </a:pPr>
            <a:endParaRPr lang="fr-FR"/>
          </a:p>
        </c:txPr>
        <c:crossAx val="262536575"/>
        <c:crosses val="autoZero"/>
        <c:crossBetween val="between"/>
      </c:valAx>
      <c:spPr>
        <a:noFill/>
        <a:ln>
          <a:noFill/>
        </a:ln>
        <a:effectLst/>
      </c:spPr>
    </c:plotArea>
    <c:legend>
      <c:legendPos val="b"/>
      <c:layout>
        <c:manualLayout>
          <c:xMode val="edge"/>
          <c:yMode val="edge"/>
          <c:x val="6.1233433046123734E-2"/>
          <c:y val="4.8513100936975542E-2"/>
          <c:w val="0.55090076721931569"/>
          <c:h val="5.4312507900726614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accent1"/>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spc="0" baseline="0">
                <a:solidFill>
                  <a:schemeClr val="tx1">
                    <a:lumMod val="65000"/>
                    <a:lumOff val="35000"/>
                  </a:schemeClr>
                </a:solidFill>
                <a:latin typeface="+mn-lt"/>
                <a:ea typeface="+mn-ea"/>
                <a:cs typeface="+mn-cs"/>
              </a:defRPr>
            </a:pPr>
            <a:r>
              <a:rPr lang="en-GB" b="1"/>
              <a:t>Evolution du facteur d'émissions de l'aviation par rapport à 2019</a:t>
            </a:r>
            <a:endParaRPr lang="en-GB"/>
          </a:p>
        </c:rich>
      </c:tx>
      <c:overlay val="0"/>
      <c:spPr>
        <a:prstGeom prst="rect">
          <a:avLst/>
        </a:prstGeom>
        <a:noFill/>
        <a:ln>
          <a:noFill/>
        </a:ln>
        <a:effectLst/>
      </c:spPr>
      <c:txPr>
        <a:bodyPr rot="0" spcFirstLastPara="1" vertOverflow="ellipsis" vert="horz" wrap="square" anchor="ctr" anchorCtr="1"/>
        <a:lstStyle/>
        <a:p>
          <a:pPr>
            <a:defRPr sz="1400" b="0" i="0" u="none" strike="noStrike" spc="0" baseline="0">
              <a:solidFill>
                <a:schemeClr val="tx1">
                  <a:lumMod val="65000"/>
                  <a:lumOff val="35000"/>
                </a:schemeClr>
              </a:solidFill>
              <a:latin typeface="+mn-lt"/>
              <a:ea typeface="+mn-ea"/>
              <a:cs typeface="+mn-cs"/>
            </a:defRPr>
          </a:pPr>
          <a:endParaRPr lang="en-GB"/>
        </a:p>
      </c:txPr>
    </c:title>
    <c:autoTitleDeleted val="0"/>
    <c:plotArea>
      <c:layout/>
      <c:lineChart>
        <c:grouping val="stacked"/>
        <c:varyColors val="0"/>
        <c:ser>
          <c:idx val="0"/>
          <c:order val="0"/>
          <c:spPr bwMode="auto">
            <a:prstGeom prst="rect">
              <a:avLst/>
            </a:prstGeom>
            <a:ln w="28575" cap="rnd">
              <a:solidFill>
                <a:schemeClr val="accent1"/>
              </a:solidFill>
              <a:round/>
            </a:ln>
            <a:effectLst/>
          </c:spPr>
          <c:marker>
            <c:symbol val="none"/>
          </c:marker>
          <c:cat>
            <c:numLit>
              <c:formatCode>General</c:formatCode>
              <c:ptCount val="33"/>
              <c:pt idx="2">
                <c:v>2020</c:v>
              </c:pt>
              <c:pt idx="7">
                <c:v>2025</c:v>
              </c:pt>
              <c:pt idx="12">
                <c:v>2030</c:v>
              </c:pt>
              <c:pt idx="17">
                <c:v>2035</c:v>
              </c:pt>
              <c:pt idx="22">
                <c:v>2040</c:v>
              </c:pt>
              <c:pt idx="27">
                <c:v>2045</c:v>
              </c:pt>
              <c:pt idx="32">
                <c:v>2050</c:v>
              </c:pt>
            </c:numLit>
          </c:cat>
          <c:val>
            <c:numLit>
              <c:formatCode>General</c:formatCode>
              <c:ptCount val="33"/>
              <c:pt idx="0">
                <c:v>0.99999999999999978</c:v>
              </c:pt>
              <c:pt idx="1">
                <c:v>1</c:v>
              </c:pt>
              <c:pt idx="2">
                <c:v>0.99172000000000005</c:v>
              </c:pt>
              <c:pt idx="3">
                <c:v>0.97596841101429221</c:v>
              </c:pt>
              <c:pt idx="4">
                <c:v>0.96663244395234948</c:v>
              </c:pt>
              <c:pt idx="5">
                <c:v>0.95714669059478052</c:v>
              </c:pt>
              <c:pt idx="6">
                <c:v>0.94748976102910709</c:v>
              </c:pt>
              <c:pt idx="7">
                <c:v>0.93695676746520273</c:v>
              </c:pt>
              <c:pt idx="8">
                <c:v>0.92596567970815435</c:v>
              </c:pt>
              <c:pt idx="9">
                <c:v>0.91442295106350724</c:v>
              </c:pt>
              <c:pt idx="10">
                <c:v>0.90221579778868799</c:v>
              </c:pt>
              <c:pt idx="11">
                <c:v>0.88920819853025257</c:v>
              </c:pt>
              <c:pt idx="12">
                <c:v>0.86758007404272963</c:v>
              </c:pt>
              <c:pt idx="13">
                <c:v>0.85387550806047285</c:v>
              </c:pt>
              <c:pt idx="14">
                <c:v>0.83815261660277462</c:v>
              </c:pt>
              <c:pt idx="15">
                <c:v>0.82162439533152343</c:v>
              </c:pt>
              <c:pt idx="16">
                <c:v>0.8041654639216933</c:v>
              </c:pt>
              <c:pt idx="17">
                <c:v>0.78496558001866279</c:v>
              </c:pt>
              <c:pt idx="18">
                <c:v>0.76452213015941195</c:v>
              </c:pt>
              <c:pt idx="19">
                <c:v>0.74263063080420744</c:v>
              </c:pt>
              <c:pt idx="20">
                <c:v>0.71904925865555902</c:v>
              </c:pt>
              <c:pt idx="21">
                <c:v>0.69349134313987315</c:v>
              </c:pt>
              <c:pt idx="22">
                <c:v>0.63999404710985008</c:v>
              </c:pt>
              <c:pt idx="23">
                <c:v>0.58910963625413126</c:v>
              </c:pt>
              <c:pt idx="24">
                <c:v>0.5372446552567498</c:v>
              </c:pt>
              <c:pt idx="25">
                <c:v>0.48418036514568946</c:v>
              </c:pt>
              <c:pt idx="26">
                <c:v>0.42966721535535118</c:v>
              </c:pt>
              <c:pt idx="27">
                <c:v>0.38037790656142562</c:v>
              </c:pt>
              <c:pt idx="28">
                <c:v>0.33092729025338657</c:v>
              </c:pt>
              <c:pt idx="29">
                <c:v>0.31357191692509995</c:v>
              </c:pt>
              <c:pt idx="30">
                <c:v>0.29648429719044239</c:v>
              </c:pt>
              <c:pt idx="31">
                <c:v>0.27966443104941402</c:v>
              </c:pt>
              <c:pt idx="32">
                <c:v>0.26273658659118981</c:v>
              </c:pt>
            </c:numLit>
          </c:val>
          <c:smooth val="0"/>
          <c:extLst>
            <c:ext xmlns:c16="http://schemas.microsoft.com/office/drawing/2014/chart" uri="{C3380CC4-5D6E-409C-BE32-E72D297353CC}">
              <c16:uniqueId val="{00000000-1968-4240-8A3D-4B9E0B0E4699}"/>
            </c:ext>
          </c:extLst>
        </c:ser>
        <c:dLbls>
          <c:showLegendKey val="0"/>
          <c:showVal val="0"/>
          <c:showCatName val="0"/>
          <c:showSerName val="0"/>
          <c:showPercent val="0"/>
          <c:showBubbleSize val="0"/>
        </c:dLbls>
        <c:smooth val="0"/>
        <c:axId val="1860776319"/>
        <c:axId val="1860774239"/>
      </c:lineChart>
      <c:catAx>
        <c:axId val="1860776319"/>
        <c:scaling>
          <c:orientation val="minMax"/>
        </c:scaling>
        <c:delete val="0"/>
        <c:axPos val="b"/>
        <c:numFmt formatCode="General" sourceLinked="1"/>
        <c:majorTickMark val="none"/>
        <c:minorTickMark val="none"/>
        <c:tickLblPos val="nextTo"/>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baseline="0">
                <a:solidFill>
                  <a:schemeClr val="tx1">
                    <a:lumMod val="65000"/>
                    <a:lumOff val="35000"/>
                  </a:schemeClr>
                </a:solidFill>
                <a:latin typeface="+mn-lt"/>
                <a:ea typeface="+mn-ea"/>
                <a:cs typeface="+mn-cs"/>
              </a:defRPr>
            </a:pPr>
            <a:endParaRPr lang="fr-FR"/>
          </a:p>
        </c:txPr>
        <c:crossAx val="1860774239"/>
        <c:crossesAt val="0"/>
        <c:auto val="1"/>
        <c:lblAlgn val="ctr"/>
        <c:lblOffset val="100"/>
        <c:noMultiLvlLbl val="0"/>
      </c:catAx>
      <c:valAx>
        <c:axId val="1860774239"/>
        <c:scaling>
          <c:orientation val="minMax"/>
          <c:max val="1.03"/>
          <c:min val="0"/>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100" b="1" i="0" u="none" strike="noStrike" baseline="0">
                <a:solidFill>
                  <a:schemeClr val="tx1">
                    <a:lumMod val="65000"/>
                    <a:lumOff val="35000"/>
                  </a:schemeClr>
                </a:solidFill>
                <a:latin typeface="+mn-lt"/>
                <a:ea typeface="+mn-ea"/>
                <a:cs typeface="+mn-cs"/>
              </a:defRPr>
            </a:pPr>
            <a:endParaRPr lang="fr-FR"/>
          </a:p>
        </c:txPr>
        <c:crossAx val="1860776319"/>
        <c:crosses val="autoZero"/>
        <c:crossBetween val="between"/>
      </c:valAx>
      <c:spPr>
        <a:prstGeom prst="rect">
          <a:avLst/>
        </a:prstGeom>
        <a:noFill/>
        <a:ln>
          <a:noFill/>
        </a:ln>
        <a:effectLst/>
      </c:spPr>
    </c:plotArea>
    <c:plotVisOnly val="1"/>
    <c:dispBlanksAs val="zero"/>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Résultat!$B$142</c:f>
              <c:strCache>
                <c:ptCount val="1"/>
                <c:pt idx="0">
                  <c:v>DROP</c:v>
                </c:pt>
              </c:strCache>
            </c:strRef>
          </c:tx>
          <c:spPr>
            <a:ln w="25400" cap="rnd">
              <a:solidFill>
                <a:schemeClr val="tx2"/>
              </a:solidFill>
              <a:round/>
            </a:ln>
            <a:effectLst/>
          </c:spPr>
          <c:marker>
            <c:symbol val="circle"/>
            <c:size val="7"/>
            <c:spPr>
              <a:solidFill>
                <a:schemeClr val="tx2"/>
              </a:solidFill>
              <a:ln w="9525">
                <a:noFill/>
              </a:ln>
              <a:effectLst/>
            </c:spPr>
          </c:marker>
          <c:xVal>
            <c:numRef>
              <c:f>Résultat!$C$141:$Q$141</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Résultat!$C$142:$Q$142</c:f>
              <c:numCache>
                <c:formatCode>_ * #\ ##0_)_ ;_ * \(#\ ##0\)_ ;_ * "-"??_)_ ;_ @_ </c:formatCode>
                <c:ptCount val="15"/>
                <c:pt idx="0">
                  <c:v>1744298.79770873</c:v>
                </c:pt>
                <c:pt idx="1">
                  <c:v>1577371.4600808129</c:v>
                </c:pt>
                <c:pt idx="2">
                  <c:v>1426418.8717814782</c:v>
                </c:pt>
                <c:pt idx="3">
                  <c:v>1289912.2681413949</c:v>
                </c:pt>
                <c:pt idx="4">
                  <c:v>1166469.1854669861</c:v>
                </c:pt>
                <c:pt idx="5">
                  <c:v>1054839.4602096032</c:v>
                </c:pt>
                <c:pt idx="6">
                  <c:v>953892.56799769844</c:v>
                </c:pt>
                <c:pt idx="7">
                  <c:v>862606.17430868454</c:v>
                </c:pt>
                <c:pt idx="8">
                  <c:v>780055.78082799364</c:v>
                </c:pt>
                <c:pt idx="9">
                  <c:v>705405.36263936257</c:v>
                </c:pt>
                <c:pt idx="10">
                  <c:v>637898.90142496547</c:v>
                </c:pt>
                <c:pt idx="11">
                  <c:v>576852.72892830614</c:v>
                </c:pt>
                <c:pt idx="12">
                  <c:v>521648.60313868325</c:v>
                </c:pt>
                <c:pt idx="13">
                  <c:v>471727.44707663404</c:v>
                </c:pt>
                <c:pt idx="14">
                  <c:v>426583.68677022716</c:v>
                </c:pt>
              </c:numCache>
            </c:numRef>
          </c:yVal>
          <c:smooth val="0"/>
          <c:extLst>
            <c:ext xmlns:c16="http://schemas.microsoft.com/office/drawing/2014/chart" uri="{C3380CC4-5D6E-409C-BE32-E72D297353CC}">
              <c16:uniqueId val="{00000000-A122-9144-B54D-CD3A447929F2}"/>
            </c:ext>
          </c:extLst>
        </c:ser>
        <c:ser>
          <c:idx val="1"/>
          <c:order val="1"/>
          <c:tx>
            <c:strRef>
              <c:f>Résultat!$B$143</c:f>
              <c:strCache>
                <c:ptCount val="1"/>
                <c:pt idx="0">
                  <c:v>BUT 1</c:v>
                </c:pt>
              </c:strCache>
            </c:strRef>
          </c:tx>
          <c:spPr>
            <a:ln w="19050" cap="rnd">
              <a:solidFill>
                <a:schemeClr val="accent2"/>
              </a:solidFill>
              <a:round/>
            </a:ln>
            <a:effectLst/>
          </c:spPr>
          <c:marker>
            <c:symbol val="circle"/>
            <c:size val="7"/>
            <c:spPr>
              <a:solidFill>
                <a:schemeClr val="accent2"/>
              </a:solidFill>
              <a:ln w="9525">
                <a:noFill/>
              </a:ln>
              <a:effectLst/>
            </c:spPr>
          </c:marker>
          <c:xVal>
            <c:numRef>
              <c:f>Résultat!$C$141:$Q$141</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Résultat!$C$143:$Q$143</c:f>
              <c:numCache>
                <c:formatCode>_ * #\ ##0_)_ ;_ * \(#\ ##0\)_ ;_ * "-"??_)_ ;_ @_ </c:formatCode>
                <c:ptCount val="15"/>
                <c:pt idx="0">
                  <c:v>1744298.79770873</c:v>
                </c:pt>
                <c:pt idx="1">
                  <c:v>1594562.1079577764</c:v>
                </c:pt>
                <c:pt idx="2">
                  <c:v>1457679.3376654759</c:v>
                </c:pt>
                <c:pt idx="3">
                  <c:v>1332547.0615743024</c:v>
                </c:pt>
                <c:pt idx="4">
                  <c:v>1218156.5762975852</c:v>
                </c:pt>
                <c:pt idx="5">
                  <c:v>1113585.7690638958</c:v>
                </c:pt>
                <c:pt idx="6">
                  <c:v>1017991.6844767659</c:v>
                </c:pt>
                <c:pt idx="7">
                  <c:v>930603.72936966072</c:v>
                </c:pt>
                <c:pt idx="8">
                  <c:v>850717.46097989497</c:v>
                </c:pt>
                <c:pt idx="9">
                  <c:v>777688.90836735303</c:v>
                </c:pt>
                <c:pt idx="10">
                  <c:v>710929.38130242343</c:v>
                </c:pt>
                <c:pt idx="11">
                  <c:v>649900.7247770899</c:v>
                </c:pt>
                <c:pt idx="12">
                  <c:v>594110.98088533455</c:v>
                </c:pt>
                <c:pt idx="13">
                  <c:v>543110.42310285009</c:v>
                </c:pt>
                <c:pt idx="14">
                  <c:v>496487.93099800829</c:v>
                </c:pt>
              </c:numCache>
            </c:numRef>
          </c:yVal>
          <c:smooth val="0"/>
          <c:extLst>
            <c:ext xmlns:c16="http://schemas.microsoft.com/office/drawing/2014/chart" uri="{C3380CC4-5D6E-409C-BE32-E72D297353CC}">
              <c16:uniqueId val="{00000001-A122-9144-B54D-CD3A447929F2}"/>
            </c:ext>
          </c:extLst>
        </c:ser>
        <c:ser>
          <c:idx val="2"/>
          <c:order val="2"/>
          <c:tx>
            <c:strRef>
              <c:f>Résultat!$B$144</c:f>
              <c:strCache>
                <c:ptCount val="1"/>
                <c:pt idx="0">
                  <c:v>BUT 2</c:v>
                </c:pt>
              </c:strCache>
            </c:strRef>
          </c:tx>
          <c:spPr>
            <a:ln w="19050" cap="rnd">
              <a:solidFill>
                <a:schemeClr val="accent4"/>
              </a:solidFill>
              <a:round/>
            </a:ln>
            <a:effectLst/>
          </c:spPr>
          <c:marker>
            <c:symbol val="circle"/>
            <c:size val="7"/>
            <c:spPr>
              <a:solidFill>
                <a:schemeClr val="accent4"/>
              </a:solidFill>
              <a:ln w="9525">
                <a:noFill/>
              </a:ln>
              <a:effectLst/>
            </c:spPr>
          </c:marker>
          <c:xVal>
            <c:numRef>
              <c:f>Résultat!$C$141:$Q$141</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Résultat!$C$144:$Q$144</c:f>
              <c:numCache>
                <c:formatCode>_ * #\ ##0_)_ ;_ * \(#\ ##0\)_ ;_ * "-"??_)_ ;_ @_ </c:formatCode>
                <c:ptCount val="15"/>
                <c:pt idx="0">
                  <c:v>1744298.79770873</c:v>
                </c:pt>
                <c:pt idx="1">
                  <c:v>1554871.3185842633</c:v>
                </c:pt>
                <c:pt idx="2">
                  <c:v>1386015.2976839179</c:v>
                </c:pt>
                <c:pt idx="3">
                  <c:v>1235496.7143924027</c:v>
                </c:pt>
                <c:pt idx="4">
                  <c:v>1101324.1584167066</c:v>
                </c:pt>
                <c:pt idx="5">
                  <c:v>981722.4827738686</c:v>
                </c:pt>
                <c:pt idx="6">
                  <c:v>875109.31801336666</c:v>
                </c:pt>
                <c:pt idx="7">
                  <c:v>780074.13694957481</c:v>
                </c:pt>
                <c:pt idx="8">
                  <c:v>695359.59292382898</c:v>
                </c:pt>
                <c:pt idx="9">
                  <c:v>619844.8846951694</c:v>
                </c:pt>
                <c:pt idx="10">
                  <c:v>552530.92787181085</c:v>
                </c:pt>
                <c:pt idx="11">
                  <c:v>492527.13669650059</c:v>
                </c:pt>
                <c:pt idx="12">
                  <c:v>439039.64130444737</c:v>
                </c:pt>
                <c:pt idx="13">
                  <c:v>391360.78456427372</c:v>
                </c:pt>
                <c:pt idx="14">
                  <c:v>348859.75954174594</c:v>
                </c:pt>
              </c:numCache>
            </c:numRef>
          </c:yVal>
          <c:smooth val="0"/>
          <c:extLst>
            <c:ext xmlns:c16="http://schemas.microsoft.com/office/drawing/2014/chart" uri="{C3380CC4-5D6E-409C-BE32-E72D297353CC}">
              <c16:uniqueId val="{00000002-A122-9144-B54D-CD3A447929F2}"/>
            </c:ext>
          </c:extLst>
        </c:ser>
        <c:ser>
          <c:idx val="3"/>
          <c:order val="3"/>
          <c:tx>
            <c:strRef>
              <c:f>Résultat!$B$145</c:f>
              <c:strCache>
                <c:ptCount val="1"/>
                <c:pt idx="0">
                  <c:v>Objectif - 80%</c:v>
                </c:pt>
              </c:strCache>
            </c:strRef>
          </c:tx>
          <c:spPr>
            <a:ln w="19050" cap="rnd">
              <a:solidFill>
                <a:schemeClr val="accent5"/>
              </a:solidFill>
              <a:prstDash val="dash"/>
              <a:round/>
            </a:ln>
            <a:effectLst/>
          </c:spPr>
          <c:marker>
            <c:symbol val="none"/>
          </c:marker>
          <c:xVal>
            <c:numRef>
              <c:f>Résultat!$C$141:$Q$141</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Résultat!$C$145:$Q$145</c:f>
              <c:numCache>
                <c:formatCode>_ * #\ ##0_)_ ;_ * \(#\ ##0\)_ ;_ * "-"??_)_ ;_ @_ </c:formatCode>
                <c:ptCount val="15"/>
                <c:pt idx="0">
                  <c:v>348859.75954174594</c:v>
                </c:pt>
                <c:pt idx="1">
                  <c:v>348859.75954174594</c:v>
                </c:pt>
                <c:pt idx="2">
                  <c:v>348859.75954174594</c:v>
                </c:pt>
                <c:pt idx="3">
                  <c:v>348859.75954174594</c:v>
                </c:pt>
                <c:pt idx="4">
                  <c:v>348859.75954174594</c:v>
                </c:pt>
                <c:pt idx="5">
                  <c:v>348859.75954174594</c:v>
                </c:pt>
                <c:pt idx="6">
                  <c:v>348859.75954174594</c:v>
                </c:pt>
                <c:pt idx="7">
                  <c:v>348859.75954174594</c:v>
                </c:pt>
                <c:pt idx="8">
                  <c:v>348859.75954174594</c:v>
                </c:pt>
                <c:pt idx="9">
                  <c:v>348859.75954174594</c:v>
                </c:pt>
                <c:pt idx="10">
                  <c:v>348859.75954174594</c:v>
                </c:pt>
                <c:pt idx="11">
                  <c:v>348859.75954174594</c:v>
                </c:pt>
                <c:pt idx="12">
                  <c:v>348859.75954174594</c:v>
                </c:pt>
                <c:pt idx="13">
                  <c:v>348859.75954174594</c:v>
                </c:pt>
                <c:pt idx="14">
                  <c:v>348859.75954174594</c:v>
                </c:pt>
              </c:numCache>
            </c:numRef>
          </c:yVal>
          <c:smooth val="0"/>
          <c:extLst>
            <c:ext xmlns:c16="http://schemas.microsoft.com/office/drawing/2014/chart" uri="{C3380CC4-5D6E-409C-BE32-E72D297353CC}">
              <c16:uniqueId val="{00000003-A122-9144-B54D-CD3A447929F2}"/>
            </c:ext>
          </c:extLst>
        </c:ser>
        <c:dLbls>
          <c:showLegendKey val="0"/>
          <c:showVal val="0"/>
          <c:showCatName val="0"/>
          <c:showSerName val="0"/>
          <c:showPercent val="0"/>
          <c:showBubbleSize val="0"/>
        </c:dLbls>
        <c:axId val="652779039"/>
        <c:axId val="652780751"/>
      </c:scatterChart>
      <c:valAx>
        <c:axId val="652779039"/>
        <c:scaling>
          <c:orientation val="minMax"/>
          <c:max val="2050"/>
          <c:min val="202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fr-FR"/>
          </a:p>
        </c:txPr>
        <c:crossAx val="652780751"/>
        <c:crosses val="autoZero"/>
        <c:crossBetween val="midCat"/>
        <c:majorUnit val="4"/>
      </c:valAx>
      <c:valAx>
        <c:axId val="652780751"/>
        <c:scaling>
          <c:orientation val="minMax"/>
          <c:max val="1800000"/>
        </c:scaling>
        <c:delete val="0"/>
        <c:axPos val="l"/>
        <c:majorGridlines>
          <c:spPr>
            <a:ln w="9525" cap="flat" cmpd="sng" algn="ctr">
              <a:solidFill>
                <a:schemeClr val="tx1">
                  <a:lumMod val="15000"/>
                  <a:lumOff val="85000"/>
                </a:schemeClr>
              </a:solidFill>
              <a:round/>
            </a:ln>
            <a:effectLst/>
          </c:spPr>
        </c:majorGridlines>
        <c:numFmt formatCode="_ * #\ ##0_)_ ;_ * \(#\ ##0\)_ ;_ * &quot;-&quot;??_)_ ;_ @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fr-FR"/>
          </a:p>
        </c:txPr>
        <c:crossAx val="6527790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spc="0" baseline="0">
                <a:solidFill>
                  <a:schemeClr val="tx1">
                    <a:lumMod val="65000"/>
                    <a:lumOff val="35000"/>
                  </a:schemeClr>
                </a:solidFill>
                <a:latin typeface="+mn-lt"/>
                <a:ea typeface="+mn-ea"/>
                <a:cs typeface="+mn-cs"/>
              </a:defRPr>
            </a:pPr>
            <a:r>
              <a:rPr lang="en-GB" b="1"/>
              <a:t>Evolution du facteur d'émissions de l'aviation par rapport à 2019</a:t>
            </a:r>
            <a:endParaRPr lang="en-GB"/>
          </a:p>
        </c:rich>
      </c:tx>
      <c:overlay val="0"/>
      <c:spPr>
        <a:prstGeom prst="rect">
          <a:avLst/>
        </a:prstGeom>
        <a:noFill/>
        <a:ln>
          <a:noFill/>
        </a:ln>
        <a:effectLst/>
      </c:spPr>
      <c:txPr>
        <a:bodyPr rot="0" spcFirstLastPara="1" vertOverflow="ellipsis" vert="horz" wrap="square" anchor="ctr" anchorCtr="1"/>
        <a:lstStyle/>
        <a:p>
          <a:pPr>
            <a:defRPr sz="1400" b="0" i="0" u="none" strike="noStrike" spc="0" baseline="0">
              <a:solidFill>
                <a:schemeClr val="tx1">
                  <a:lumMod val="65000"/>
                  <a:lumOff val="35000"/>
                </a:schemeClr>
              </a:solidFill>
              <a:latin typeface="+mn-lt"/>
              <a:ea typeface="+mn-ea"/>
              <a:cs typeface="+mn-cs"/>
            </a:defRPr>
          </a:pPr>
          <a:endParaRPr lang="en-GB"/>
        </a:p>
      </c:txPr>
    </c:title>
    <c:autoTitleDeleted val="0"/>
    <c:plotArea>
      <c:layout/>
      <c:lineChart>
        <c:grouping val="stacked"/>
        <c:varyColors val="0"/>
        <c:ser>
          <c:idx val="0"/>
          <c:order val="0"/>
          <c:spPr bwMode="auto">
            <a:prstGeom prst="rect">
              <a:avLst/>
            </a:prstGeom>
            <a:ln w="28575" cap="rnd">
              <a:solidFill>
                <a:schemeClr val="accent1"/>
              </a:solidFill>
              <a:round/>
            </a:ln>
            <a:effectLst/>
          </c:spPr>
          <c:marker>
            <c:symbol val="none"/>
          </c:marker>
          <c:cat>
            <c:numLit>
              <c:formatCode>General</c:formatCode>
              <c:ptCount val="33"/>
              <c:pt idx="2">
                <c:v>2020</c:v>
              </c:pt>
              <c:pt idx="7">
                <c:v>2025</c:v>
              </c:pt>
              <c:pt idx="12">
                <c:v>2030</c:v>
              </c:pt>
              <c:pt idx="17">
                <c:v>2035</c:v>
              </c:pt>
              <c:pt idx="22">
                <c:v>2040</c:v>
              </c:pt>
              <c:pt idx="27">
                <c:v>2045</c:v>
              </c:pt>
              <c:pt idx="32">
                <c:v>2050</c:v>
              </c:pt>
            </c:numLit>
          </c:cat>
          <c:val>
            <c:numLit>
              <c:formatCode>General</c:formatCode>
              <c:ptCount val="33"/>
              <c:pt idx="0">
                <c:v>0.99999999999999978</c:v>
              </c:pt>
              <c:pt idx="1">
                <c:v>1</c:v>
              </c:pt>
              <c:pt idx="2">
                <c:v>0.99172000000000005</c:v>
              </c:pt>
              <c:pt idx="3">
                <c:v>0.97596841101429221</c:v>
              </c:pt>
              <c:pt idx="4">
                <c:v>0.96663244395234948</c:v>
              </c:pt>
              <c:pt idx="5">
                <c:v>0.95714669059478052</c:v>
              </c:pt>
              <c:pt idx="6">
                <c:v>0.94748976102910709</c:v>
              </c:pt>
              <c:pt idx="7">
                <c:v>0.93695676746520273</c:v>
              </c:pt>
              <c:pt idx="8">
                <c:v>0.92596567970815435</c:v>
              </c:pt>
              <c:pt idx="9">
                <c:v>0.91442295106350724</c:v>
              </c:pt>
              <c:pt idx="10">
                <c:v>0.90221579778868799</c:v>
              </c:pt>
              <c:pt idx="11">
                <c:v>0.88920819853025257</c:v>
              </c:pt>
              <c:pt idx="12">
                <c:v>0.86758007404272963</c:v>
              </c:pt>
              <c:pt idx="13">
                <c:v>0.85387550806047285</c:v>
              </c:pt>
              <c:pt idx="14">
                <c:v>0.83815261660277462</c:v>
              </c:pt>
              <c:pt idx="15">
                <c:v>0.82162439533152343</c:v>
              </c:pt>
              <c:pt idx="16">
                <c:v>0.8041654639216933</c:v>
              </c:pt>
              <c:pt idx="17">
                <c:v>0.78496558001866279</c:v>
              </c:pt>
              <c:pt idx="18">
                <c:v>0.76452213015941195</c:v>
              </c:pt>
              <c:pt idx="19">
                <c:v>0.74263063080420744</c:v>
              </c:pt>
              <c:pt idx="20">
                <c:v>0.71904925865555902</c:v>
              </c:pt>
              <c:pt idx="21">
                <c:v>0.69349134313987315</c:v>
              </c:pt>
              <c:pt idx="22">
                <c:v>0.63999404710985008</c:v>
              </c:pt>
              <c:pt idx="23">
                <c:v>0.58910963625413126</c:v>
              </c:pt>
              <c:pt idx="24">
                <c:v>0.5372446552567498</c:v>
              </c:pt>
              <c:pt idx="25">
                <c:v>0.48418036514568946</c:v>
              </c:pt>
              <c:pt idx="26">
                <c:v>0.42966721535535118</c:v>
              </c:pt>
              <c:pt idx="27">
                <c:v>0.38037790656142562</c:v>
              </c:pt>
              <c:pt idx="28">
                <c:v>0.33092729025338657</c:v>
              </c:pt>
              <c:pt idx="29">
                <c:v>0.31357191692509995</c:v>
              </c:pt>
              <c:pt idx="30">
                <c:v>0.29648429719044239</c:v>
              </c:pt>
              <c:pt idx="31">
                <c:v>0.27966443104941402</c:v>
              </c:pt>
              <c:pt idx="32">
                <c:v>0.26273658659118981</c:v>
              </c:pt>
            </c:numLit>
          </c:val>
          <c:smooth val="0"/>
          <c:extLst>
            <c:ext xmlns:c16="http://schemas.microsoft.com/office/drawing/2014/chart" uri="{C3380CC4-5D6E-409C-BE32-E72D297353CC}">
              <c16:uniqueId val="{00000000-483B-204F-BDAC-EA30E2A4B269}"/>
            </c:ext>
          </c:extLst>
        </c:ser>
        <c:dLbls>
          <c:showLegendKey val="0"/>
          <c:showVal val="0"/>
          <c:showCatName val="0"/>
          <c:showSerName val="0"/>
          <c:showPercent val="0"/>
          <c:showBubbleSize val="0"/>
        </c:dLbls>
        <c:smooth val="0"/>
        <c:axId val="1860776319"/>
        <c:axId val="1860774239"/>
      </c:lineChart>
      <c:catAx>
        <c:axId val="1860776319"/>
        <c:scaling>
          <c:orientation val="minMax"/>
        </c:scaling>
        <c:delete val="0"/>
        <c:axPos val="b"/>
        <c:numFmt formatCode="General" sourceLinked="1"/>
        <c:majorTickMark val="none"/>
        <c:minorTickMark val="none"/>
        <c:tickLblPos val="nextTo"/>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baseline="0">
                <a:solidFill>
                  <a:schemeClr val="tx1">
                    <a:lumMod val="65000"/>
                    <a:lumOff val="35000"/>
                  </a:schemeClr>
                </a:solidFill>
                <a:latin typeface="+mn-lt"/>
                <a:ea typeface="+mn-ea"/>
                <a:cs typeface="+mn-cs"/>
              </a:defRPr>
            </a:pPr>
            <a:endParaRPr lang="fr-FR"/>
          </a:p>
        </c:txPr>
        <c:crossAx val="1860774239"/>
        <c:crossesAt val="0"/>
        <c:auto val="1"/>
        <c:lblAlgn val="ctr"/>
        <c:lblOffset val="100"/>
        <c:noMultiLvlLbl val="0"/>
      </c:catAx>
      <c:valAx>
        <c:axId val="1860774239"/>
        <c:scaling>
          <c:orientation val="minMax"/>
          <c:max val="1.03"/>
          <c:min val="0"/>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100" b="1" i="0" u="none" strike="noStrike" baseline="0">
                <a:solidFill>
                  <a:schemeClr val="tx1">
                    <a:lumMod val="65000"/>
                    <a:lumOff val="35000"/>
                  </a:schemeClr>
                </a:solidFill>
                <a:latin typeface="+mn-lt"/>
                <a:ea typeface="+mn-ea"/>
                <a:cs typeface="+mn-cs"/>
              </a:defRPr>
            </a:pPr>
            <a:endParaRPr lang="fr-FR"/>
          </a:p>
        </c:txPr>
        <c:crossAx val="1860776319"/>
        <c:crosses val="autoZero"/>
        <c:crossBetween val="between"/>
      </c:valAx>
      <c:spPr>
        <a:prstGeom prst="rect">
          <a:avLst/>
        </a:prstGeom>
        <a:noFill/>
        <a:ln>
          <a:noFill/>
        </a:ln>
        <a:effectLst/>
      </c:spPr>
    </c:plotArea>
    <c:plotVisOnly val="1"/>
    <c:dispBlanksAs val="zero"/>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'Fiche levier - 3.2'!$B$211</c:f>
              <c:strCache>
                <c:ptCount val="1"/>
                <c:pt idx="0">
                  <c:v>Voiture</c:v>
                </c:pt>
              </c:strCache>
            </c:strRef>
          </c:tx>
          <c:spPr>
            <a:solidFill>
              <a:schemeClr val="accent1"/>
            </a:solidFill>
            <a:ln>
              <a:solidFill>
                <a:schemeClr val="bg2"/>
              </a:solidFill>
            </a:ln>
            <a:effectLst/>
          </c:spPr>
          <c:invertIfNegative val="0"/>
          <c:val>
            <c:numRef>
              <c:f>'Fiche levier - 3.2'!$C$211:$J$211</c:f>
            </c:numRef>
          </c:val>
          <c:extLst>
            <c:ext xmlns:c15="http://schemas.microsoft.com/office/drawing/2012/chart" uri="{02D57815-91ED-43cb-92C2-25804820EDAC}">
              <c15:filteredCategoryTitle>
                <c15:cat>
                  <c:strRef>
                    <c:extLst>
                      <c:ext uri="{02D57815-91ED-43cb-92C2-25804820EDAC}">
                        <c15:formulaRef>
                          <c15:sqref>'Fiche levier - 3.2'!$C$210:$J$210</c15:sqref>
                        </c15:formulaRef>
                      </c:ext>
                    </c:extLst>
                  </c:strRef>
                </c15:cat>
              </c15:filteredCategoryTitle>
            </c:ext>
            <c:ext xmlns:c16="http://schemas.microsoft.com/office/drawing/2014/chart" uri="{C3380CC4-5D6E-409C-BE32-E72D297353CC}">
              <c16:uniqueId val="{00000000-C23F-5343-A5F3-B8CF96B9AC13}"/>
            </c:ext>
          </c:extLst>
        </c:ser>
        <c:ser>
          <c:idx val="1"/>
          <c:order val="1"/>
          <c:tx>
            <c:strRef>
              <c:f>'Fiche levier - 3.2'!$B$212</c:f>
              <c:strCache>
                <c:ptCount val="1"/>
                <c:pt idx="0">
                  <c:v>Transports en commun (bus, TER, etc.)</c:v>
                </c:pt>
              </c:strCache>
            </c:strRef>
          </c:tx>
          <c:spPr>
            <a:solidFill>
              <a:schemeClr val="accent2"/>
            </a:solidFill>
            <a:ln>
              <a:solidFill>
                <a:schemeClr val="bg2"/>
              </a:solidFill>
            </a:ln>
            <a:effectLst/>
          </c:spPr>
          <c:invertIfNegative val="0"/>
          <c:val>
            <c:numRef>
              <c:f>'Fiche levier - 3.2'!$C$212:$J$212</c:f>
            </c:numRef>
          </c:val>
          <c:extLst>
            <c:ext xmlns:c15="http://schemas.microsoft.com/office/drawing/2012/chart" uri="{02D57815-91ED-43cb-92C2-25804820EDAC}">
              <c15:filteredCategoryTitle>
                <c15:cat>
                  <c:strRef>
                    <c:extLst>
                      <c:ext uri="{02D57815-91ED-43cb-92C2-25804820EDAC}">
                        <c15:formulaRef>
                          <c15:sqref>'Fiche levier - 3.2'!$C$210:$J$210</c15:sqref>
                        </c15:formulaRef>
                      </c:ext>
                    </c:extLst>
                  </c:strRef>
                </c15:cat>
              </c15:filteredCategoryTitle>
            </c:ext>
            <c:ext xmlns:c16="http://schemas.microsoft.com/office/drawing/2014/chart" uri="{C3380CC4-5D6E-409C-BE32-E72D297353CC}">
              <c16:uniqueId val="{00000001-C23F-5343-A5F3-B8CF96B9AC13}"/>
            </c:ext>
          </c:extLst>
        </c:ser>
        <c:ser>
          <c:idx val="2"/>
          <c:order val="2"/>
          <c:tx>
            <c:strRef>
              <c:f>'Fiche levier - 3.2'!$B$213</c:f>
              <c:strCache>
                <c:ptCount val="1"/>
                <c:pt idx="0">
                  <c:v>Mobilités douces (marche, vélo)</c:v>
                </c:pt>
              </c:strCache>
            </c:strRef>
          </c:tx>
          <c:spPr>
            <a:solidFill>
              <a:schemeClr val="accent4"/>
            </a:solidFill>
            <a:ln>
              <a:solidFill>
                <a:schemeClr val="bg2"/>
              </a:solidFill>
            </a:ln>
            <a:effectLst/>
          </c:spPr>
          <c:invertIfNegative val="0"/>
          <c:val>
            <c:numRef>
              <c:f>'Fiche levier - 3.2'!$C$213:$J$213</c:f>
            </c:numRef>
          </c:val>
          <c:extLst>
            <c:ext xmlns:c15="http://schemas.microsoft.com/office/drawing/2012/chart" uri="{02D57815-91ED-43cb-92C2-25804820EDAC}">
              <c15:filteredCategoryTitle>
                <c15:cat>
                  <c:strRef>
                    <c:extLst>
                      <c:ext uri="{02D57815-91ED-43cb-92C2-25804820EDAC}">
                        <c15:formulaRef>
                          <c15:sqref>'Fiche levier - 3.2'!$C$210:$J$210</c15:sqref>
                        </c15:formulaRef>
                      </c:ext>
                    </c:extLst>
                  </c:strRef>
                </c15:cat>
              </c15:filteredCategoryTitle>
            </c:ext>
            <c:ext xmlns:c16="http://schemas.microsoft.com/office/drawing/2014/chart" uri="{C3380CC4-5D6E-409C-BE32-E72D297353CC}">
              <c16:uniqueId val="{00000002-C23F-5343-A5F3-B8CF96B9AC13}"/>
            </c:ext>
          </c:extLst>
        </c:ser>
        <c:dLbls>
          <c:showLegendKey val="0"/>
          <c:showVal val="0"/>
          <c:showCatName val="0"/>
          <c:showSerName val="0"/>
          <c:showPercent val="0"/>
          <c:showBubbleSize val="0"/>
        </c:dLbls>
        <c:gapWidth val="75"/>
        <c:overlap val="100"/>
        <c:axId val="5233296"/>
        <c:axId val="2137488959"/>
      </c:barChart>
      <c:catAx>
        <c:axId val="523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2137488959"/>
        <c:crosses val="autoZero"/>
        <c:auto val="1"/>
        <c:lblAlgn val="ctr"/>
        <c:lblOffset val="100"/>
        <c:noMultiLvlLbl val="0"/>
      </c:catAx>
      <c:valAx>
        <c:axId val="213748895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5233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'Fiche levier - 3.2'!$D$226</c:f>
              <c:strCache>
                <c:ptCount val="1"/>
                <c:pt idx="0">
                  <c:v>2020</c:v>
                </c:pt>
              </c:strCache>
            </c:strRef>
          </c:tx>
          <c:spPr>
            <a:solidFill>
              <a:schemeClr val="tx1">
                <a:lumMod val="65000"/>
                <a:lumOff val="35000"/>
              </a:schemeClr>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5-0EE3-2744-882D-6EE16CDE4298}"/>
              </c:ext>
            </c:extLst>
          </c:dPt>
          <c:dPt>
            <c:idx val="1"/>
            <c:invertIfNegative val="0"/>
            <c:bubble3D val="0"/>
            <c:spPr>
              <a:solidFill>
                <a:schemeClr val="tx1">
                  <a:lumMod val="65000"/>
                  <a:lumOff val="35000"/>
                  <a:alpha val="0"/>
                </a:schemeClr>
              </a:solidFill>
              <a:ln>
                <a:noFill/>
              </a:ln>
              <a:effectLst/>
            </c:spPr>
            <c:extLst>
              <c:ext xmlns:c16="http://schemas.microsoft.com/office/drawing/2014/chart" uri="{C3380CC4-5D6E-409C-BE32-E72D297353CC}">
                <c16:uniqueId val="{00000002-0EE3-2744-882D-6EE16CDE4298}"/>
              </c:ext>
            </c:extLst>
          </c:dPt>
          <c:dPt>
            <c:idx val="2"/>
            <c:invertIfNegative val="0"/>
            <c:bubble3D val="0"/>
            <c:spPr>
              <a:solidFill>
                <a:schemeClr val="tx1">
                  <a:lumMod val="65000"/>
                  <a:lumOff val="35000"/>
                  <a:alpha val="0"/>
                </a:schemeClr>
              </a:solidFill>
              <a:ln>
                <a:noFill/>
              </a:ln>
              <a:effectLst/>
            </c:spPr>
            <c:extLst>
              <c:ext xmlns:c16="http://schemas.microsoft.com/office/drawing/2014/chart" uri="{C3380CC4-5D6E-409C-BE32-E72D297353CC}">
                <c16:uniqueId val="{00000003-0EE3-2744-882D-6EE16CDE4298}"/>
              </c:ext>
            </c:extLst>
          </c:dPt>
          <c:dPt>
            <c:idx val="3"/>
            <c:invertIfNegative val="0"/>
            <c:bubble3D val="0"/>
            <c:spPr>
              <a:solidFill>
                <a:schemeClr val="tx1">
                  <a:lumMod val="65000"/>
                  <a:lumOff val="35000"/>
                  <a:alpha val="0"/>
                </a:schemeClr>
              </a:solidFill>
              <a:ln>
                <a:noFill/>
              </a:ln>
              <a:effectLst/>
            </c:spPr>
            <c:extLst>
              <c:ext xmlns:c16="http://schemas.microsoft.com/office/drawing/2014/chart" uri="{C3380CC4-5D6E-409C-BE32-E72D297353CC}">
                <c16:uniqueId val="{00000004-0EE3-2744-882D-6EE16CDE4298}"/>
              </c:ext>
            </c:extLst>
          </c:dPt>
          <c:dPt>
            <c:idx val="4"/>
            <c:invertIfNegative val="0"/>
            <c:bubble3D val="0"/>
            <c:spPr>
              <a:solidFill>
                <a:schemeClr val="tx2"/>
              </a:solidFill>
              <a:ln>
                <a:noFill/>
              </a:ln>
              <a:effectLst/>
            </c:spPr>
            <c:extLst>
              <c:ext xmlns:c16="http://schemas.microsoft.com/office/drawing/2014/chart" uri="{C3380CC4-5D6E-409C-BE32-E72D297353CC}">
                <c16:uniqueId val="{00000006-0EE3-2744-882D-6EE16CDE4298}"/>
              </c:ext>
            </c:extLst>
          </c:dPt>
          <c:cat>
            <c:strRef>
              <c:f>'Fiche levier - 3.2'!$C$227:$C$231</c:f>
            </c:strRef>
          </c:cat>
          <c:val>
            <c:numRef>
              <c:f>'Fiche levier - 3.2'!$D$227:$D$231</c:f>
            </c:numRef>
          </c:val>
          <c:extLst>
            <c:ext xmlns:c16="http://schemas.microsoft.com/office/drawing/2014/chart" uri="{C3380CC4-5D6E-409C-BE32-E72D297353CC}">
              <c16:uniqueId val="{00000000-0EE3-2744-882D-6EE16CDE4298}"/>
            </c:ext>
          </c:extLst>
        </c:ser>
        <c:ser>
          <c:idx val="1"/>
          <c:order val="1"/>
          <c:tx>
            <c:strRef>
              <c:f>'Fiche levier - 3.2'!$E$226</c:f>
              <c:strCache>
                <c:ptCount val="1"/>
                <c:pt idx="0">
                  <c:v>2050</c:v>
                </c:pt>
              </c:strCache>
            </c:strRef>
          </c:tx>
          <c:spPr>
            <a:solidFill>
              <a:schemeClr val="accent2"/>
            </a:solidFill>
            <a:ln>
              <a:noFill/>
            </a:ln>
            <a:effectLst/>
          </c:spPr>
          <c:invertIfNegative val="0"/>
          <c:dPt>
            <c:idx val="1"/>
            <c:invertIfNegative val="0"/>
            <c:bubble3D val="0"/>
            <c:spPr>
              <a:solidFill>
                <a:schemeClr val="accent4"/>
              </a:solidFill>
              <a:ln>
                <a:noFill/>
              </a:ln>
              <a:effectLst/>
            </c:spPr>
            <c:extLst>
              <c:ext xmlns:c16="http://schemas.microsoft.com/office/drawing/2014/chart" uri="{C3380CC4-5D6E-409C-BE32-E72D297353CC}">
                <c16:uniqueId val="{00000008-0EE3-2744-882D-6EE16CDE4298}"/>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9-0EE3-2744-882D-6EE16CDE4298}"/>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7-0EE3-2744-882D-6EE16CDE4298}"/>
              </c:ext>
            </c:extLst>
          </c:dPt>
          <c:cat>
            <c:strRef>
              <c:f>'Fiche levier - 3.2'!$C$227:$C$231</c:f>
            </c:strRef>
          </c:cat>
          <c:val>
            <c:numRef>
              <c:f>'Fiche levier - 3.2'!$E$227:$E$231</c:f>
            </c:numRef>
          </c:val>
          <c:extLst>
            <c:ext xmlns:c16="http://schemas.microsoft.com/office/drawing/2014/chart" uri="{C3380CC4-5D6E-409C-BE32-E72D297353CC}">
              <c16:uniqueId val="{00000001-0EE3-2744-882D-6EE16CDE4298}"/>
            </c:ext>
          </c:extLst>
        </c:ser>
        <c:dLbls>
          <c:showLegendKey val="0"/>
          <c:showVal val="0"/>
          <c:showCatName val="0"/>
          <c:showSerName val="0"/>
          <c:showPercent val="0"/>
          <c:showBubbleSize val="0"/>
        </c:dLbls>
        <c:gapWidth val="11"/>
        <c:overlap val="100"/>
        <c:axId val="2142503119"/>
        <c:axId val="2143198223"/>
      </c:barChart>
      <c:catAx>
        <c:axId val="2142503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fr-FR"/>
          </a:p>
        </c:txPr>
        <c:crossAx val="2143198223"/>
        <c:crosses val="autoZero"/>
        <c:auto val="1"/>
        <c:lblAlgn val="ctr"/>
        <c:lblOffset val="100"/>
        <c:noMultiLvlLbl val="0"/>
      </c:catAx>
      <c:valAx>
        <c:axId val="2143198223"/>
        <c:scaling>
          <c:orientation val="minMax"/>
          <c:max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21425031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2"/>
          </a:solidFill>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11E-2F43-B9FB-C41A8DDF56B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11E-2F43-B9FB-C41A8DDF56B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1E-2F43-B9FB-C41A8DDF56B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1E-2F43-B9FB-C41A8DDF56B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11E-2F43-B9FB-C41A8DDF56B2}"/>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B11E-2F43-B9FB-C41A8DDF56B2}"/>
                </c:ext>
              </c:extLst>
            </c:dLbl>
            <c:dLbl>
              <c:idx val="1"/>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B11E-2F43-B9FB-C41A8DDF56B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'4. Articles de sport'!$B$156:$B$160</c:f>
            </c:multiLvlStrRef>
          </c:cat>
          <c:val>
            <c:numRef>
              <c:f>'4. Articles de sport'!$D$156:$D$160</c:f>
            </c:numRef>
          </c:val>
          <c:extLst>
            <c:ext xmlns:c16="http://schemas.microsoft.com/office/drawing/2014/chart" uri="{C3380CC4-5D6E-409C-BE32-E72D297353CC}">
              <c16:uniqueId val="{00000000-2D58-FE41-816E-E4678318B372}"/>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6071786620715427"/>
          <c:y val="0.2099106376868603"/>
          <c:w val="0.34899065468948198"/>
          <c:h val="0.6563351798648826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 Articles de sport'!$C$225</c:f>
              <c:strCache>
                <c:ptCount val="1"/>
                <c:pt idx="0">
                  <c:v>Empreinte carbone (kgCO2e/unité)</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 Articles de sport'!$B$226:$B$230</c:f>
            </c:multiLvlStrRef>
          </c:cat>
          <c:val>
            <c:numRef>
              <c:f>'4. Articles de sport'!$C$226:$C$230</c:f>
            </c:numRef>
          </c:val>
          <c:extLst>
            <c:ext xmlns:c16="http://schemas.microsoft.com/office/drawing/2014/chart" uri="{C3380CC4-5D6E-409C-BE32-E72D297353CC}">
              <c16:uniqueId val="{00000000-8750-254F-A76C-1A62042146C2}"/>
            </c:ext>
          </c:extLst>
        </c:ser>
        <c:dLbls>
          <c:showLegendKey val="0"/>
          <c:showVal val="1"/>
          <c:showCatName val="0"/>
          <c:showSerName val="0"/>
          <c:showPercent val="0"/>
          <c:showBubbleSize val="0"/>
        </c:dLbls>
        <c:gapWidth val="219"/>
        <c:overlap val="-27"/>
        <c:axId val="361157584"/>
        <c:axId val="361732608"/>
      </c:barChart>
      <c:catAx>
        <c:axId val="36115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361732608"/>
        <c:crosses val="autoZero"/>
        <c:auto val="1"/>
        <c:lblAlgn val="ctr"/>
        <c:lblOffset val="100"/>
        <c:noMultiLvlLbl val="0"/>
      </c:catAx>
      <c:valAx>
        <c:axId val="36173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1">
                    <a:solidFill>
                      <a:schemeClr val="tx2"/>
                    </a:solidFill>
                  </a:rPr>
                  <a:t>Empreinte carbone</a:t>
                </a:r>
                <a:r>
                  <a:rPr lang="fr-FR" sz="1000" b="1" baseline="0">
                    <a:solidFill>
                      <a:schemeClr val="tx2"/>
                    </a:solidFill>
                  </a:rPr>
                  <a:t> unitaire en kgCO2e</a:t>
                </a:r>
                <a:endParaRPr lang="fr-FR" sz="1000" b="1">
                  <a:solidFill>
                    <a:schemeClr val="tx2"/>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361157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 Articles de sport'!$E$236</c:f>
              <c:strCache>
                <c:ptCount val="1"/>
                <c:pt idx="0">
                  <c:v> Pourcentage du volume consommé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 Articles de sport'!$B$237:$B$241</c:f>
            </c:multiLvlStrRef>
          </c:cat>
          <c:val>
            <c:numRef>
              <c:f>'4. Articles de sport'!$E$237:$E$241</c:f>
            </c:numRef>
          </c:val>
          <c:extLst>
            <c:ext xmlns:c16="http://schemas.microsoft.com/office/drawing/2014/chart" uri="{C3380CC4-5D6E-409C-BE32-E72D297353CC}">
              <c16:uniqueId val="{00000000-E0D4-7047-AF07-5FFE35FB205C}"/>
            </c:ext>
          </c:extLst>
        </c:ser>
        <c:ser>
          <c:idx val="1"/>
          <c:order val="1"/>
          <c:tx>
            <c:strRef>
              <c:f>'4. Articles de sport'!$F$236</c:f>
              <c:strCache>
                <c:ptCount val="1"/>
                <c:pt idx="0">
                  <c:v>Part de l'empreinte carbone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 Articles de sport'!$B$237:$B$241</c:f>
            </c:multiLvlStrRef>
          </c:cat>
          <c:val>
            <c:numRef>
              <c:f>'4. Articles de sport'!$F$237:$F$241</c:f>
            </c:numRef>
          </c:val>
          <c:extLst>
            <c:ext xmlns:c16="http://schemas.microsoft.com/office/drawing/2014/chart" uri="{C3380CC4-5D6E-409C-BE32-E72D297353CC}">
              <c16:uniqueId val="{00000001-E0D4-7047-AF07-5FFE35FB205C}"/>
            </c:ext>
          </c:extLst>
        </c:ser>
        <c:dLbls>
          <c:dLblPos val="outEnd"/>
          <c:showLegendKey val="0"/>
          <c:showVal val="1"/>
          <c:showCatName val="0"/>
          <c:showSerName val="0"/>
          <c:showPercent val="0"/>
          <c:showBubbleSize val="0"/>
        </c:dLbls>
        <c:gapWidth val="219"/>
        <c:overlap val="-27"/>
        <c:axId val="399172752"/>
        <c:axId val="399212272"/>
      </c:barChart>
      <c:catAx>
        <c:axId val="39917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fr-FR"/>
          </a:p>
        </c:txPr>
        <c:crossAx val="399212272"/>
        <c:crosses val="autoZero"/>
        <c:auto val="1"/>
        <c:lblAlgn val="ctr"/>
        <c:lblOffset val="100"/>
        <c:noMultiLvlLbl val="0"/>
      </c:catAx>
      <c:valAx>
        <c:axId val="3992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fr-FR"/>
          </a:p>
        </c:txPr>
        <c:crossAx val="399172752"/>
        <c:crosses val="autoZero"/>
        <c:crossBetween val="between"/>
      </c:valAx>
      <c:spPr>
        <a:noFill/>
        <a:ln>
          <a:noFill/>
        </a:ln>
        <a:effectLst/>
      </c:spPr>
    </c:plotArea>
    <c:legend>
      <c:legendPos val="b"/>
      <c:layout>
        <c:manualLayout>
          <c:xMode val="edge"/>
          <c:yMode val="edge"/>
          <c:x val="0.21593047169879595"/>
          <c:y val="5.0669536471755469E-2"/>
          <c:w val="0.58851109318593053"/>
          <c:h val="6.7762462554487521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 Articles de sport'!$D$236</c:f>
              <c:strCache>
                <c:ptCount val="1"/>
                <c:pt idx="0">
                  <c:v>Empreinte carbone en tCO2e</c:v>
                </c:pt>
              </c:strCache>
            </c:strRef>
          </c:tx>
          <c:spPr>
            <a:solidFill>
              <a:schemeClr val="accent1"/>
            </a:solidFill>
            <a:ln>
              <a:noFill/>
            </a:ln>
            <a:effectLst/>
          </c:spPr>
          <c:invertIfNegative val="0"/>
          <c:cat>
            <c:multiLvlStrRef>
              <c:f>'4. Articles de sport'!$B$237:$B$241</c:f>
            </c:multiLvlStrRef>
          </c:cat>
          <c:val>
            <c:numRef>
              <c:f>'4. Articles de sport'!$D$237:$D$241</c:f>
            </c:numRef>
          </c:val>
          <c:extLst>
            <c:ext xmlns:c16="http://schemas.microsoft.com/office/drawing/2014/chart" uri="{C3380CC4-5D6E-409C-BE32-E72D297353CC}">
              <c16:uniqueId val="{00000000-FF02-8945-ACF3-92DE00152A8B}"/>
            </c:ext>
          </c:extLst>
        </c:ser>
        <c:dLbls>
          <c:showLegendKey val="0"/>
          <c:showVal val="0"/>
          <c:showCatName val="0"/>
          <c:showSerName val="0"/>
          <c:showPercent val="0"/>
          <c:showBubbleSize val="0"/>
        </c:dLbls>
        <c:gapWidth val="75"/>
        <c:overlap val="-25"/>
        <c:axId val="399172752"/>
        <c:axId val="399212272"/>
      </c:barChart>
      <c:lineChart>
        <c:grouping val="standard"/>
        <c:varyColors val="0"/>
        <c:ser>
          <c:idx val="1"/>
          <c:order val="1"/>
          <c:tx>
            <c:strRef>
              <c:f>'4. Articles de sport'!$C$236</c:f>
              <c:strCache>
                <c:ptCount val="1"/>
                <c:pt idx="0">
                  <c:v>Volume consommé en milliers</c:v>
                </c:pt>
              </c:strCache>
            </c:strRef>
          </c:tx>
          <c:spPr>
            <a:ln w="28575" cap="rnd">
              <a:noFill/>
              <a:round/>
            </a:ln>
            <a:effectLst/>
          </c:spPr>
          <c:marker>
            <c:symbol val="triangle"/>
            <c:size val="10"/>
            <c:spPr>
              <a:solidFill>
                <a:schemeClr val="accent2"/>
              </a:solidFill>
              <a:ln w="9525">
                <a:solidFill>
                  <a:schemeClr val="accent2"/>
                </a:solidFill>
              </a:ln>
              <a:effectLst/>
            </c:spPr>
          </c:marker>
          <c:cat>
            <c:multiLvlStrRef>
              <c:f>'4. Articles de sport'!$B$237:$B$241</c:f>
            </c:multiLvlStrRef>
          </c:cat>
          <c:val>
            <c:numRef>
              <c:f>'4. Articles de sport'!$C$237:$C$241</c:f>
            </c:numRef>
          </c:val>
          <c:smooth val="0"/>
          <c:extLst>
            <c:ext xmlns:c16="http://schemas.microsoft.com/office/drawing/2014/chart" uri="{C3380CC4-5D6E-409C-BE32-E72D297353CC}">
              <c16:uniqueId val="{00000001-FF02-8945-ACF3-92DE00152A8B}"/>
            </c:ext>
          </c:extLst>
        </c:ser>
        <c:dLbls>
          <c:showLegendKey val="0"/>
          <c:showVal val="0"/>
          <c:showCatName val="0"/>
          <c:showSerName val="0"/>
          <c:showPercent val="0"/>
          <c:showBubbleSize val="0"/>
        </c:dLbls>
        <c:marker val="1"/>
        <c:smooth val="0"/>
        <c:axId val="420354832"/>
        <c:axId val="386292944"/>
      </c:lineChart>
      <c:catAx>
        <c:axId val="39917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fr-FR"/>
          </a:p>
        </c:txPr>
        <c:crossAx val="399212272"/>
        <c:crosses val="autoZero"/>
        <c:auto val="1"/>
        <c:lblAlgn val="ctr"/>
        <c:lblOffset val="100"/>
        <c:noMultiLvlLbl val="0"/>
      </c:catAx>
      <c:valAx>
        <c:axId val="399212272"/>
        <c:scaling>
          <c:orientation val="minMax"/>
        </c:scaling>
        <c:delete val="0"/>
        <c:axPos val="l"/>
        <c:majorGridlines>
          <c:spPr>
            <a:ln w="9525" cap="flat" cmpd="sng" algn="ctr">
              <a:solidFill>
                <a:schemeClr val="tx1">
                  <a:lumMod val="15000"/>
                  <a:lumOff val="85000"/>
                </a:schemeClr>
              </a:solidFill>
              <a:round/>
            </a:ln>
            <a:effectLst/>
          </c:spPr>
        </c:majorGridlines>
        <c:numFmt formatCode="_(* #\ ##0_);_(* \(#\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fr-FR"/>
          </a:p>
        </c:txPr>
        <c:crossAx val="399172752"/>
        <c:crosses val="autoZero"/>
        <c:crossBetween val="between"/>
      </c:valAx>
      <c:valAx>
        <c:axId val="386292944"/>
        <c:scaling>
          <c:orientation val="minMax"/>
        </c:scaling>
        <c:delete val="0"/>
        <c:axPos val="r"/>
        <c:numFmt formatCode="_(* #\ ##0_);_(* \(#\ ##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fr-FR"/>
          </a:p>
        </c:txPr>
        <c:crossAx val="420354832"/>
        <c:crosses val="max"/>
        <c:crossBetween val="between"/>
      </c:valAx>
      <c:catAx>
        <c:axId val="420354832"/>
        <c:scaling>
          <c:orientation val="minMax"/>
        </c:scaling>
        <c:delete val="1"/>
        <c:axPos val="b"/>
        <c:numFmt formatCode="General" sourceLinked="1"/>
        <c:majorTickMark val="out"/>
        <c:minorTickMark val="none"/>
        <c:tickLblPos val="nextTo"/>
        <c:crossAx val="3862929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6-34FC-464D-957F-355C505F7F6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34FC-464D-957F-355C505F7F6D}"/>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4-34FC-464D-957F-355C505F7F6D}"/>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3-34FC-464D-957F-355C505F7F6D}"/>
              </c:ext>
            </c:extLst>
          </c:dPt>
          <c:dPt>
            <c:idx val="4"/>
            <c:bubble3D val="0"/>
            <c:spPr>
              <a:solidFill>
                <a:schemeClr val="accent4"/>
              </a:solidFill>
              <a:ln w="19050">
                <a:solidFill>
                  <a:schemeClr val="lt1"/>
                </a:solidFill>
              </a:ln>
              <a:effectLst/>
            </c:spPr>
            <c:extLst>
              <c:ext xmlns:c16="http://schemas.microsoft.com/office/drawing/2014/chart" uri="{C3380CC4-5D6E-409C-BE32-E72D297353CC}">
                <c16:uniqueId val="{00000002-34FC-464D-957F-355C505F7F6D}"/>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1-34FC-464D-957F-355C505F7F6D}"/>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6-34FC-464D-957F-355C505F7F6D}"/>
                </c:ext>
              </c:extLst>
            </c:dLbl>
            <c:dLbl>
              <c:idx val="2"/>
              <c:layout>
                <c:manualLayout>
                  <c:x val="-5.3564675244825284E-2"/>
                  <c:y val="-9.0712249316852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FC-464D-957F-355C505F7F6D}"/>
                </c:ext>
              </c:extLst>
            </c:dLbl>
            <c:dLbl>
              <c:idx val="4"/>
              <c:layout>
                <c:manualLayout>
                  <c:x val="-2.9778750915051812E-2"/>
                  <c:y val="-0.132546865405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FC-464D-957F-355C505F7F6D}"/>
                </c:ext>
              </c:extLst>
            </c:dLbl>
            <c:dLbl>
              <c:idx val="5"/>
              <c:layout>
                <c:manualLayout>
                  <c:x val="3.9705001220069036E-2"/>
                  <c:y val="-0.13696509425264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FC-464D-957F-355C505F7F6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 Articles de sport'!$C$270:$H$270</c:f>
            </c:numRef>
          </c:val>
          <c:extLst>
            <c:ext xmlns:c15="http://schemas.microsoft.com/office/drawing/2012/chart" uri="{02D57815-91ED-43cb-92C2-25804820EDAC}">
              <c15:filteredCategoryTitle>
                <c15:cat>
                  <c:multiLvlStrRef>
                    <c:extLst>
                      <c:ext uri="{02D57815-91ED-43cb-92C2-25804820EDAC}">
                        <c15:formulaRef>
                          <c15:sqref>'4. Articles de sport'!$C$266:$H$266</c15:sqref>
                        </c15:formulaRef>
                      </c:ext>
                    </c:extLst>
                  </c:multiLvlStrRef>
                </c15:cat>
              </c15:filteredCategoryTitle>
            </c:ext>
            <c:ext xmlns:c16="http://schemas.microsoft.com/office/drawing/2014/chart" uri="{C3380CC4-5D6E-409C-BE32-E72D297353CC}">
              <c16:uniqueId val="{00000000-34FC-464D-957F-355C505F7F6D}"/>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4673391639580493"/>
          <c:y val="0.20233563165940061"/>
          <c:w val="0.41555299357173547"/>
          <c:h val="0.67544987167597514"/>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016-3F44-9CE6-FCCDEB5B60D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16-3F44-9CE6-FCCDEB5B60D8}"/>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B016-3F44-9CE6-FCCDEB5B60D8}"/>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B016-3F44-9CE6-FCCDEB5B60D8}"/>
              </c:ext>
            </c:extLst>
          </c:dPt>
          <c:dPt>
            <c:idx val="4"/>
            <c:bubble3D val="0"/>
            <c:spPr>
              <a:solidFill>
                <a:schemeClr val="accent4"/>
              </a:solidFill>
              <a:ln w="19050">
                <a:solidFill>
                  <a:schemeClr val="lt1"/>
                </a:solidFill>
              </a:ln>
              <a:effectLst/>
            </c:spPr>
            <c:extLst>
              <c:ext xmlns:c16="http://schemas.microsoft.com/office/drawing/2014/chart" uri="{C3380CC4-5D6E-409C-BE32-E72D297353CC}">
                <c16:uniqueId val="{00000009-B016-3F44-9CE6-FCCDEB5B60D8}"/>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B-B016-3F44-9CE6-FCCDEB5B60D8}"/>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B016-3F44-9CE6-FCCDEB5B60D8}"/>
                </c:ext>
              </c:extLst>
            </c:dLbl>
            <c:dLbl>
              <c:idx val="2"/>
              <c:layout>
                <c:manualLayout>
                  <c:x val="-9.1442923521285954E-2"/>
                  <c:y val="-7.3251004194138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16-3F44-9CE6-FCCDEB5B60D8}"/>
                </c:ext>
              </c:extLst>
            </c:dLbl>
            <c:dLbl>
              <c:idx val="3"/>
              <c:layout>
                <c:manualLayout>
                  <c:x val="-4.9839884465653683E-2"/>
                  <c:y val="-0.1265941130815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16-3F44-9CE6-FCCDEB5B60D8}"/>
                </c:ext>
              </c:extLst>
            </c:dLbl>
            <c:dLbl>
              <c:idx val="4"/>
              <c:layout>
                <c:manualLayout>
                  <c:x val="-1.183646238854703E-2"/>
                  <c:y val="-0.141277380316488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16-3F44-9CE6-FCCDEB5B60D8}"/>
                </c:ext>
              </c:extLst>
            </c:dLbl>
            <c:dLbl>
              <c:idx val="5"/>
              <c:layout>
                <c:manualLayout>
                  <c:x val="3.9705001220069036E-2"/>
                  <c:y val="-0.13696509425264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16-3F44-9CE6-FCCDEB5B60D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 Articles de sport'!$C$272:$H$272</c:f>
            </c:numRef>
          </c:val>
          <c:extLst>
            <c:ext xmlns:c15="http://schemas.microsoft.com/office/drawing/2012/chart" uri="{02D57815-91ED-43cb-92C2-25804820EDAC}">
              <c15:filteredCategoryTitle>
                <c15:cat>
                  <c:multiLvlStrRef>
                    <c:extLst>
                      <c:ext uri="{02D57815-91ED-43cb-92C2-25804820EDAC}">
                        <c15:formulaRef>
                          <c15:sqref>'4. Articles de sport'!$C$266:$H$266</c15:sqref>
                        </c15:formulaRef>
                      </c:ext>
                    </c:extLst>
                  </c:multiLvlStrRef>
                </c15:cat>
              </c15:filteredCategoryTitle>
            </c:ext>
            <c:ext xmlns:c16="http://schemas.microsoft.com/office/drawing/2014/chart" uri="{C3380CC4-5D6E-409C-BE32-E72D297353CC}">
              <c16:uniqueId val="{0000000C-B016-3F44-9CE6-FCCDEB5B60D8}"/>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7264614724859164"/>
          <c:y val="0.17611888742246817"/>
          <c:w val="0.37555821523946903"/>
          <c:h val="0.67544987167597514"/>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6E6-E041-B85A-B69EED2C2D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E1-CD4B-969A-CE5D66C2001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2E1-CD4B-969A-CE5D66C20018}"/>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Poppins" pitchFamily="2" charset="77"/>
                      <a:ea typeface="+mn-ea"/>
                      <a:cs typeface="Poppins" pitchFamily="2" charset="77"/>
                    </a:defRPr>
                  </a:pPr>
                  <a:endParaRPr lang="fr-FR"/>
                </a:p>
              </c:txPr>
              <c:showLegendKey val="0"/>
              <c:showVal val="1"/>
              <c:showCatName val="0"/>
              <c:showSerName val="0"/>
              <c:showPercent val="0"/>
              <c:showBubbleSize val="0"/>
              <c:extLst>
                <c:ext xmlns:c16="http://schemas.microsoft.com/office/drawing/2014/chart" uri="{C3380CC4-5D6E-409C-BE32-E72D297353CC}">
                  <c16:uniqueId val="{00000001-F6E6-E041-B85A-B69EED2C2D9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Poppins" pitchFamily="2" charset="77"/>
                    <a:ea typeface="+mn-ea"/>
                    <a:cs typeface="Poppins" pitchFamily="2" charset="77"/>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'4. Articles de sport'!$B$302:$B$304</c:f>
            </c:multiLvlStrRef>
          </c:cat>
          <c:val>
            <c:numRef>
              <c:f>'4. Articles de sport'!$D$302:$D$304</c:f>
            </c:numRef>
          </c:val>
          <c:extLst>
            <c:ext xmlns:c16="http://schemas.microsoft.com/office/drawing/2014/chart" uri="{C3380CC4-5D6E-409C-BE32-E72D297353CC}">
              <c16:uniqueId val="{00000000-F6E6-E041-B85A-B69EED2C2D9C}"/>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3.2710280373831772E-2"/>
          <c:y val="0.23775819220600233"/>
          <c:w val="0.4087500919861653"/>
          <c:h val="0.56269980474193848"/>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Poppins" pitchFamily="2" charset="77"/>
              <a:ea typeface="+mn-ea"/>
              <a:cs typeface="Poppins" pitchFamily="2" charset="77"/>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Résultat!$C$211</c:f>
              <c:strCache>
                <c:ptCount val="1"/>
                <c:pt idx="0">
                  <c:v>Voiture</c:v>
                </c:pt>
              </c:strCache>
            </c:strRef>
          </c:tx>
          <c:spPr>
            <a:solidFill>
              <a:schemeClr val="tx2">
                <a:lumMod val="50000"/>
                <a:lumOff val="50000"/>
              </a:schemeClr>
            </a:solidFill>
            <a:ln>
              <a:solidFill>
                <a:schemeClr val="bg1"/>
              </a:solidFill>
            </a:ln>
            <a:effectLst/>
          </c:spPr>
          <c:invertIfNegative val="0"/>
          <c:dPt>
            <c:idx val="0"/>
            <c:invertIfNegative val="0"/>
            <c:bubble3D val="0"/>
            <c:spPr>
              <a:solidFill>
                <a:schemeClr val="tx2">
                  <a:lumMod val="50000"/>
                  <a:lumOff val="50000"/>
                </a:schemeClr>
              </a:solidFill>
              <a:ln>
                <a:solidFill>
                  <a:schemeClr val="bg1"/>
                </a:solidFill>
              </a:ln>
              <a:effectLst/>
            </c:spPr>
            <c:extLst>
              <c:ext xmlns:c16="http://schemas.microsoft.com/office/drawing/2014/chart" uri="{C3380CC4-5D6E-409C-BE32-E72D297353CC}">
                <c16:uniqueId val="{00000003-E2E2-B04A-8F6F-130DC341B4A1}"/>
              </c:ext>
            </c:extLst>
          </c:dPt>
          <c:dPt>
            <c:idx val="1"/>
            <c:invertIfNegative val="0"/>
            <c:bubble3D val="0"/>
            <c:spPr>
              <a:solidFill>
                <a:schemeClr val="accent2"/>
              </a:solidFill>
              <a:ln>
                <a:solidFill>
                  <a:schemeClr val="bg1"/>
                </a:solidFill>
              </a:ln>
              <a:effectLst/>
            </c:spPr>
            <c:extLst>
              <c:ext xmlns:c16="http://schemas.microsoft.com/office/drawing/2014/chart" uri="{C3380CC4-5D6E-409C-BE32-E72D297353CC}">
                <c16:uniqueId val="{00000004-E2E2-B04A-8F6F-130DC341B4A1}"/>
              </c:ext>
            </c:extLst>
          </c:dPt>
          <c:dPt>
            <c:idx val="2"/>
            <c:invertIfNegative val="0"/>
            <c:bubble3D val="0"/>
            <c:spPr>
              <a:solidFill>
                <a:schemeClr val="accent3"/>
              </a:solidFill>
              <a:ln>
                <a:solidFill>
                  <a:schemeClr val="bg1"/>
                </a:solidFill>
              </a:ln>
              <a:effectLst/>
            </c:spPr>
            <c:extLst>
              <c:ext xmlns:c16="http://schemas.microsoft.com/office/drawing/2014/chart" uri="{C3380CC4-5D6E-409C-BE32-E72D297353CC}">
                <c16:uniqueId val="{00000005-E2E2-B04A-8F6F-130DC341B4A1}"/>
              </c:ext>
            </c:extLst>
          </c:dPt>
          <c:dPt>
            <c:idx val="3"/>
            <c:invertIfNegative val="0"/>
            <c:bubble3D val="0"/>
            <c:spPr>
              <a:solidFill>
                <a:schemeClr val="accent4"/>
              </a:solidFill>
              <a:ln>
                <a:solidFill>
                  <a:schemeClr val="bg1"/>
                </a:solidFill>
              </a:ln>
              <a:effectLst/>
            </c:spPr>
            <c:extLst>
              <c:ext xmlns:c16="http://schemas.microsoft.com/office/drawing/2014/chart" uri="{C3380CC4-5D6E-409C-BE32-E72D297353CC}">
                <c16:uniqueId val="{00000006-E2E2-B04A-8F6F-130DC341B4A1}"/>
              </c:ext>
            </c:extLst>
          </c:dPt>
          <c:dPt>
            <c:idx val="4"/>
            <c:invertIfNegative val="0"/>
            <c:bubble3D val="0"/>
            <c:spPr>
              <a:solidFill>
                <a:schemeClr val="accent2">
                  <a:lumMod val="50000"/>
                </a:schemeClr>
              </a:solidFill>
              <a:ln>
                <a:solidFill>
                  <a:schemeClr val="bg1"/>
                </a:solidFill>
              </a:ln>
              <a:effectLst/>
            </c:spPr>
            <c:extLst>
              <c:ext xmlns:c16="http://schemas.microsoft.com/office/drawing/2014/chart" uri="{C3380CC4-5D6E-409C-BE32-E72D297353CC}">
                <c16:uniqueId val="{00000007-E2E2-B04A-8F6F-130DC341B4A1}"/>
              </c:ext>
            </c:extLst>
          </c:dPt>
          <c:dPt>
            <c:idx val="5"/>
            <c:invertIfNegative val="0"/>
            <c:bubble3D val="0"/>
            <c:spPr>
              <a:solidFill>
                <a:schemeClr val="tx1"/>
              </a:solidFill>
              <a:ln>
                <a:solidFill>
                  <a:schemeClr val="bg1"/>
                </a:solidFill>
              </a:ln>
              <a:effectLst/>
            </c:spPr>
            <c:extLst>
              <c:ext xmlns:c16="http://schemas.microsoft.com/office/drawing/2014/chart" uri="{C3380CC4-5D6E-409C-BE32-E72D297353CC}">
                <c16:uniqueId val="{00000008-E2E2-B04A-8F6F-130DC341B4A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1" u="none" strike="noStrike" kern="1200" baseline="0">
                      <a:solidFill>
                        <a:schemeClr val="bg1"/>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3-E2E2-B04A-8F6F-130DC341B4A1}"/>
                </c:ext>
              </c:extLst>
            </c:dLbl>
            <c:dLbl>
              <c:idx val="4"/>
              <c:layout>
                <c:manualLayout>
                  <c:x val="0"/>
                  <c:y val="-5.03378315889050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E2-B04A-8F6F-130DC341B4A1}"/>
                </c:ext>
              </c:extLst>
            </c:dLbl>
            <c:dLbl>
              <c:idx val="5"/>
              <c:layout>
                <c:manualLayout>
                  <c:x val="0"/>
                  <c:y val="-3.07620081932198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E2-B04A-8F6F-130DC341B4A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Résultat!$B$212:$B$217</c:f>
              <c:strCache>
                <c:ptCount val="6"/>
                <c:pt idx="0">
                  <c:v>Déplacements (spectateurs, pratiquants, etc.)</c:v>
                </c:pt>
                <c:pt idx="1">
                  <c:v>Articles de sport</c:v>
                </c:pt>
                <c:pt idx="2">
                  <c:v>Construction et entretien des infra.</c:v>
                </c:pt>
                <c:pt idx="3">
                  <c:v>Alimentation et boissons</c:v>
                </c:pt>
                <c:pt idx="4">
                  <c:v>Consommation d'énergie des infra.</c:v>
                </c:pt>
                <c:pt idx="5">
                  <c:v>Déchets et autres</c:v>
                </c:pt>
              </c:strCache>
            </c:strRef>
          </c:cat>
          <c:val>
            <c:numRef>
              <c:f>Résultat!$C$212:$C$217</c:f>
              <c:numCache>
                <c:formatCode>0%</c:formatCode>
                <c:ptCount val="6"/>
                <c:pt idx="0">
                  <c:v>0.37200443633752928</c:v>
                </c:pt>
                <c:pt idx="1">
                  <c:v>0.17727160993646926</c:v>
                </c:pt>
                <c:pt idx="2">
                  <c:v>0.15824978425210229</c:v>
                </c:pt>
                <c:pt idx="3">
                  <c:v>0.1030852827536777</c:v>
                </c:pt>
                <c:pt idx="4">
                  <c:v>4.8906326038805369E-2</c:v>
                </c:pt>
                <c:pt idx="5">
                  <c:v>1.648108190223983E-2</c:v>
                </c:pt>
              </c:numCache>
            </c:numRef>
          </c:val>
          <c:extLst>
            <c:ext xmlns:c16="http://schemas.microsoft.com/office/drawing/2014/chart" uri="{C3380CC4-5D6E-409C-BE32-E72D297353CC}">
              <c16:uniqueId val="{00000000-E2E2-B04A-8F6F-130DC341B4A1}"/>
            </c:ext>
          </c:extLst>
        </c:ser>
        <c:ser>
          <c:idx val="1"/>
          <c:order val="1"/>
          <c:tx>
            <c:strRef>
              <c:f>Résultat!$D$211</c:f>
              <c:strCache>
                <c:ptCount val="1"/>
                <c:pt idx="0">
                  <c:v>Avion</c:v>
                </c:pt>
              </c:strCache>
            </c:strRef>
          </c:tx>
          <c:spPr>
            <a:solidFill>
              <a:schemeClr val="tx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chemeClr val="bg1"/>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Résultat!$B$212:$B$217</c:f>
              <c:strCache>
                <c:ptCount val="6"/>
                <c:pt idx="0">
                  <c:v>Déplacements (spectateurs, pratiquants, etc.)</c:v>
                </c:pt>
                <c:pt idx="1">
                  <c:v>Articles de sport</c:v>
                </c:pt>
                <c:pt idx="2">
                  <c:v>Construction et entretien des infra.</c:v>
                </c:pt>
                <c:pt idx="3">
                  <c:v>Alimentation et boissons</c:v>
                </c:pt>
                <c:pt idx="4">
                  <c:v>Consommation d'énergie des infra.</c:v>
                </c:pt>
                <c:pt idx="5">
                  <c:v>Déchets et autres</c:v>
                </c:pt>
              </c:strCache>
            </c:strRef>
          </c:cat>
          <c:val>
            <c:numRef>
              <c:f>Résultat!$D$212:$D$217</c:f>
              <c:numCache>
                <c:formatCode>General</c:formatCode>
                <c:ptCount val="6"/>
                <c:pt idx="0" formatCode="0%">
                  <c:v>9.4241123872174065E-2</c:v>
                </c:pt>
              </c:numCache>
            </c:numRef>
          </c:val>
          <c:extLst>
            <c:ext xmlns:c16="http://schemas.microsoft.com/office/drawing/2014/chart" uri="{C3380CC4-5D6E-409C-BE32-E72D297353CC}">
              <c16:uniqueId val="{00000001-E2E2-B04A-8F6F-130DC341B4A1}"/>
            </c:ext>
          </c:extLst>
        </c:ser>
        <c:ser>
          <c:idx val="2"/>
          <c:order val="2"/>
          <c:tx>
            <c:strRef>
              <c:f>Résultat!$E$211</c:f>
              <c:strCache>
                <c:ptCount val="1"/>
                <c:pt idx="0">
                  <c:v>Transports en commun</c:v>
                </c:pt>
              </c:strCache>
            </c:strRef>
          </c:tx>
          <c:spPr>
            <a:solidFill>
              <a:schemeClr val="accent6">
                <a:lumMod val="20000"/>
                <a:lumOff val="80000"/>
              </a:schemeClr>
            </a:solidFill>
            <a:ln>
              <a:solidFill>
                <a:schemeClr val="bg1"/>
              </a:solidFill>
            </a:ln>
            <a:effectLst/>
          </c:spPr>
          <c:invertIfNegative val="0"/>
          <c:dPt>
            <c:idx val="0"/>
            <c:invertIfNegative val="0"/>
            <c:bubble3D val="0"/>
            <c:spPr>
              <a:solidFill>
                <a:schemeClr val="tx2">
                  <a:lumMod val="25000"/>
                  <a:lumOff val="75000"/>
                </a:schemeClr>
              </a:solidFill>
              <a:ln>
                <a:solidFill>
                  <a:schemeClr val="bg1"/>
                </a:solidFill>
              </a:ln>
              <a:effectLst/>
            </c:spPr>
            <c:extLst>
              <c:ext xmlns:c16="http://schemas.microsoft.com/office/drawing/2014/chart" uri="{C3380CC4-5D6E-409C-BE32-E72D297353CC}">
                <c16:uniqueId val="{0000000C-CF2D-AA43-A440-CDA2D6878BE6}"/>
              </c:ext>
            </c:extLst>
          </c:dPt>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chemeClr val="bg1"/>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Résultat!$B$212:$B$217</c:f>
              <c:strCache>
                <c:ptCount val="6"/>
                <c:pt idx="0">
                  <c:v>Déplacements (spectateurs, pratiquants, etc.)</c:v>
                </c:pt>
                <c:pt idx="1">
                  <c:v>Articles de sport</c:v>
                </c:pt>
                <c:pt idx="2">
                  <c:v>Construction et entretien des infra.</c:v>
                </c:pt>
                <c:pt idx="3">
                  <c:v>Alimentation et boissons</c:v>
                </c:pt>
                <c:pt idx="4">
                  <c:v>Consommation d'énergie des infra.</c:v>
                </c:pt>
                <c:pt idx="5">
                  <c:v>Déchets et autres</c:v>
                </c:pt>
              </c:strCache>
            </c:strRef>
          </c:cat>
          <c:val>
            <c:numRef>
              <c:f>Résultat!$E$212:$E$217</c:f>
              <c:numCache>
                <c:formatCode>General</c:formatCode>
                <c:ptCount val="6"/>
                <c:pt idx="0" formatCode="0%">
                  <c:v>2.9760354907002337E-2</c:v>
                </c:pt>
              </c:numCache>
            </c:numRef>
          </c:val>
          <c:extLst>
            <c:ext xmlns:c16="http://schemas.microsoft.com/office/drawing/2014/chart" uri="{C3380CC4-5D6E-409C-BE32-E72D297353CC}">
              <c16:uniqueId val="{00000002-E2E2-B04A-8F6F-130DC341B4A1}"/>
            </c:ext>
          </c:extLst>
        </c:ser>
        <c:dLbls>
          <c:dLblPos val="ctr"/>
          <c:showLegendKey val="0"/>
          <c:showVal val="1"/>
          <c:showCatName val="0"/>
          <c:showSerName val="0"/>
          <c:showPercent val="0"/>
          <c:showBubbleSize val="0"/>
        </c:dLbls>
        <c:gapWidth val="100"/>
        <c:overlap val="100"/>
        <c:axId val="1943555279"/>
        <c:axId val="1917364511"/>
      </c:barChart>
      <c:catAx>
        <c:axId val="1943555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Poppins" pitchFamily="2" charset="77"/>
                <a:ea typeface="+mn-ea"/>
                <a:cs typeface="Poppins" pitchFamily="2" charset="77"/>
              </a:defRPr>
            </a:pPr>
            <a:endParaRPr lang="fr-FR"/>
          </a:p>
        </c:txPr>
        <c:crossAx val="1917364511"/>
        <c:crosses val="autoZero"/>
        <c:auto val="1"/>
        <c:lblAlgn val="ctr"/>
        <c:lblOffset val="100"/>
        <c:noMultiLvlLbl val="0"/>
      </c:catAx>
      <c:valAx>
        <c:axId val="19173645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2"/>
                </a:solidFill>
                <a:latin typeface="Poppins" pitchFamily="2" charset="77"/>
                <a:ea typeface="+mn-ea"/>
                <a:cs typeface="Poppins" pitchFamily="2" charset="77"/>
              </a:defRPr>
            </a:pPr>
            <a:endParaRPr lang="fr-FR"/>
          </a:p>
        </c:txPr>
        <c:crossAx val="1943555279"/>
        <c:crosses val="autoZero"/>
        <c:crossBetween val="between"/>
      </c:valAx>
      <c:spPr>
        <a:noFill/>
        <a:ln>
          <a:noFill/>
        </a:ln>
        <a:effectLst/>
      </c:spPr>
    </c:plotArea>
    <c:legend>
      <c:legendPos val="b"/>
      <c:layout>
        <c:manualLayout>
          <c:xMode val="edge"/>
          <c:yMode val="edge"/>
          <c:x val="0.64741914165738201"/>
          <c:y val="7.3115376183483988E-2"/>
          <c:w val="0.33032096439176034"/>
          <c:h val="5.1977581611117811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Poppins" pitchFamily="2" charset="77"/>
              <a:ea typeface="+mn-ea"/>
              <a:cs typeface="Poppins" pitchFamily="2" charset="77"/>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F450-364B-882C-BDF83265F90E}"/>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F450-364B-882C-BDF83265F90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F450-364B-882C-BDF83265F90E}"/>
              </c:ext>
            </c:extLst>
          </c:dPt>
          <c:dPt>
            <c:idx val="3"/>
            <c:bubble3D val="0"/>
            <c:spPr>
              <a:solidFill>
                <a:schemeClr val="accent5"/>
              </a:solidFill>
              <a:ln w="19050">
                <a:solidFill>
                  <a:schemeClr val="lt1"/>
                </a:solidFill>
              </a:ln>
              <a:effectLst/>
            </c:spPr>
            <c:extLst>
              <c:ext xmlns:c16="http://schemas.microsoft.com/office/drawing/2014/chart" uri="{C3380CC4-5D6E-409C-BE32-E72D297353CC}">
                <c16:uniqueId val="{00000007-F450-364B-882C-BDF83265F90E}"/>
              </c:ext>
            </c:extLst>
          </c:dPt>
          <c:dPt>
            <c:idx val="4"/>
            <c:bubble3D val="0"/>
            <c:spPr>
              <a:solidFill>
                <a:schemeClr val="accent4"/>
              </a:solidFill>
              <a:ln w="19050">
                <a:solidFill>
                  <a:schemeClr val="lt1"/>
                </a:solidFill>
              </a:ln>
              <a:effectLst/>
            </c:spPr>
            <c:extLst>
              <c:ext xmlns:c16="http://schemas.microsoft.com/office/drawing/2014/chart" uri="{C3380CC4-5D6E-409C-BE32-E72D297353CC}">
                <c16:uniqueId val="{00000009-F450-364B-882C-BDF83265F90E}"/>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Poppins" pitchFamily="2" charset="77"/>
                      <a:ea typeface="+mn-ea"/>
                      <a:cs typeface="Poppins" pitchFamily="2" charset="77"/>
                    </a:defRPr>
                  </a:pPr>
                  <a:endParaRPr lang="fr-FR"/>
                </a:p>
              </c:txPr>
              <c:showLegendKey val="0"/>
              <c:showVal val="1"/>
              <c:showCatName val="0"/>
              <c:showSerName val="0"/>
              <c:showPercent val="0"/>
              <c:showBubbleSize val="0"/>
              <c:extLst>
                <c:ext xmlns:c16="http://schemas.microsoft.com/office/drawing/2014/chart" uri="{C3380CC4-5D6E-409C-BE32-E72D297353CC}">
                  <c16:uniqueId val="{00000001-F450-364B-882C-BDF83265F90E}"/>
                </c:ext>
              </c:extLst>
            </c:dLbl>
            <c:dLbl>
              <c:idx val="1"/>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Poppins" pitchFamily="2" charset="77"/>
                      <a:ea typeface="+mn-ea"/>
                      <a:cs typeface="Poppins" pitchFamily="2" charset="77"/>
                    </a:defRPr>
                  </a:pPr>
                  <a:endParaRPr lang="fr-FR"/>
                </a:p>
              </c:txPr>
              <c:showLegendKey val="0"/>
              <c:showVal val="1"/>
              <c:showCatName val="0"/>
              <c:showSerName val="0"/>
              <c:showPercent val="0"/>
              <c:showBubbleSize val="0"/>
              <c:extLst>
                <c:ext xmlns:c16="http://schemas.microsoft.com/office/drawing/2014/chart" uri="{C3380CC4-5D6E-409C-BE32-E72D297353CC}">
                  <c16:uniqueId val="{00000003-F450-364B-882C-BDF83265F90E}"/>
                </c:ext>
              </c:extLst>
            </c:dLbl>
            <c:dLbl>
              <c:idx val="2"/>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Poppins" pitchFamily="2" charset="77"/>
                      <a:ea typeface="+mn-ea"/>
                      <a:cs typeface="Poppins" pitchFamily="2" charset="77"/>
                    </a:defRPr>
                  </a:pPr>
                  <a:endParaRPr lang="fr-FR"/>
                </a:p>
              </c:txPr>
              <c:showLegendKey val="0"/>
              <c:showVal val="1"/>
              <c:showCatName val="0"/>
              <c:showSerName val="0"/>
              <c:showPercent val="0"/>
              <c:showBubbleSize val="0"/>
              <c:extLst>
                <c:ext xmlns:c16="http://schemas.microsoft.com/office/drawing/2014/chart" uri="{C3380CC4-5D6E-409C-BE32-E72D297353CC}">
                  <c16:uniqueId val="{00000005-F450-364B-882C-BDF83265F90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Poppins" pitchFamily="2" charset="77"/>
                    <a:ea typeface="+mn-ea"/>
                    <a:cs typeface="Poppins" pitchFamily="2" charset="77"/>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'4. Articles de sport'!$B$156:$B$160</c:f>
            </c:multiLvlStrRef>
          </c:cat>
          <c:val>
            <c:numRef>
              <c:f>'4. Articles de sport'!$D$156:$D$160</c:f>
            </c:numRef>
          </c:val>
          <c:extLst>
            <c:ext xmlns:c16="http://schemas.microsoft.com/office/drawing/2014/chart" uri="{C3380CC4-5D6E-409C-BE32-E72D297353CC}">
              <c16:uniqueId val="{0000000A-F450-364B-882C-BDF83265F90E}"/>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60060188357036337"/>
          <c:y val="0.20991062458233131"/>
          <c:w val="0.34899065468948198"/>
          <c:h val="0.65633517986488266"/>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Poppins" pitchFamily="2" charset="77"/>
              <a:ea typeface="+mn-ea"/>
              <a:cs typeface="Poppins" pitchFamily="2" charset="77"/>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'Fiche levier - 4'!$D$101</c:f>
              <c:strCache>
                <c:ptCount val="1"/>
                <c:pt idx="0">
                  <c:v>2022</c:v>
                </c:pt>
              </c:strCache>
            </c:strRef>
          </c:tx>
          <c:spPr>
            <a:solidFill>
              <a:schemeClr val="accent1"/>
            </a:solidFill>
            <a:ln>
              <a:noFill/>
            </a:ln>
            <a:effectLst/>
          </c:spPr>
          <c:invertIfNegative val="0"/>
          <c:dPt>
            <c:idx val="1"/>
            <c:invertIfNegative val="0"/>
            <c:bubble3D val="0"/>
            <c:spPr>
              <a:noFill/>
              <a:ln>
                <a:solidFill>
                  <a:schemeClr val="bg2">
                    <a:alpha val="0"/>
                  </a:schemeClr>
                </a:solidFill>
              </a:ln>
              <a:effectLst/>
            </c:spPr>
            <c:extLst>
              <c:ext xmlns:c16="http://schemas.microsoft.com/office/drawing/2014/chart" uri="{C3380CC4-5D6E-409C-BE32-E72D297353CC}">
                <c16:uniqueId val="{00000002-A6F2-6749-996F-AF7D53E7DF04}"/>
              </c:ext>
            </c:extLst>
          </c:dPt>
          <c:dPt>
            <c:idx val="2"/>
            <c:invertIfNegative val="0"/>
            <c:bubble3D val="0"/>
            <c:spPr>
              <a:noFill/>
              <a:ln>
                <a:noFill/>
              </a:ln>
              <a:effectLst/>
            </c:spPr>
            <c:extLst>
              <c:ext xmlns:c16="http://schemas.microsoft.com/office/drawing/2014/chart" uri="{C3380CC4-5D6E-409C-BE32-E72D297353CC}">
                <c16:uniqueId val="{00000003-A6F2-6749-996F-AF7D53E7DF04}"/>
              </c:ext>
            </c:extLst>
          </c:dPt>
          <c:dPt>
            <c:idx val="3"/>
            <c:invertIfNegative val="0"/>
            <c:bubble3D val="0"/>
            <c:spPr>
              <a:noFill/>
              <a:ln>
                <a:noFill/>
              </a:ln>
              <a:effectLst/>
            </c:spPr>
            <c:extLst>
              <c:ext xmlns:c16="http://schemas.microsoft.com/office/drawing/2014/chart" uri="{C3380CC4-5D6E-409C-BE32-E72D297353CC}">
                <c16:uniqueId val="{00000004-A6F2-6749-996F-AF7D53E7DF04}"/>
              </c:ext>
            </c:extLst>
          </c:dPt>
          <c:cat>
            <c:multiLvlStrRef>
              <c:f>'Fiche levier - 4'!$C$102:$C$106</c:f>
            </c:multiLvlStrRef>
          </c:cat>
          <c:val>
            <c:numRef>
              <c:f>'Fiche levier - 4'!$D$102:$D$106</c:f>
            </c:numRef>
          </c:val>
          <c:extLst>
            <c:ext xmlns:c16="http://schemas.microsoft.com/office/drawing/2014/chart" uri="{C3380CC4-5D6E-409C-BE32-E72D297353CC}">
              <c16:uniqueId val="{00000000-A6F2-6749-996F-AF7D53E7DF04}"/>
            </c:ext>
          </c:extLst>
        </c:ser>
        <c:ser>
          <c:idx val="1"/>
          <c:order val="1"/>
          <c:tx>
            <c:strRef>
              <c:f>'Fiche levier - 4'!$E$101</c:f>
              <c:strCache>
                <c:ptCount val="1"/>
                <c:pt idx="0">
                  <c:v>2050</c:v>
                </c:pt>
              </c:strCache>
            </c:strRef>
          </c:tx>
          <c:spPr>
            <a:solidFill>
              <a:schemeClr val="accent2"/>
            </a:solidFill>
            <a:ln>
              <a:noFill/>
            </a:ln>
            <a:effectLst/>
          </c:spPr>
          <c:invertIfNegative val="0"/>
          <c:dPt>
            <c:idx val="1"/>
            <c:invertIfNegative val="0"/>
            <c:bubble3D val="0"/>
            <c:spPr>
              <a:solidFill>
                <a:schemeClr val="accent4"/>
              </a:solidFill>
              <a:ln>
                <a:noFill/>
              </a:ln>
              <a:effectLst/>
            </c:spPr>
            <c:extLst>
              <c:ext xmlns:c16="http://schemas.microsoft.com/office/drawing/2014/chart" uri="{C3380CC4-5D6E-409C-BE32-E72D297353CC}">
                <c16:uniqueId val="{00000005-A6F2-6749-996F-AF7D53E7DF04}"/>
              </c:ext>
            </c:extLst>
          </c:dPt>
          <c:dPt>
            <c:idx val="2"/>
            <c:invertIfNegative val="0"/>
            <c:bubble3D val="0"/>
            <c:spPr>
              <a:solidFill>
                <a:schemeClr val="accent5"/>
              </a:solidFill>
              <a:ln>
                <a:noFill/>
              </a:ln>
              <a:effectLst/>
            </c:spPr>
            <c:extLst>
              <c:ext xmlns:c16="http://schemas.microsoft.com/office/drawing/2014/chart" uri="{C3380CC4-5D6E-409C-BE32-E72D297353CC}">
                <c16:uniqueId val="{00000006-A6F2-6749-996F-AF7D53E7DF04}"/>
              </c:ext>
            </c:extLst>
          </c:dPt>
          <c:cat>
            <c:multiLvlStrRef>
              <c:f>'Fiche levier - 4'!$C$102:$C$106</c:f>
            </c:multiLvlStrRef>
          </c:cat>
          <c:val>
            <c:numRef>
              <c:f>'Fiche levier - 4'!$E$102:$E$106</c:f>
            </c:numRef>
          </c:val>
          <c:extLst>
            <c:ext xmlns:c16="http://schemas.microsoft.com/office/drawing/2014/chart" uri="{C3380CC4-5D6E-409C-BE32-E72D297353CC}">
              <c16:uniqueId val="{00000001-A6F2-6749-996F-AF7D53E7DF04}"/>
            </c:ext>
          </c:extLst>
        </c:ser>
        <c:dLbls>
          <c:showLegendKey val="0"/>
          <c:showVal val="0"/>
          <c:showCatName val="0"/>
          <c:showSerName val="0"/>
          <c:showPercent val="0"/>
          <c:showBubbleSize val="0"/>
        </c:dLbls>
        <c:gapWidth val="11"/>
        <c:overlap val="100"/>
        <c:axId val="1644249327"/>
        <c:axId val="1634955631"/>
      </c:barChart>
      <c:catAx>
        <c:axId val="1644249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fr-FR"/>
          </a:p>
        </c:txPr>
        <c:crossAx val="1634955631"/>
        <c:crosses val="autoZero"/>
        <c:auto val="1"/>
        <c:lblAlgn val="ctr"/>
        <c:lblOffset val="100"/>
        <c:noMultiLvlLbl val="0"/>
      </c:catAx>
      <c:valAx>
        <c:axId val="1634955631"/>
        <c:scaling>
          <c:orientation val="minMax"/>
          <c:max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fr-FR"/>
          </a:p>
        </c:txPr>
        <c:crossAx val="1644249327"/>
        <c:crosses val="autoZero"/>
        <c:crossBetween val="between"/>
        <c:majorUnit val="50000"/>
        <c:minorUnit val="2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0-EF06-6D49-93A2-86BAAA22EC1D}"/>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1-EF06-6D49-93A2-86BAAA22EC1D}"/>
              </c:ext>
            </c:extLst>
          </c:dPt>
          <c:dPt>
            <c:idx val="3"/>
            <c:invertIfNegative val="0"/>
            <c:bubble3D val="0"/>
            <c:spPr>
              <a:solidFill>
                <a:schemeClr val="accent1">
                  <a:lumMod val="50000"/>
                  <a:lumOff val="50000"/>
                </a:schemeClr>
              </a:solidFill>
              <a:ln>
                <a:noFill/>
              </a:ln>
              <a:effectLst/>
            </c:spPr>
            <c:extLst>
              <c:ext xmlns:c16="http://schemas.microsoft.com/office/drawing/2014/chart" uri="{C3380CC4-5D6E-409C-BE32-E72D297353CC}">
                <c16:uniqueId val="{00000002-EF06-6D49-93A2-86BAAA22EC1D}"/>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 Alimentaire'!$B$138:$B$141</c:f>
            </c:multiLvlStrRef>
          </c:cat>
          <c:val>
            <c:numRef>
              <c:f>'5. Alimentaire'!$E$138:$E$141</c:f>
            </c:numRef>
          </c:val>
          <c:extLst>
            <c:ext xmlns:c16="http://schemas.microsoft.com/office/drawing/2014/chart" uri="{C3380CC4-5D6E-409C-BE32-E72D297353CC}">
              <c16:uniqueId val="{00000000-7D87-5046-83DE-D5459BB0FB28}"/>
            </c:ext>
          </c:extLst>
        </c:ser>
        <c:dLbls>
          <c:dLblPos val="outEnd"/>
          <c:showLegendKey val="0"/>
          <c:showVal val="1"/>
          <c:showCatName val="0"/>
          <c:showSerName val="0"/>
          <c:showPercent val="0"/>
          <c:showBubbleSize val="0"/>
        </c:dLbls>
        <c:gapWidth val="219"/>
        <c:overlap val="-27"/>
        <c:axId val="1650642608"/>
        <c:axId val="1651452000"/>
      </c:barChart>
      <c:catAx>
        <c:axId val="165064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1651452000"/>
        <c:crosses val="autoZero"/>
        <c:auto val="1"/>
        <c:lblAlgn val="ctr"/>
        <c:lblOffset val="100"/>
        <c:noMultiLvlLbl val="0"/>
      </c:catAx>
      <c:valAx>
        <c:axId val="1651452000"/>
        <c:scaling>
          <c:orientation val="minMax"/>
        </c:scaling>
        <c:delete val="0"/>
        <c:axPos val="l"/>
        <c:majorGridlines>
          <c:spPr>
            <a:ln w="9525" cap="flat" cmpd="sng" algn="ctr">
              <a:solidFill>
                <a:schemeClr val="tx1">
                  <a:lumMod val="15000"/>
                  <a:lumOff val="85000"/>
                </a:schemeClr>
              </a:solidFill>
              <a:round/>
            </a:ln>
            <a:effectLst/>
          </c:spPr>
        </c:majorGridlines>
        <c:numFmt formatCode="_(* #\ ##0.00_);_(* \(#\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1650642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17174987923625E-2"/>
          <c:y val="0.11362232809773942"/>
          <c:w val="0.42311070627481923"/>
          <c:h val="0.78127577724635022"/>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4EE-7A49-A3D6-6DFD018F180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7FB-2341-9574-BAD01B1CB60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7FB-2341-9574-BAD01B1CB60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7FB-2341-9574-BAD01B1CB604}"/>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C4EE-7A49-A3D6-6DFD018F180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'5. Alimentaire'!$B$138:$B$141</c:f>
            </c:multiLvlStrRef>
          </c:cat>
          <c:val>
            <c:numRef>
              <c:f>'5. Alimentaire'!$G$138:$G$141</c:f>
            </c:numRef>
          </c:val>
          <c:extLst>
            <c:ext xmlns:c16="http://schemas.microsoft.com/office/drawing/2014/chart" uri="{C3380CC4-5D6E-409C-BE32-E72D297353CC}">
              <c16:uniqueId val="{00000000-C4EE-7A49-A3D6-6DFD018F1806}"/>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4676498036081744"/>
          <c:y val="0.27741155941039947"/>
          <c:w val="0.42964383873216316"/>
          <c:h val="0.5765609585017992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'Fiche levier - 5'!$I$20</c:f>
              <c:strCache>
                <c:ptCount val="1"/>
                <c:pt idx="0">
                  <c:v>2022</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3-7405-3145-A066-F0A9C44B7ACE}"/>
              </c:ext>
            </c:extLst>
          </c:dPt>
          <c:dPt>
            <c:idx val="2"/>
            <c:invertIfNegative val="0"/>
            <c:bubble3D val="0"/>
            <c:spPr>
              <a:noFill/>
              <a:ln>
                <a:noFill/>
              </a:ln>
              <a:effectLst/>
            </c:spPr>
            <c:extLst>
              <c:ext xmlns:c16="http://schemas.microsoft.com/office/drawing/2014/chart" uri="{C3380CC4-5D6E-409C-BE32-E72D297353CC}">
                <c16:uniqueId val="{00000004-7405-3145-A066-F0A9C44B7ACE}"/>
              </c:ext>
            </c:extLst>
          </c:dPt>
          <c:cat>
            <c:multiLvlStrRef>
              <c:f>'Fiche levier - 5'!$H$21:$H$24</c:f>
            </c:multiLvlStrRef>
          </c:cat>
          <c:val>
            <c:numRef>
              <c:f>'Fiche levier - 5'!$I$21:$I$24</c:f>
            </c:numRef>
          </c:val>
          <c:extLst>
            <c:ext xmlns:c16="http://schemas.microsoft.com/office/drawing/2014/chart" uri="{C3380CC4-5D6E-409C-BE32-E72D297353CC}">
              <c16:uniqueId val="{00000000-7405-3145-A066-F0A9C44B7ACE}"/>
            </c:ext>
          </c:extLst>
        </c:ser>
        <c:ser>
          <c:idx val="1"/>
          <c:order val="1"/>
          <c:tx>
            <c:strRef>
              <c:f>'Fiche levier - 5'!$J$20</c:f>
              <c:strCache>
                <c:ptCount val="1"/>
                <c:pt idx="0">
                  <c:v>2050</c:v>
                </c:pt>
              </c:strCache>
            </c:strRef>
          </c:tx>
          <c:spPr>
            <a:solidFill>
              <a:schemeClr val="accent2"/>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5-7405-3145-A066-F0A9C44B7ACE}"/>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6-7405-3145-A066-F0A9C44B7ACE}"/>
              </c:ext>
            </c:extLst>
          </c:dPt>
          <c:cat>
            <c:multiLvlStrRef>
              <c:f>'Fiche levier - 5'!$H$21:$H$24</c:f>
            </c:multiLvlStrRef>
          </c:cat>
          <c:val>
            <c:numRef>
              <c:f>'Fiche levier - 5'!$J$21:$J$24</c:f>
            </c:numRef>
          </c:val>
          <c:extLst>
            <c:ext xmlns:c16="http://schemas.microsoft.com/office/drawing/2014/chart" uri="{C3380CC4-5D6E-409C-BE32-E72D297353CC}">
              <c16:uniqueId val="{00000001-7405-3145-A066-F0A9C44B7ACE}"/>
            </c:ext>
          </c:extLst>
        </c:ser>
        <c:dLbls>
          <c:showLegendKey val="0"/>
          <c:showVal val="0"/>
          <c:showCatName val="0"/>
          <c:showSerName val="0"/>
          <c:showPercent val="0"/>
          <c:showBubbleSize val="0"/>
        </c:dLbls>
        <c:gapWidth val="11"/>
        <c:overlap val="100"/>
        <c:axId val="169748832"/>
        <c:axId val="974325424"/>
      </c:barChart>
      <c:catAx>
        <c:axId val="16974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974325424"/>
        <c:crosses val="autoZero"/>
        <c:auto val="1"/>
        <c:lblAlgn val="ctr"/>
        <c:lblOffset val="100"/>
        <c:noMultiLvlLbl val="0"/>
      </c:catAx>
      <c:valAx>
        <c:axId val="974325424"/>
        <c:scaling>
          <c:orientation val="minMax"/>
          <c:max val="210000"/>
          <c:min val="0"/>
        </c:scaling>
        <c:delete val="0"/>
        <c:axPos val="l"/>
        <c:majorGridlines>
          <c:spPr>
            <a:ln w="9525" cap="flat" cmpd="sng" algn="ctr">
              <a:solidFill>
                <a:schemeClr val="tx1">
                  <a:lumMod val="15000"/>
                  <a:lumOff val="85000"/>
                </a:schemeClr>
              </a:solidFill>
              <a:round/>
            </a:ln>
            <a:effectLst/>
          </c:spPr>
        </c:majorGridlines>
        <c:numFmt formatCode="_ * #\ ##0_)_ ;_ *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169748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34935199816017E-2"/>
          <c:y val="0.18817705053190001"/>
          <c:w val="0.9263047042900332"/>
          <c:h val="0.72843148033034488"/>
        </c:manualLayout>
      </c:layout>
      <c:barChart>
        <c:barDir val="col"/>
        <c:grouping val="stacked"/>
        <c:varyColors val="0"/>
        <c:ser>
          <c:idx val="0"/>
          <c:order val="0"/>
          <c:tx>
            <c:strRef>
              <c:f>Résultat!$C$70</c:f>
              <c:strCache>
                <c:ptCount val="1"/>
                <c:pt idx="0">
                  <c:v>Négatif </c:v>
                </c:pt>
              </c:strCache>
            </c:strRef>
          </c:tx>
          <c:spPr>
            <a:solidFill>
              <a:srgbClr val="00005A">
                <a:alpha val="0"/>
              </a:srgb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1B47-5347-BD75-300D616D45E9}"/>
                </c:ext>
              </c:extLst>
            </c:dLbl>
            <c:dLbl>
              <c:idx val="2"/>
              <c:delete val="1"/>
              <c:extLst>
                <c:ext xmlns:c15="http://schemas.microsoft.com/office/drawing/2012/chart" uri="{CE6537A1-D6FC-4f65-9D91-7224C49458BB}"/>
                <c:ext xmlns:c16="http://schemas.microsoft.com/office/drawing/2014/chart" uri="{C3380CC4-5D6E-409C-BE32-E72D297353CC}">
                  <c16:uniqueId val="{00000001-1B47-5347-BD75-300D616D45E9}"/>
                </c:ext>
              </c:extLst>
            </c:dLbl>
            <c:dLbl>
              <c:idx val="3"/>
              <c:delete val="1"/>
              <c:extLst>
                <c:ext xmlns:c15="http://schemas.microsoft.com/office/drawing/2012/chart" uri="{CE6537A1-D6FC-4f65-9D91-7224C49458BB}"/>
                <c:ext xmlns:c16="http://schemas.microsoft.com/office/drawing/2014/chart" uri="{C3380CC4-5D6E-409C-BE32-E72D297353CC}">
                  <c16:uniqueId val="{00000002-1B47-5347-BD75-300D616D45E9}"/>
                </c:ext>
              </c:extLst>
            </c:dLbl>
            <c:dLbl>
              <c:idx val="4"/>
              <c:delete val="1"/>
              <c:extLst>
                <c:ext xmlns:c15="http://schemas.microsoft.com/office/drawing/2012/chart" uri="{CE6537A1-D6FC-4f65-9D91-7224C49458BB}"/>
                <c:ext xmlns:c16="http://schemas.microsoft.com/office/drawing/2014/chart" uri="{C3380CC4-5D6E-409C-BE32-E72D297353CC}">
                  <c16:uniqueId val="{00000003-1B47-5347-BD75-300D616D45E9}"/>
                </c:ext>
              </c:extLst>
            </c:dLbl>
            <c:dLbl>
              <c:idx val="5"/>
              <c:delete val="1"/>
              <c:extLst>
                <c:ext xmlns:c15="http://schemas.microsoft.com/office/drawing/2012/chart" uri="{CE6537A1-D6FC-4f65-9D91-7224C49458BB}"/>
                <c:ext xmlns:c16="http://schemas.microsoft.com/office/drawing/2014/chart" uri="{C3380CC4-5D6E-409C-BE32-E72D297353CC}">
                  <c16:uniqueId val="{00000004-1B47-5347-BD75-300D616D45E9}"/>
                </c:ext>
              </c:extLst>
            </c:dLbl>
            <c:dLbl>
              <c:idx val="6"/>
              <c:delete val="1"/>
              <c:extLst>
                <c:ext xmlns:c15="http://schemas.microsoft.com/office/drawing/2012/chart" uri="{CE6537A1-D6FC-4f65-9D91-7224C49458BB}"/>
                <c:ext xmlns:c16="http://schemas.microsoft.com/office/drawing/2014/chart" uri="{C3380CC4-5D6E-409C-BE32-E72D297353CC}">
                  <c16:uniqueId val="{00000005-1B47-5347-BD75-300D616D45E9}"/>
                </c:ext>
              </c:extLst>
            </c:dLbl>
            <c:dLbl>
              <c:idx val="7"/>
              <c:delete val="1"/>
              <c:extLst>
                <c:ext xmlns:c15="http://schemas.microsoft.com/office/drawing/2012/chart" uri="{CE6537A1-D6FC-4f65-9D91-7224C49458BB}"/>
                <c:ext xmlns:c16="http://schemas.microsoft.com/office/drawing/2014/chart" uri="{C3380CC4-5D6E-409C-BE32-E72D297353CC}">
                  <c16:uniqueId val="{00000006-1B47-5347-BD75-300D616D45E9}"/>
                </c:ext>
              </c:extLst>
            </c:dLbl>
            <c:dLbl>
              <c:idx val="8"/>
              <c:delete val="1"/>
              <c:extLst>
                <c:ext xmlns:c15="http://schemas.microsoft.com/office/drawing/2012/chart" uri="{CE6537A1-D6FC-4f65-9D91-7224C49458BB}"/>
                <c:ext xmlns:c16="http://schemas.microsoft.com/office/drawing/2014/chart" uri="{C3380CC4-5D6E-409C-BE32-E72D297353CC}">
                  <c16:uniqueId val="{0000001F-1B47-5347-BD75-300D616D45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Résultat!$B$126:$B$135</c:f>
              <c:strCache>
                <c:ptCount val="10"/>
                <c:pt idx="0">
                  <c:v>Émissions en 2022 </c:v>
                </c:pt>
                <c:pt idx="1">
                  <c:v>Déplacements pour les entrainements</c:v>
                </c:pt>
                <c:pt idx="2">
                  <c:v>Déplacements pour les matchs</c:v>
                </c:pt>
                <c:pt idx="3">
                  <c:v>Articles de sport</c:v>
                </c:pt>
                <c:pt idx="4">
                  <c:v>Construction et entretien des infras.</c:v>
                </c:pt>
                <c:pt idx="5">
                  <c:v>Consommation d'énergie des infra.</c:v>
                </c:pt>
                <c:pt idx="6">
                  <c:v>Alimentation et boisson (matchs)</c:v>
                </c:pt>
                <c:pt idx="7">
                  <c:v>Déchets (matchs)</c:v>
                </c:pt>
                <c:pt idx="8">
                  <c:v>Optimiser</c:v>
                </c:pt>
                <c:pt idx="9">
                  <c:v>Émissions 2050 après transformation</c:v>
                </c:pt>
              </c:strCache>
            </c:strRef>
          </c:cat>
          <c:val>
            <c:numRef>
              <c:f>Résultat!$C$126:$C$135</c:f>
              <c:numCache>
                <c:formatCode>_(* #\ ##0_);_(* \(#\ ##0\);_(* "-"??_);_(@_)</c:formatCode>
                <c:ptCount val="10"/>
                <c:pt idx="1">
                  <c:v>1401846.6598710874</c:v>
                </c:pt>
                <c:pt idx="2">
                  <c:v>1156329.779292719</c:v>
                </c:pt>
                <c:pt idx="3">
                  <c:v>846151.6383920454</c:v>
                </c:pt>
                <c:pt idx="4">
                  <c:v>707515.10049023037</c:v>
                </c:pt>
                <c:pt idx="5">
                  <c:v>612338.78130328213</c:v>
                </c:pt>
                <c:pt idx="6">
                  <c:v>507875.77977365174</c:v>
                </c:pt>
                <c:pt idx="7">
                  <c:v>496487.93099800852</c:v>
                </c:pt>
                <c:pt idx="8">
                  <c:v>348859.75954174594</c:v>
                </c:pt>
              </c:numCache>
            </c:numRef>
          </c:val>
          <c:extLst>
            <c:ext xmlns:c16="http://schemas.microsoft.com/office/drawing/2014/chart" uri="{C3380CC4-5D6E-409C-BE32-E72D297353CC}">
              <c16:uniqueId val="{00000007-1B47-5347-BD75-300D616D45E9}"/>
            </c:ext>
          </c:extLst>
        </c:ser>
        <c:ser>
          <c:idx val="1"/>
          <c:order val="1"/>
          <c:tx>
            <c:strRef>
              <c:f>Résultat!$D$70</c:f>
              <c:strCache>
                <c:ptCount val="1"/>
                <c:pt idx="0">
                  <c:v>Émissions (ktCO2e)</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9-1B47-5347-BD75-300D616D45E9}"/>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B-1B47-5347-BD75-300D616D45E9}"/>
              </c:ext>
            </c:extLst>
          </c:dPt>
          <c:dPt>
            <c:idx val="2"/>
            <c:invertIfNegative val="0"/>
            <c:bubble3D val="0"/>
            <c:spPr>
              <a:solidFill>
                <a:schemeClr val="accent5"/>
              </a:solidFill>
              <a:ln>
                <a:noFill/>
              </a:ln>
              <a:effectLst/>
            </c:spPr>
            <c:extLst>
              <c:ext xmlns:c16="http://schemas.microsoft.com/office/drawing/2014/chart" uri="{C3380CC4-5D6E-409C-BE32-E72D297353CC}">
                <c16:uniqueId val="{0000000D-1B47-5347-BD75-300D616D45E9}"/>
              </c:ext>
            </c:extLst>
          </c:dPt>
          <c:dPt>
            <c:idx val="3"/>
            <c:invertIfNegative val="0"/>
            <c:bubble3D val="0"/>
            <c:spPr>
              <a:solidFill>
                <a:schemeClr val="accent5"/>
              </a:solidFill>
              <a:ln>
                <a:noFill/>
              </a:ln>
              <a:effectLst/>
            </c:spPr>
            <c:extLst>
              <c:ext xmlns:c16="http://schemas.microsoft.com/office/drawing/2014/chart" uri="{C3380CC4-5D6E-409C-BE32-E72D297353CC}">
                <c16:uniqueId val="{0000000F-1B47-5347-BD75-300D616D45E9}"/>
              </c:ext>
            </c:extLst>
          </c:dPt>
          <c:dPt>
            <c:idx val="4"/>
            <c:invertIfNegative val="0"/>
            <c:bubble3D val="0"/>
            <c:spPr>
              <a:solidFill>
                <a:schemeClr val="accent5"/>
              </a:solidFill>
              <a:ln>
                <a:noFill/>
              </a:ln>
              <a:effectLst/>
            </c:spPr>
            <c:extLst>
              <c:ext xmlns:c16="http://schemas.microsoft.com/office/drawing/2014/chart" uri="{C3380CC4-5D6E-409C-BE32-E72D297353CC}">
                <c16:uniqueId val="{00000011-1B47-5347-BD75-300D616D45E9}"/>
              </c:ext>
            </c:extLst>
          </c:dPt>
          <c:dPt>
            <c:idx val="5"/>
            <c:invertIfNegative val="0"/>
            <c:bubble3D val="0"/>
            <c:spPr>
              <a:solidFill>
                <a:schemeClr val="accent5"/>
              </a:solidFill>
              <a:ln>
                <a:noFill/>
              </a:ln>
              <a:effectLst/>
            </c:spPr>
            <c:extLst>
              <c:ext xmlns:c16="http://schemas.microsoft.com/office/drawing/2014/chart" uri="{C3380CC4-5D6E-409C-BE32-E72D297353CC}">
                <c16:uniqueId val="{00000013-1B47-5347-BD75-300D616D45E9}"/>
              </c:ext>
            </c:extLst>
          </c:dPt>
          <c:dPt>
            <c:idx val="6"/>
            <c:invertIfNegative val="0"/>
            <c:bubble3D val="0"/>
            <c:spPr>
              <a:solidFill>
                <a:schemeClr val="accent5"/>
              </a:solidFill>
              <a:ln>
                <a:noFill/>
              </a:ln>
              <a:effectLst/>
            </c:spPr>
            <c:extLst>
              <c:ext xmlns:c16="http://schemas.microsoft.com/office/drawing/2014/chart" uri="{C3380CC4-5D6E-409C-BE32-E72D297353CC}">
                <c16:uniqueId val="{00000015-1B47-5347-BD75-300D616D45E9}"/>
              </c:ext>
            </c:extLst>
          </c:dPt>
          <c:dPt>
            <c:idx val="7"/>
            <c:invertIfNegative val="0"/>
            <c:bubble3D val="0"/>
            <c:spPr>
              <a:solidFill>
                <a:schemeClr val="accent5"/>
              </a:solidFill>
              <a:ln>
                <a:noFill/>
              </a:ln>
              <a:effectLst/>
            </c:spPr>
            <c:extLst>
              <c:ext xmlns:c16="http://schemas.microsoft.com/office/drawing/2014/chart" uri="{C3380CC4-5D6E-409C-BE32-E72D297353CC}">
                <c16:uniqueId val="{00000017-1B47-5347-BD75-300D616D45E9}"/>
              </c:ext>
            </c:extLst>
          </c:dPt>
          <c:dPt>
            <c:idx val="8"/>
            <c:invertIfNegative val="0"/>
            <c:bubble3D val="0"/>
            <c:spPr>
              <a:solidFill>
                <a:schemeClr val="accent2"/>
              </a:solidFill>
              <a:ln>
                <a:noFill/>
              </a:ln>
              <a:effectLst/>
            </c:spPr>
            <c:extLst>
              <c:ext xmlns:c16="http://schemas.microsoft.com/office/drawing/2014/chart" uri="{C3380CC4-5D6E-409C-BE32-E72D297353CC}">
                <c16:uniqueId val="{00000019-1B47-5347-BD75-300D616D45E9}"/>
              </c:ext>
            </c:extLst>
          </c:dPt>
          <c:dPt>
            <c:idx val="9"/>
            <c:invertIfNegative val="0"/>
            <c:bubble3D val="0"/>
            <c:spPr>
              <a:solidFill>
                <a:schemeClr val="tx2"/>
              </a:solidFill>
              <a:ln>
                <a:noFill/>
              </a:ln>
              <a:effectLst/>
            </c:spPr>
            <c:extLst>
              <c:ext xmlns:c16="http://schemas.microsoft.com/office/drawing/2014/chart" uri="{C3380CC4-5D6E-409C-BE32-E72D297353CC}">
                <c16:uniqueId val="{0000001B-1B47-5347-BD75-300D616D45E9}"/>
              </c:ext>
            </c:extLst>
          </c:dPt>
          <c:dPt>
            <c:idx val="10"/>
            <c:invertIfNegative val="0"/>
            <c:bubble3D val="0"/>
            <c:spPr>
              <a:solidFill>
                <a:schemeClr val="tx2"/>
              </a:solidFill>
              <a:ln>
                <a:noFill/>
              </a:ln>
              <a:effectLst/>
            </c:spPr>
            <c:extLst>
              <c:ext xmlns:c16="http://schemas.microsoft.com/office/drawing/2014/chart" uri="{C3380CC4-5D6E-409C-BE32-E72D297353CC}">
                <c16:uniqueId val="{0000001D-1B47-5347-BD75-300D616D45E9}"/>
              </c:ext>
            </c:extLst>
          </c:dPt>
          <c:dLbls>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9-1B47-5347-BD75-300D616D45E9}"/>
                </c:ext>
              </c:extLst>
            </c:dLbl>
            <c:dLbl>
              <c:idx val="7"/>
              <c:layout>
                <c:manualLayout>
                  <c:x val="0"/>
                  <c:y val="1.61483433581819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B47-5347-BD75-300D616D45E9}"/>
                </c:ext>
              </c:extLst>
            </c:dLbl>
            <c:dLbl>
              <c:idx val="9"/>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B-1B47-5347-BD75-300D616D45E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Résultat!$B$126:$B$135</c:f>
              <c:strCache>
                <c:ptCount val="10"/>
                <c:pt idx="0">
                  <c:v>Émissions en 2022 </c:v>
                </c:pt>
                <c:pt idx="1">
                  <c:v>Déplacements pour les entrainements</c:v>
                </c:pt>
                <c:pt idx="2">
                  <c:v>Déplacements pour les matchs</c:v>
                </c:pt>
                <c:pt idx="3">
                  <c:v>Articles de sport</c:v>
                </c:pt>
                <c:pt idx="4">
                  <c:v>Construction et entretien des infras.</c:v>
                </c:pt>
                <c:pt idx="5">
                  <c:v>Consommation d'énergie des infra.</c:v>
                </c:pt>
                <c:pt idx="6">
                  <c:v>Alimentation et boisson (matchs)</c:v>
                </c:pt>
                <c:pt idx="7">
                  <c:v>Déchets (matchs)</c:v>
                </c:pt>
                <c:pt idx="8">
                  <c:v>Optimiser</c:v>
                </c:pt>
                <c:pt idx="9">
                  <c:v>Émissions 2050 après transformation</c:v>
                </c:pt>
              </c:strCache>
            </c:strRef>
          </c:cat>
          <c:val>
            <c:numRef>
              <c:f>Résultat!$D$126:$D$135</c:f>
              <c:numCache>
                <c:formatCode>_(* #\ ##0_);_(* \(#\ ##0\);_(* "-"??_);_(@_)</c:formatCode>
                <c:ptCount val="10"/>
                <c:pt idx="0" formatCode="_ * #\ ##0_)_ ;_ * \(#\ ##0\)_ ;_ * &quot;-&quot;??_)_ ;_ @_ ">
                  <c:v>1744298.79770873</c:v>
                </c:pt>
                <c:pt idx="1">
                  <c:v>342452.13783764269</c:v>
                </c:pt>
                <c:pt idx="2">
                  <c:v>245516.88057836847</c:v>
                </c:pt>
                <c:pt idx="3">
                  <c:v>310178.14090067358</c:v>
                </c:pt>
                <c:pt idx="4">
                  <c:v>138636.53790181506</c:v>
                </c:pt>
                <c:pt idx="5">
                  <c:v>95176.319186948298</c:v>
                </c:pt>
                <c:pt idx="6">
                  <c:v>104463.00152963036</c:v>
                </c:pt>
                <c:pt idx="7">
                  <c:v>11387.848775643202</c:v>
                </c:pt>
                <c:pt idx="8">
                  <c:v>147628.17145626259</c:v>
                </c:pt>
                <c:pt idx="9" formatCode="_ * #\ ##0_)_ ;_ * \(#\ ##0\)_ ;_ * &quot;-&quot;??_)_ ;_ @_ ">
                  <c:v>348859.759541746</c:v>
                </c:pt>
              </c:numCache>
            </c:numRef>
          </c:val>
          <c:extLst>
            <c:ext xmlns:c16="http://schemas.microsoft.com/office/drawing/2014/chart" uri="{C3380CC4-5D6E-409C-BE32-E72D297353CC}">
              <c16:uniqueId val="{0000001E-1B47-5347-BD75-300D616D45E9}"/>
            </c:ext>
          </c:extLst>
        </c:ser>
        <c:dLbls>
          <c:dLblPos val="ctr"/>
          <c:showLegendKey val="0"/>
          <c:showVal val="1"/>
          <c:showCatName val="0"/>
          <c:showSerName val="0"/>
          <c:showPercent val="0"/>
          <c:showBubbleSize val="0"/>
        </c:dLbls>
        <c:gapWidth val="10"/>
        <c:overlap val="100"/>
        <c:axId val="597750128"/>
        <c:axId val="597712944"/>
      </c:barChart>
      <c:catAx>
        <c:axId val="597750128"/>
        <c:scaling>
          <c:orientation val="minMax"/>
        </c:scaling>
        <c:delete val="1"/>
        <c:axPos val="b"/>
        <c:numFmt formatCode="General" sourceLinked="1"/>
        <c:majorTickMark val="none"/>
        <c:minorTickMark val="none"/>
        <c:tickLblPos val="nextTo"/>
        <c:crossAx val="597712944"/>
        <c:crosses val="autoZero"/>
        <c:auto val="1"/>
        <c:lblAlgn val="ctr"/>
        <c:lblOffset val="100"/>
        <c:noMultiLvlLbl val="0"/>
      </c:catAx>
      <c:valAx>
        <c:axId val="597712944"/>
        <c:scaling>
          <c:orientation val="minMax"/>
        </c:scaling>
        <c:delete val="1"/>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fr-FR" sz="1800" b="1" i="0" u="none" strike="noStrike" kern="1200" baseline="0">
                    <a:solidFill>
                      <a:schemeClr val="tx1"/>
                    </a:solidFill>
                  </a:rPr>
                  <a:t>Émissions en tonnes de CO2 équivalents</a:t>
                </a:r>
              </a:p>
            </c:rich>
          </c:tx>
          <c:layout>
            <c:manualLayout>
              <c:xMode val="edge"/>
              <c:yMode val="edge"/>
              <c:x val="2.2323939210115076E-2"/>
              <c:y val="0.24226022135291667"/>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crossAx val="597750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34935199816017E-2"/>
          <c:y val="0.18817705053190001"/>
          <c:w val="0.9263047042900332"/>
          <c:h val="0.72843148033034488"/>
        </c:manualLayout>
      </c:layout>
      <c:barChart>
        <c:barDir val="col"/>
        <c:grouping val="stacked"/>
        <c:varyColors val="0"/>
        <c:ser>
          <c:idx val="0"/>
          <c:order val="0"/>
          <c:tx>
            <c:strRef>
              <c:f>Résultat!$C$70</c:f>
              <c:strCache>
                <c:ptCount val="1"/>
                <c:pt idx="0">
                  <c:v>Négatif </c:v>
                </c:pt>
              </c:strCache>
            </c:strRef>
          </c:tx>
          <c:spPr>
            <a:solidFill>
              <a:srgbClr val="00005A">
                <a:alpha val="0"/>
              </a:srgb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0763-5340-A164-82C0CFA339D4}"/>
                </c:ext>
              </c:extLst>
            </c:dLbl>
            <c:dLbl>
              <c:idx val="2"/>
              <c:delete val="1"/>
              <c:extLst>
                <c:ext xmlns:c15="http://schemas.microsoft.com/office/drawing/2012/chart" uri="{CE6537A1-D6FC-4f65-9D91-7224C49458BB}"/>
                <c:ext xmlns:c16="http://schemas.microsoft.com/office/drawing/2014/chart" uri="{C3380CC4-5D6E-409C-BE32-E72D297353CC}">
                  <c16:uniqueId val="{00000001-0763-5340-A164-82C0CFA339D4}"/>
                </c:ext>
              </c:extLst>
            </c:dLbl>
            <c:dLbl>
              <c:idx val="3"/>
              <c:delete val="1"/>
              <c:extLst>
                <c:ext xmlns:c15="http://schemas.microsoft.com/office/drawing/2012/chart" uri="{CE6537A1-D6FC-4f65-9D91-7224C49458BB}"/>
                <c:ext xmlns:c16="http://schemas.microsoft.com/office/drawing/2014/chart" uri="{C3380CC4-5D6E-409C-BE32-E72D297353CC}">
                  <c16:uniqueId val="{00000002-0763-5340-A164-82C0CFA339D4}"/>
                </c:ext>
              </c:extLst>
            </c:dLbl>
            <c:dLbl>
              <c:idx val="4"/>
              <c:delete val="1"/>
              <c:extLst>
                <c:ext xmlns:c15="http://schemas.microsoft.com/office/drawing/2012/chart" uri="{CE6537A1-D6FC-4f65-9D91-7224C49458BB}"/>
                <c:ext xmlns:c16="http://schemas.microsoft.com/office/drawing/2014/chart" uri="{C3380CC4-5D6E-409C-BE32-E72D297353CC}">
                  <c16:uniqueId val="{00000003-0763-5340-A164-82C0CFA339D4}"/>
                </c:ext>
              </c:extLst>
            </c:dLbl>
            <c:dLbl>
              <c:idx val="5"/>
              <c:delete val="1"/>
              <c:extLst>
                <c:ext xmlns:c15="http://schemas.microsoft.com/office/drawing/2012/chart" uri="{CE6537A1-D6FC-4f65-9D91-7224C49458BB}"/>
                <c:ext xmlns:c16="http://schemas.microsoft.com/office/drawing/2014/chart" uri="{C3380CC4-5D6E-409C-BE32-E72D297353CC}">
                  <c16:uniqueId val="{00000004-0763-5340-A164-82C0CFA339D4}"/>
                </c:ext>
              </c:extLst>
            </c:dLbl>
            <c:dLbl>
              <c:idx val="6"/>
              <c:delete val="1"/>
              <c:extLst>
                <c:ext xmlns:c15="http://schemas.microsoft.com/office/drawing/2012/chart" uri="{CE6537A1-D6FC-4f65-9D91-7224C49458BB}"/>
                <c:ext xmlns:c16="http://schemas.microsoft.com/office/drawing/2014/chart" uri="{C3380CC4-5D6E-409C-BE32-E72D297353CC}">
                  <c16:uniqueId val="{00000005-0763-5340-A164-82C0CFA339D4}"/>
                </c:ext>
              </c:extLst>
            </c:dLbl>
            <c:dLbl>
              <c:idx val="7"/>
              <c:delete val="1"/>
              <c:extLst>
                <c:ext xmlns:c15="http://schemas.microsoft.com/office/drawing/2012/chart" uri="{CE6537A1-D6FC-4f65-9D91-7224C49458BB}"/>
                <c:ext xmlns:c16="http://schemas.microsoft.com/office/drawing/2014/chart" uri="{C3380CC4-5D6E-409C-BE32-E72D297353CC}">
                  <c16:uniqueId val="{00000006-0763-5340-A164-82C0CFA339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Résultat!$B$98:$B$106</c:f>
              <c:strCache>
                <c:ptCount val="9"/>
                <c:pt idx="0">
                  <c:v>Émissions en 2022 </c:v>
                </c:pt>
                <c:pt idx="1">
                  <c:v>Déplacements pour les entrainements</c:v>
                </c:pt>
                <c:pt idx="2">
                  <c:v>Déplacements pour les matchs</c:v>
                </c:pt>
                <c:pt idx="3">
                  <c:v>Articles de sport</c:v>
                </c:pt>
                <c:pt idx="4">
                  <c:v>Construction et entretien des infras.</c:v>
                </c:pt>
                <c:pt idx="5">
                  <c:v>Consommation d'énergie des infra.</c:v>
                </c:pt>
                <c:pt idx="6">
                  <c:v>Alimentation et boisson (matchs)</c:v>
                </c:pt>
                <c:pt idx="7">
                  <c:v>Déchets (matchs)</c:v>
                </c:pt>
                <c:pt idx="8">
                  <c:v>Émissions 2050 après transformation</c:v>
                </c:pt>
              </c:strCache>
            </c:strRef>
          </c:cat>
          <c:val>
            <c:numRef>
              <c:f>Résultat!$C$98:$C$106</c:f>
              <c:numCache>
                <c:formatCode>_(* #\ ##0_);_(* \(#\ ##0\);_(* "-"??_);_(@_)</c:formatCode>
                <c:ptCount val="9"/>
                <c:pt idx="1">
                  <c:v>1401846.6598710874</c:v>
                </c:pt>
                <c:pt idx="2">
                  <c:v>1156329.779292719</c:v>
                </c:pt>
                <c:pt idx="3">
                  <c:v>842274.41163078696</c:v>
                </c:pt>
                <c:pt idx="4">
                  <c:v>703637.87372897193</c:v>
                </c:pt>
                <c:pt idx="5">
                  <c:v>608461.55454202369</c:v>
                </c:pt>
                <c:pt idx="6">
                  <c:v>503998.5530123933</c:v>
                </c:pt>
                <c:pt idx="7">
                  <c:v>492610.70423675008</c:v>
                </c:pt>
              </c:numCache>
            </c:numRef>
          </c:val>
          <c:extLst>
            <c:ext xmlns:c16="http://schemas.microsoft.com/office/drawing/2014/chart" uri="{C3380CC4-5D6E-409C-BE32-E72D297353CC}">
              <c16:uniqueId val="{00000007-0763-5340-A164-82C0CFA339D4}"/>
            </c:ext>
          </c:extLst>
        </c:ser>
        <c:ser>
          <c:idx val="1"/>
          <c:order val="1"/>
          <c:tx>
            <c:strRef>
              <c:f>Résultat!$D$70</c:f>
              <c:strCache>
                <c:ptCount val="1"/>
                <c:pt idx="0">
                  <c:v>Émissions (ktCO2e)</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9-0763-5340-A164-82C0CFA339D4}"/>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B-0763-5340-A164-82C0CFA339D4}"/>
              </c:ext>
            </c:extLst>
          </c:dPt>
          <c:dPt>
            <c:idx val="2"/>
            <c:invertIfNegative val="0"/>
            <c:bubble3D val="0"/>
            <c:spPr>
              <a:solidFill>
                <a:schemeClr val="accent5"/>
              </a:solidFill>
              <a:ln>
                <a:noFill/>
              </a:ln>
              <a:effectLst/>
            </c:spPr>
            <c:extLst>
              <c:ext xmlns:c16="http://schemas.microsoft.com/office/drawing/2014/chart" uri="{C3380CC4-5D6E-409C-BE32-E72D297353CC}">
                <c16:uniqueId val="{0000000D-0763-5340-A164-82C0CFA339D4}"/>
              </c:ext>
            </c:extLst>
          </c:dPt>
          <c:dPt>
            <c:idx val="3"/>
            <c:invertIfNegative val="0"/>
            <c:bubble3D val="0"/>
            <c:spPr>
              <a:solidFill>
                <a:schemeClr val="accent5"/>
              </a:solidFill>
              <a:ln>
                <a:noFill/>
              </a:ln>
              <a:effectLst/>
            </c:spPr>
            <c:extLst>
              <c:ext xmlns:c16="http://schemas.microsoft.com/office/drawing/2014/chart" uri="{C3380CC4-5D6E-409C-BE32-E72D297353CC}">
                <c16:uniqueId val="{0000000F-0763-5340-A164-82C0CFA339D4}"/>
              </c:ext>
            </c:extLst>
          </c:dPt>
          <c:dPt>
            <c:idx val="4"/>
            <c:invertIfNegative val="0"/>
            <c:bubble3D val="0"/>
            <c:spPr>
              <a:solidFill>
                <a:schemeClr val="accent5"/>
              </a:solidFill>
              <a:ln>
                <a:noFill/>
              </a:ln>
              <a:effectLst/>
            </c:spPr>
            <c:extLst>
              <c:ext xmlns:c16="http://schemas.microsoft.com/office/drawing/2014/chart" uri="{C3380CC4-5D6E-409C-BE32-E72D297353CC}">
                <c16:uniqueId val="{00000011-0763-5340-A164-82C0CFA339D4}"/>
              </c:ext>
            </c:extLst>
          </c:dPt>
          <c:dPt>
            <c:idx val="5"/>
            <c:invertIfNegative val="0"/>
            <c:bubble3D val="0"/>
            <c:spPr>
              <a:solidFill>
                <a:schemeClr val="accent5"/>
              </a:solidFill>
              <a:ln>
                <a:noFill/>
              </a:ln>
              <a:effectLst/>
            </c:spPr>
            <c:extLst>
              <c:ext xmlns:c16="http://schemas.microsoft.com/office/drawing/2014/chart" uri="{C3380CC4-5D6E-409C-BE32-E72D297353CC}">
                <c16:uniqueId val="{00000013-0763-5340-A164-82C0CFA339D4}"/>
              </c:ext>
            </c:extLst>
          </c:dPt>
          <c:dPt>
            <c:idx val="6"/>
            <c:invertIfNegative val="0"/>
            <c:bubble3D val="0"/>
            <c:spPr>
              <a:solidFill>
                <a:schemeClr val="accent5"/>
              </a:solidFill>
              <a:ln>
                <a:noFill/>
              </a:ln>
              <a:effectLst/>
            </c:spPr>
            <c:extLst>
              <c:ext xmlns:c16="http://schemas.microsoft.com/office/drawing/2014/chart" uri="{C3380CC4-5D6E-409C-BE32-E72D297353CC}">
                <c16:uniqueId val="{00000015-0763-5340-A164-82C0CFA339D4}"/>
              </c:ext>
            </c:extLst>
          </c:dPt>
          <c:dPt>
            <c:idx val="7"/>
            <c:invertIfNegative val="0"/>
            <c:bubble3D val="0"/>
            <c:spPr>
              <a:solidFill>
                <a:schemeClr val="accent5"/>
              </a:solidFill>
              <a:ln>
                <a:noFill/>
              </a:ln>
              <a:effectLst/>
            </c:spPr>
            <c:extLst>
              <c:ext xmlns:c16="http://schemas.microsoft.com/office/drawing/2014/chart" uri="{C3380CC4-5D6E-409C-BE32-E72D297353CC}">
                <c16:uniqueId val="{00000017-0763-5340-A164-82C0CFA339D4}"/>
              </c:ext>
            </c:extLst>
          </c:dPt>
          <c:dPt>
            <c:idx val="8"/>
            <c:invertIfNegative val="0"/>
            <c:bubble3D val="0"/>
            <c:spPr>
              <a:solidFill>
                <a:schemeClr val="tx2"/>
              </a:solidFill>
              <a:ln>
                <a:noFill/>
              </a:ln>
              <a:effectLst/>
            </c:spPr>
            <c:extLst>
              <c:ext xmlns:c16="http://schemas.microsoft.com/office/drawing/2014/chart" uri="{C3380CC4-5D6E-409C-BE32-E72D297353CC}">
                <c16:uniqueId val="{00000019-0763-5340-A164-82C0CFA339D4}"/>
              </c:ext>
            </c:extLst>
          </c:dPt>
          <c:dPt>
            <c:idx val="9"/>
            <c:invertIfNegative val="0"/>
            <c:bubble3D val="0"/>
            <c:spPr>
              <a:solidFill>
                <a:schemeClr val="accent5"/>
              </a:solidFill>
              <a:ln>
                <a:noFill/>
              </a:ln>
              <a:effectLst/>
            </c:spPr>
            <c:extLst>
              <c:ext xmlns:c16="http://schemas.microsoft.com/office/drawing/2014/chart" uri="{C3380CC4-5D6E-409C-BE32-E72D297353CC}">
                <c16:uniqueId val="{0000001B-0763-5340-A164-82C0CFA339D4}"/>
              </c:ext>
            </c:extLst>
          </c:dPt>
          <c:dPt>
            <c:idx val="10"/>
            <c:invertIfNegative val="0"/>
            <c:bubble3D val="0"/>
            <c:spPr>
              <a:solidFill>
                <a:schemeClr val="tx2"/>
              </a:solidFill>
              <a:ln>
                <a:noFill/>
              </a:ln>
              <a:effectLst/>
            </c:spPr>
            <c:extLst>
              <c:ext xmlns:c16="http://schemas.microsoft.com/office/drawing/2014/chart" uri="{C3380CC4-5D6E-409C-BE32-E72D297353CC}">
                <c16:uniqueId val="{0000001D-0763-5340-A164-82C0CFA339D4}"/>
              </c:ext>
            </c:extLst>
          </c:dPt>
          <c:dLbls>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9-0763-5340-A164-82C0CFA339D4}"/>
                </c:ext>
              </c:extLst>
            </c:dLbl>
            <c:dLbl>
              <c:idx val="7"/>
              <c:layout>
                <c:manualLayout>
                  <c:x val="0"/>
                  <c:y val="1.09834119592430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763-5340-A164-82C0CFA339D4}"/>
                </c:ext>
              </c:extLst>
            </c:dLbl>
            <c:dLbl>
              <c:idx val="8"/>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9-0763-5340-A164-82C0CFA339D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Résultat!$B$98:$B$106</c:f>
              <c:strCache>
                <c:ptCount val="9"/>
                <c:pt idx="0">
                  <c:v>Émissions en 2022 </c:v>
                </c:pt>
                <c:pt idx="1">
                  <c:v>Déplacements pour les entrainements</c:v>
                </c:pt>
                <c:pt idx="2">
                  <c:v>Déplacements pour les matchs</c:v>
                </c:pt>
                <c:pt idx="3">
                  <c:v>Articles de sport</c:v>
                </c:pt>
                <c:pt idx="4">
                  <c:v>Construction et entretien des infras.</c:v>
                </c:pt>
                <c:pt idx="5">
                  <c:v>Consommation d'énergie des infra.</c:v>
                </c:pt>
                <c:pt idx="6">
                  <c:v>Alimentation et boisson (matchs)</c:v>
                </c:pt>
                <c:pt idx="7">
                  <c:v>Déchets (matchs)</c:v>
                </c:pt>
                <c:pt idx="8">
                  <c:v>Émissions 2050 après transformation</c:v>
                </c:pt>
              </c:strCache>
            </c:strRef>
          </c:cat>
          <c:val>
            <c:numRef>
              <c:f>Résultat!$D$98:$D$106</c:f>
              <c:numCache>
                <c:formatCode>_(* #\ ##0_);_(* \(#\ ##0\);_(* "-"??_);_(@_)</c:formatCode>
                <c:ptCount val="9"/>
                <c:pt idx="0">
                  <c:v>1744298.79770873</c:v>
                </c:pt>
                <c:pt idx="1">
                  <c:v>342452.13783764269</c:v>
                </c:pt>
                <c:pt idx="2">
                  <c:v>245516.88057836847</c:v>
                </c:pt>
                <c:pt idx="3">
                  <c:v>314055.36766193202</c:v>
                </c:pt>
                <c:pt idx="4">
                  <c:v>138636.53790181506</c:v>
                </c:pt>
                <c:pt idx="5">
                  <c:v>95176.319186948298</c:v>
                </c:pt>
                <c:pt idx="6">
                  <c:v>104463.00152963036</c:v>
                </c:pt>
                <c:pt idx="7">
                  <c:v>11387.848775643202</c:v>
                </c:pt>
                <c:pt idx="8">
                  <c:v>492610.70423675003</c:v>
                </c:pt>
              </c:numCache>
            </c:numRef>
          </c:val>
          <c:extLst>
            <c:ext xmlns:c16="http://schemas.microsoft.com/office/drawing/2014/chart" uri="{C3380CC4-5D6E-409C-BE32-E72D297353CC}">
              <c16:uniqueId val="{0000001E-0763-5340-A164-82C0CFA339D4}"/>
            </c:ext>
          </c:extLst>
        </c:ser>
        <c:dLbls>
          <c:dLblPos val="ctr"/>
          <c:showLegendKey val="0"/>
          <c:showVal val="1"/>
          <c:showCatName val="0"/>
          <c:showSerName val="0"/>
          <c:showPercent val="0"/>
          <c:showBubbleSize val="0"/>
        </c:dLbls>
        <c:gapWidth val="10"/>
        <c:overlap val="100"/>
        <c:axId val="597750128"/>
        <c:axId val="597712944"/>
      </c:barChart>
      <c:catAx>
        <c:axId val="597750128"/>
        <c:scaling>
          <c:orientation val="minMax"/>
        </c:scaling>
        <c:delete val="1"/>
        <c:axPos val="b"/>
        <c:numFmt formatCode="General" sourceLinked="1"/>
        <c:majorTickMark val="none"/>
        <c:minorTickMark val="none"/>
        <c:tickLblPos val="nextTo"/>
        <c:crossAx val="597712944"/>
        <c:crosses val="autoZero"/>
        <c:auto val="1"/>
        <c:lblAlgn val="ctr"/>
        <c:lblOffset val="100"/>
        <c:noMultiLvlLbl val="0"/>
      </c:catAx>
      <c:valAx>
        <c:axId val="597712944"/>
        <c:scaling>
          <c:orientation val="minMax"/>
        </c:scaling>
        <c:delete val="1"/>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fr-FR" sz="1800" b="1" i="0" u="none" strike="noStrike" kern="1200" baseline="0">
                    <a:solidFill>
                      <a:schemeClr val="tx1"/>
                    </a:solidFill>
                  </a:rPr>
                  <a:t>Émissions en tonnes de CO2 équivalents</a:t>
                </a:r>
              </a:p>
            </c:rich>
          </c:tx>
          <c:layout>
            <c:manualLayout>
              <c:xMode val="edge"/>
              <c:yMode val="edge"/>
              <c:x val="2.2323939210115076E-2"/>
              <c:y val="0.24226022135291667"/>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fr-FR"/>
            </a:p>
          </c:txPr>
        </c:title>
        <c:numFmt formatCode="_(* #\ ##0_);_(* \(#\ ##0\);_(* &quot;-&quot;??_);_(@_)" sourceLinked="1"/>
        <c:majorTickMark val="none"/>
        <c:minorTickMark val="none"/>
        <c:tickLblPos val="nextTo"/>
        <c:crossAx val="59775012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Résultat!$I$18</c:f>
              <c:strCache>
                <c:ptCount val="1"/>
                <c:pt idx="0">
                  <c:v>Entrainement</c:v>
                </c:pt>
              </c:strCache>
            </c:strRef>
          </c:tx>
          <c:spPr>
            <a:solidFill>
              <a:schemeClr val="accent1"/>
            </a:solidFill>
            <a:ln w="12700">
              <a:solidFill>
                <a:schemeClr val="bg2"/>
              </a:solidFill>
            </a:ln>
            <a:effectLst/>
          </c:spPr>
          <c:invertIfNegative val="0"/>
          <c:dPt>
            <c:idx val="1"/>
            <c:invertIfNegative val="0"/>
            <c:bubble3D val="0"/>
            <c:spPr>
              <a:solidFill>
                <a:schemeClr val="accent4"/>
              </a:solidFill>
              <a:ln w="12700">
                <a:solidFill>
                  <a:schemeClr val="bg2"/>
                </a:solidFill>
              </a:ln>
              <a:effectLst/>
            </c:spPr>
            <c:extLst>
              <c:ext xmlns:c16="http://schemas.microsoft.com/office/drawing/2014/chart" uri="{C3380CC4-5D6E-409C-BE32-E72D297353CC}">
                <c16:uniqueId val="{00000001-182B-334E-BDA5-58038BF2C203}"/>
              </c:ext>
            </c:extLst>
          </c:dPt>
          <c:dPt>
            <c:idx val="2"/>
            <c:invertIfNegative val="0"/>
            <c:bubble3D val="0"/>
            <c:spPr>
              <a:solidFill>
                <a:schemeClr val="accent2"/>
              </a:solidFill>
              <a:ln w="12700">
                <a:solidFill>
                  <a:schemeClr val="bg2"/>
                </a:solidFill>
              </a:ln>
              <a:effectLst/>
            </c:spPr>
            <c:extLst>
              <c:ext xmlns:c16="http://schemas.microsoft.com/office/drawing/2014/chart" uri="{C3380CC4-5D6E-409C-BE32-E72D297353CC}">
                <c16:uniqueId val="{00000003-182B-334E-BDA5-58038BF2C203}"/>
              </c:ext>
            </c:extLst>
          </c:dPt>
          <c:dPt>
            <c:idx val="3"/>
            <c:invertIfNegative val="0"/>
            <c:bubble3D val="0"/>
            <c:spPr>
              <a:solidFill>
                <a:schemeClr val="accent3"/>
              </a:solidFill>
              <a:ln w="12700">
                <a:solidFill>
                  <a:schemeClr val="bg2"/>
                </a:solidFill>
              </a:ln>
              <a:effectLst/>
            </c:spPr>
            <c:extLst>
              <c:ext xmlns:c16="http://schemas.microsoft.com/office/drawing/2014/chart" uri="{C3380CC4-5D6E-409C-BE32-E72D297353CC}">
                <c16:uniqueId val="{00000005-182B-334E-BDA5-58038BF2C203}"/>
              </c:ext>
            </c:extLst>
          </c:dPt>
          <c:dPt>
            <c:idx val="4"/>
            <c:invertIfNegative val="0"/>
            <c:bubble3D val="0"/>
            <c:spPr>
              <a:solidFill>
                <a:srgbClr val="7A3E00"/>
              </a:solidFill>
              <a:ln w="12700">
                <a:solidFill>
                  <a:schemeClr val="bg2"/>
                </a:solidFill>
              </a:ln>
              <a:effectLst/>
            </c:spPr>
            <c:extLst>
              <c:ext xmlns:c16="http://schemas.microsoft.com/office/drawing/2014/chart" uri="{C3380CC4-5D6E-409C-BE32-E72D297353CC}">
                <c16:uniqueId val="{00000007-182B-334E-BDA5-58038BF2C203}"/>
              </c:ext>
            </c:extLst>
          </c:dPt>
          <c:dPt>
            <c:idx val="5"/>
            <c:invertIfNegative val="0"/>
            <c:bubble3D val="0"/>
            <c:spPr>
              <a:solidFill>
                <a:schemeClr val="tx1"/>
              </a:solidFill>
              <a:ln w="12700">
                <a:solidFill>
                  <a:schemeClr val="bg2"/>
                </a:solidFill>
              </a:ln>
              <a:effectLst/>
            </c:spPr>
            <c:extLst>
              <c:ext xmlns:c16="http://schemas.microsoft.com/office/drawing/2014/chart" uri="{C3380CC4-5D6E-409C-BE32-E72D297353CC}">
                <c16:uniqueId val="{00000009-182B-334E-BDA5-58038BF2C20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A-182B-334E-BDA5-58038BF2C203}"/>
                </c:ext>
              </c:extLst>
            </c:dLbl>
            <c:dLbl>
              <c:idx val="4"/>
              <c:layout>
                <c:manualLayout>
                  <c:x val="-1.3234920679307136E-16"/>
                  <c:y val="-7.00770847932725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2B-334E-BDA5-58038BF2C203}"/>
                </c:ext>
              </c:extLst>
            </c:dLbl>
            <c:dLbl>
              <c:idx val="5"/>
              <c:layout>
                <c:manualLayout>
                  <c:x val="-1.3234920679307136E-16"/>
                  <c:y val="-2.80308339173092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2B-334E-BDA5-58038BF2C20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Résultat!$H$19:$H$24</c:f>
              <c:strCache>
                <c:ptCount val="6"/>
                <c:pt idx="0">
                  <c:v>Déplacements</c:v>
                </c:pt>
                <c:pt idx="1">
                  <c:v>Articles de sport</c:v>
                </c:pt>
                <c:pt idx="2">
                  <c:v>Construction et 
entretien des infras.</c:v>
                </c:pt>
                <c:pt idx="3">
                  <c:v>Alimentation et boissons</c:v>
                </c:pt>
                <c:pt idx="4">
                  <c:v>Consommation d'énergie des infras.</c:v>
                </c:pt>
                <c:pt idx="5">
                  <c:v>Déchets </c:v>
                </c:pt>
              </c:strCache>
            </c:strRef>
          </c:cat>
          <c:val>
            <c:numRef>
              <c:f>Résultat!$I$19:$I$24</c:f>
              <c:numCache>
                <c:formatCode>0%</c:formatCode>
                <c:ptCount val="6"/>
                <c:pt idx="0">
                  <c:v>0.24582127860337874</c:v>
                </c:pt>
                <c:pt idx="1">
                  <c:v>0.22227996524170365</c:v>
                </c:pt>
                <c:pt idx="2">
                  <c:v>0.17711667205323553</c:v>
                </c:pt>
                <c:pt idx="3">
                  <c:v>0.11444885577623719</c:v>
                </c:pt>
                <c:pt idx="4">
                  <c:v>5.6289850864957053E-2</c:v>
                </c:pt>
                <c:pt idx="5">
                  <c:v>1.1155486715569245E-2</c:v>
                </c:pt>
              </c:numCache>
            </c:numRef>
          </c:val>
          <c:extLst>
            <c:ext xmlns:c16="http://schemas.microsoft.com/office/drawing/2014/chart" uri="{C3380CC4-5D6E-409C-BE32-E72D297353CC}">
              <c16:uniqueId val="{0000000B-182B-334E-BDA5-58038BF2C203}"/>
            </c:ext>
          </c:extLst>
        </c:ser>
        <c:ser>
          <c:idx val="1"/>
          <c:order val="1"/>
          <c:tx>
            <c:strRef>
              <c:f>Résultat!$J$18</c:f>
              <c:strCache>
                <c:ptCount val="1"/>
                <c:pt idx="0">
                  <c:v>Match</c:v>
                </c:pt>
              </c:strCache>
            </c:strRef>
          </c:tx>
          <c:spPr>
            <a:solidFill>
              <a:schemeClr val="accent6"/>
            </a:solidFill>
            <a:ln>
              <a:solidFill>
                <a:schemeClr val="bg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2"/>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Résultat!$H$19:$H$24</c:f>
              <c:strCache>
                <c:ptCount val="6"/>
                <c:pt idx="0">
                  <c:v>Déplacements</c:v>
                </c:pt>
                <c:pt idx="1">
                  <c:v>Articles de sport</c:v>
                </c:pt>
                <c:pt idx="2">
                  <c:v>Construction et 
entretien des infras.</c:v>
                </c:pt>
                <c:pt idx="3">
                  <c:v>Alimentation et boissons</c:v>
                </c:pt>
                <c:pt idx="4">
                  <c:v>Consommation d'énergie des infras.</c:v>
                </c:pt>
                <c:pt idx="5">
                  <c:v>Déchets </c:v>
                </c:pt>
              </c:strCache>
            </c:strRef>
          </c:cat>
          <c:val>
            <c:numRef>
              <c:f>Résultat!$J$19:$J$24</c:f>
              <c:numCache>
                <c:formatCode>0%</c:formatCode>
                <c:ptCount val="6"/>
                <c:pt idx="0">
                  <c:v>0.17288789074491856</c:v>
                </c:pt>
              </c:numCache>
            </c:numRef>
          </c:val>
          <c:extLst>
            <c:ext xmlns:c16="http://schemas.microsoft.com/office/drawing/2014/chart" uri="{C3380CC4-5D6E-409C-BE32-E72D297353CC}">
              <c16:uniqueId val="{0000000C-182B-334E-BDA5-58038BF2C203}"/>
            </c:ext>
          </c:extLst>
        </c:ser>
        <c:dLbls>
          <c:dLblPos val="ctr"/>
          <c:showLegendKey val="0"/>
          <c:showVal val="1"/>
          <c:showCatName val="0"/>
          <c:showSerName val="0"/>
          <c:showPercent val="0"/>
          <c:showBubbleSize val="0"/>
        </c:dLbls>
        <c:gapWidth val="150"/>
        <c:overlap val="100"/>
        <c:axId val="796941263"/>
        <c:axId val="621638735"/>
      </c:barChart>
      <c:catAx>
        <c:axId val="79694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accent1"/>
                </a:solidFill>
                <a:latin typeface="Poppins" pitchFamily="2" charset="77"/>
                <a:ea typeface="+mn-ea"/>
                <a:cs typeface="Poppins" pitchFamily="2" charset="77"/>
              </a:defRPr>
            </a:pPr>
            <a:endParaRPr lang="fr-FR"/>
          </a:p>
        </c:txPr>
        <c:crossAx val="621638735"/>
        <c:crosses val="autoZero"/>
        <c:auto val="1"/>
        <c:lblAlgn val="ctr"/>
        <c:lblOffset val="100"/>
        <c:noMultiLvlLbl val="0"/>
      </c:catAx>
      <c:valAx>
        <c:axId val="6216387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accent1"/>
                </a:solidFill>
                <a:latin typeface="Poppins" pitchFamily="2" charset="77"/>
                <a:ea typeface="+mn-ea"/>
                <a:cs typeface="Poppins" pitchFamily="2" charset="77"/>
              </a:defRPr>
            </a:pPr>
            <a:endParaRPr lang="fr-FR"/>
          </a:p>
        </c:txPr>
        <c:crossAx val="796941263"/>
        <c:crosses val="autoZero"/>
        <c:crossBetween val="between"/>
      </c:valAx>
      <c:spPr>
        <a:noFill/>
        <a:ln>
          <a:noFill/>
        </a:ln>
        <a:effectLst/>
      </c:spPr>
    </c:plotArea>
    <c:legend>
      <c:legendPos val="b"/>
      <c:layout>
        <c:manualLayout>
          <c:xMode val="edge"/>
          <c:yMode val="edge"/>
          <c:x val="0.76583806026429413"/>
          <c:y val="2.3162860969630123E-2"/>
          <c:w val="0.22659348744924554"/>
          <c:h val="9.675483030777713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accent1"/>
              </a:solidFill>
              <a:latin typeface="Poppins" pitchFamily="2" charset="77"/>
              <a:ea typeface="+mn-ea"/>
              <a:cs typeface="Poppins" pitchFamily="2" charset="77"/>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Résultat!$AE$124</c:f>
              <c:strCache>
                <c:ptCount val="1"/>
                <c:pt idx="0">
                  <c:v>Négatif </c:v>
                </c:pt>
              </c:strCache>
            </c:strRef>
          </c:tx>
          <c:spPr>
            <a:noFill/>
            <a:ln>
              <a:noFill/>
            </a:ln>
            <a:effectLst/>
          </c:spPr>
          <c:invertIfNegative val="0"/>
          <c:cat>
            <c:strRef>
              <c:f>Résultat!$AD$125:$AD$132</c:f>
              <c:strCache>
                <c:ptCount val="8"/>
                <c:pt idx="0">
                  <c:v>Émissions en 2022 </c:v>
                </c:pt>
                <c:pt idx="1">
                  <c:v>Construction et entretien des infras.</c:v>
                </c:pt>
                <c:pt idx="2">
                  <c:v>Consommation d'énergie des infra.</c:v>
                </c:pt>
                <c:pt idx="3">
                  <c:v>Articles de sport</c:v>
                </c:pt>
                <c:pt idx="4">
                  <c:v>Alimentation et boissons</c:v>
                </c:pt>
                <c:pt idx="5">
                  <c:v>Déchets</c:v>
                </c:pt>
                <c:pt idx="6">
                  <c:v>Déplacements 
(matchs et entraînements)</c:v>
                </c:pt>
                <c:pt idx="7">
                  <c:v>Émissions 2050 après transformation</c:v>
                </c:pt>
              </c:strCache>
            </c:strRef>
          </c:cat>
          <c:val>
            <c:numRef>
              <c:f>Résultat!$AE$125:$AE$132</c:f>
              <c:numCache>
                <c:formatCode>_(* #\ ##0_);_(* \(#\ ##0\);_(* "-"??_);_(@_)</c:formatCode>
                <c:ptCount val="8"/>
                <c:pt idx="0">
                  <c:v>0</c:v>
                </c:pt>
                <c:pt idx="1">
                  <c:v>1605000</c:v>
                </c:pt>
                <c:pt idx="2">
                  <c:v>1510000</c:v>
                </c:pt>
                <c:pt idx="3">
                  <c:v>1196000</c:v>
                </c:pt>
                <c:pt idx="4">
                  <c:v>1092000</c:v>
                </c:pt>
                <c:pt idx="5">
                  <c:v>1081000</c:v>
                </c:pt>
                <c:pt idx="6">
                  <c:v>493000</c:v>
                </c:pt>
                <c:pt idx="7">
                  <c:v>0</c:v>
                </c:pt>
              </c:numCache>
            </c:numRef>
          </c:val>
          <c:extLst>
            <c:ext xmlns:c16="http://schemas.microsoft.com/office/drawing/2014/chart" uri="{C3380CC4-5D6E-409C-BE32-E72D297353CC}">
              <c16:uniqueId val="{00000000-1835-7547-9978-D2FF6A2585BC}"/>
            </c:ext>
          </c:extLst>
        </c:ser>
        <c:ser>
          <c:idx val="1"/>
          <c:order val="1"/>
          <c:tx>
            <c:strRef>
              <c:f>Résultat!$AF$124</c:f>
              <c:strCache>
                <c:ptCount val="1"/>
                <c:pt idx="0">
                  <c:v>Émissions (ktCO2e)</c:v>
                </c:pt>
              </c:strCache>
            </c:strRef>
          </c:tx>
          <c:spPr>
            <a:solidFill>
              <a:schemeClr val="accent6"/>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3-1835-7547-9978-D2FF6A2585BC}"/>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5-1835-7547-9978-D2FF6A2585BC}"/>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4-1835-7547-9978-D2FF6A2585BC}"/>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35-7547-9978-D2FF6A2585BC}"/>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35-7547-9978-D2FF6A2585BC}"/>
                </c:ext>
              </c:extLst>
            </c:dLbl>
            <c:dLbl>
              <c:idx val="8"/>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35-7547-9978-D2FF6A2585B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Poppins" pitchFamily="2" charset="77"/>
                    <a:ea typeface="+mn-ea"/>
                    <a:cs typeface="Poppins" pitchFamily="2" charset="77"/>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Résultat!$AD$125:$AD$132</c:f>
              <c:strCache>
                <c:ptCount val="8"/>
                <c:pt idx="0">
                  <c:v>Émissions en 2022 </c:v>
                </c:pt>
                <c:pt idx="1">
                  <c:v>Construction et entretien des infras.</c:v>
                </c:pt>
                <c:pt idx="2">
                  <c:v>Consommation d'énergie des infra.</c:v>
                </c:pt>
                <c:pt idx="3">
                  <c:v>Articles de sport</c:v>
                </c:pt>
                <c:pt idx="4">
                  <c:v>Alimentation et boissons</c:v>
                </c:pt>
                <c:pt idx="5">
                  <c:v>Déchets</c:v>
                </c:pt>
                <c:pt idx="6">
                  <c:v>Déplacements 
(matchs et entraînements)</c:v>
                </c:pt>
                <c:pt idx="7">
                  <c:v>Émissions 2050 après transformation</c:v>
                </c:pt>
              </c:strCache>
            </c:strRef>
          </c:cat>
          <c:val>
            <c:numRef>
              <c:f>Résultat!$AF$125:$AF$132</c:f>
              <c:numCache>
                <c:formatCode>_(* #\ ##0_);_(* \(#\ ##0\);_(* "-"??_);_(@_)</c:formatCode>
                <c:ptCount val="8"/>
                <c:pt idx="0">
                  <c:v>1744000</c:v>
                </c:pt>
                <c:pt idx="1">
                  <c:v>139000</c:v>
                </c:pt>
                <c:pt idx="2">
                  <c:v>95000</c:v>
                </c:pt>
                <c:pt idx="3">
                  <c:v>314000</c:v>
                </c:pt>
                <c:pt idx="4">
                  <c:v>104000</c:v>
                </c:pt>
                <c:pt idx="5">
                  <c:v>11000</c:v>
                </c:pt>
                <c:pt idx="6">
                  <c:v>588000</c:v>
                </c:pt>
                <c:pt idx="7">
                  <c:v>493000</c:v>
                </c:pt>
              </c:numCache>
            </c:numRef>
          </c:val>
          <c:extLst>
            <c:ext xmlns:c16="http://schemas.microsoft.com/office/drawing/2014/chart" uri="{C3380CC4-5D6E-409C-BE32-E72D297353CC}">
              <c16:uniqueId val="{00000001-1835-7547-9978-D2FF6A2585BC}"/>
            </c:ext>
          </c:extLst>
        </c:ser>
        <c:dLbls>
          <c:showLegendKey val="0"/>
          <c:showVal val="0"/>
          <c:showCatName val="0"/>
          <c:showSerName val="0"/>
          <c:showPercent val="0"/>
          <c:showBubbleSize val="0"/>
        </c:dLbls>
        <c:gapWidth val="10"/>
        <c:overlap val="100"/>
        <c:axId val="2005562543"/>
        <c:axId val="1757673327"/>
      </c:barChart>
      <c:catAx>
        <c:axId val="2005562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Poppins" pitchFamily="2" charset="77"/>
                <a:ea typeface="+mn-ea"/>
                <a:cs typeface="Poppins" pitchFamily="2" charset="77"/>
              </a:defRPr>
            </a:pPr>
            <a:endParaRPr lang="fr-FR"/>
          </a:p>
        </c:txPr>
        <c:crossAx val="1757673327"/>
        <c:crosses val="autoZero"/>
        <c:auto val="1"/>
        <c:lblAlgn val="ctr"/>
        <c:lblOffset val="100"/>
        <c:noMultiLvlLbl val="0"/>
      </c:catAx>
      <c:valAx>
        <c:axId val="1757673327"/>
        <c:scaling>
          <c:orientation val="minMax"/>
          <c:max val="1800000"/>
        </c:scaling>
        <c:delete val="0"/>
        <c:axPos val="l"/>
        <c:numFmt formatCode="_(* #\ ##0_);_(* \(#\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accent1"/>
                </a:solidFill>
                <a:latin typeface="Poppins" pitchFamily="2" charset="77"/>
                <a:ea typeface="+mn-ea"/>
                <a:cs typeface="Poppins" pitchFamily="2" charset="77"/>
              </a:defRPr>
            </a:pPr>
            <a:endParaRPr lang="fr-FR"/>
          </a:p>
        </c:txPr>
        <c:crossAx val="20055625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Résultat!$AE$124</c:f>
              <c:strCache>
                <c:ptCount val="1"/>
                <c:pt idx="0">
                  <c:v>Négatif </c:v>
                </c:pt>
              </c:strCache>
            </c:strRef>
          </c:tx>
          <c:spPr>
            <a:noFill/>
            <a:ln>
              <a:noFill/>
            </a:ln>
            <a:effectLst/>
          </c:spPr>
          <c:invertIfNegative val="0"/>
          <c:cat>
            <c:strRef>
              <c:f>Résultat!$AD$137:$AD$145</c:f>
              <c:strCache>
                <c:ptCount val="9"/>
                <c:pt idx="0">
                  <c:v>Émissions en 2022 </c:v>
                </c:pt>
                <c:pt idx="1">
                  <c:v>Construction et entretien des infras.</c:v>
                </c:pt>
                <c:pt idx="2">
                  <c:v>Consommation d'énergie des infra.</c:v>
                </c:pt>
                <c:pt idx="3">
                  <c:v>Articles de sport</c:v>
                </c:pt>
                <c:pt idx="4">
                  <c:v>Alimentation et boissons</c:v>
                </c:pt>
                <c:pt idx="5">
                  <c:v>Déchets</c:v>
                </c:pt>
                <c:pt idx="6">
                  <c:v>Déplacements 
(matchs et entraînements)</c:v>
                </c:pt>
                <c:pt idx="7">
                  <c:v>Optimiser</c:v>
                </c:pt>
                <c:pt idx="8">
                  <c:v>Émissions 2050 après transformation</c:v>
                </c:pt>
              </c:strCache>
            </c:strRef>
          </c:cat>
          <c:val>
            <c:numRef>
              <c:f>Résultat!$AE$137:$AE$145</c:f>
              <c:numCache>
                <c:formatCode>General</c:formatCode>
                <c:ptCount val="9"/>
                <c:pt idx="0" formatCode="_(* #\ ##0_);_(* \(#\ ##0\);_(* &quot;-&quot;??_);_(@_)">
                  <c:v>0</c:v>
                </c:pt>
                <c:pt idx="1">
                  <c:v>1605000</c:v>
                </c:pt>
                <c:pt idx="2">
                  <c:v>1510000</c:v>
                </c:pt>
                <c:pt idx="3">
                  <c:v>1196000</c:v>
                </c:pt>
                <c:pt idx="4">
                  <c:v>1092000</c:v>
                </c:pt>
                <c:pt idx="5">
                  <c:v>1081000</c:v>
                </c:pt>
                <c:pt idx="6">
                  <c:v>493000</c:v>
                </c:pt>
                <c:pt idx="7" formatCode="_(* #\ ##0_);_(* \(#\ ##0\);_(* &quot;-&quot;??_);_(@_)">
                  <c:v>345371.82854373741</c:v>
                </c:pt>
                <c:pt idx="8" formatCode="_(* #\ ##0_);_(* \(#\ ##0\);_(* &quot;-&quot;??_);_(@_)">
                  <c:v>0</c:v>
                </c:pt>
              </c:numCache>
            </c:numRef>
          </c:val>
          <c:extLst>
            <c:ext xmlns:c16="http://schemas.microsoft.com/office/drawing/2014/chart" uri="{C3380CC4-5D6E-409C-BE32-E72D297353CC}">
              <c16:uniqueId val="{00000000-53C0-9F4E-A93A-2D66C6A97C58}"/>
            </c:ext>
          </c:extLst>
        </c:ser>
        <c:ser>
          <c:idx val="1"/>
          <c:order val="1"/>
          <c:tx>
            <c:strRef>
              <c:f>Résultat!$AF$124</c:f>
              <c:strCache>
                <c:ptCount val="1"/>
                <c:pt idx="0">
                  <c:v>Émissions (ktCO2e)</c:v>
                </c:pt>
              </c:strCache>
            </c:strRef>
          </c:tx>
          <c:spPr>
            <a:solidFill>
              <a:schemeClr val="accent6"/>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2-53C0-9F4E-A93A-2D66C6A97C58}"/>
              </c:ext>
            </c:extLst>
          </c:dPt>
          <c:dPt>
            <c:idx val="7"/>
            <c:invertIfNegative val="0"/>
            <c:bubble3D val="0"/>
            <c:spPr>
              <a:solidFill>
                <a:schemeClr val="tx2"/>
              </a:solidFill>
              <a:ln>
                <a:noFill/>
              </a:ln>
              <a:effectLst/>
            </c:spPr>
            <c:extLst>
              <c:ext xmlns:c16="http://schemas.microsoft.com/office/drawing/2014/chart" uri="{C3380CC4-5D6E-409C-BE32-E72D297353CC}">
                <c16:uniqueId val="{00000007-53C0-9F4E-A93A-2D66C6A97C58}"/>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4-53C0-9F4E-A93A-2D66C6A97C58}"/>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6-53C0-9F4E-A93A-2D66C6A97C58}"/>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C0-9F4E-A93A-2D66C6A97C58}"/>
                </c:ext>
              </c:extLst>
            </c:dLbl>
            <c:dLbl>
              <c:idx val="8"/>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C0-9F4E-A93A-2D66C6A97C58}"/>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C0-9F4E-A93A-2D66C6A97C5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1"/>
                    </a:solidFill>
                    <a:latin typeface="Poppins" pitchFamily="2" charset="77"/>
                    <a:ea typeface="+mn-ea"/>
                    <a:cs typeface="Poppins" pitchFamily="2" charset="77"/>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Résultat!$AD$137:$AD$145</c:f>
              <c:strCache>
                <c:ptCount val="9"/>
                <c:pt idx="0">
                  <c:v>Émissions en 2022 </c:v>
                </c:pt>
                <c:pt idx="1">
                  <c:v>Construction et entretien des infras.</c:v>
                </c:pt>
                <c:pt idx="2">
                  <c:v>Consommation d'énergie des infra.</c:v>
                </c:pt>
                <c:pt idx="3">
                  <c:v>Articles de sport</c:v>
                </c:pt>
                <c:pt idx="4">
                  <c:v>Alimentation et boissons</c:v>
                </c:pt>
                <c:pt idx="5">
                  <c:v>Déchets</c:v>
                </c:pt>
                <c:pt idx="6">
                  <c:v>Déplacements 
(matchs et entraînements)</c:v>
                </c:pt>
                <c:pt idx="7">
                  <c:v>Optimiser</c:v>
                </c:pt>
                <c:pt idx="8">
                  <c:v>Émissions 2050 après transformation</c:v>
                </c:pt>
              </c:strCache>
            </c:strRef>
          </c:cat>
          <c:val>
            <c:numRef>
              <c:f>Résultat!$AF$137:$AF$145</c:f>
              <c:numCache>
                <c:formatCode>General</c:formatCode>
                <c:ptCount val="9"/>
                <c:pt idx="0" formatCode="_(* #\ ##0_);_(* \(#\ ##0\);_(* &quot;-&quot;??_);_(@_)">
                  <c:v>1744000</c:v>
                </c:pt>
                <c:pt idx="1">
                  <c:v>139000</c:v>
                </c:pt>
                <c:pt idx="2">
                  <c:v>95000</c:v>
                </c:pt>
                <c:pt idx="3">
                  <c:v>314000</c:v>
                </c:pt>
                <c:pt idx="4">
                  <c:v>104000</c:v>
                </c:pt>
                <c:pt idx="5">
                  <c:v>11000</c:v>
                </c:pt>
                <c:pt idx="6">
                  <c:v>588000</c:v>
                </c:pt>
                <c:pt idx="7" formatCode="_(* #\ ##0_);_(* \(#\ ##0\);_(* &quot;-&quot;??_);_(@_)">
                  <c:v>147628.17145626259</c:v>
                </c:pt>
                <c:pt idx="8" formatCode="_(* #\ ##0_);_(* \(#\ ##0\);_(* &quot;-&quot;??_);_(@_)">
                  <c:v>349000</c:v>
                </c:pt>
              </c:numCache>
            </c:numRef>
          </c:val>
          <c:extLst>
            <c:ext xmlns:c16="http://schemas.microsoft.com/office/drawing/2014/chart" uri="{C3380CC4-5D6E-409C-BE32-E72D297353CC}">
              <c16:uniqueId val="{00000005-53C0-9F4E-A93A-2D66C6A97C58}"/>
            </c:ext>
          </c:extLst>
        </c:ser>
        <c:dLbls>
          <c:showLegendKey val="0"/>
          <c:showVal val="0"/>
          <c:showCatName val="0"/>
          <c:showSerName val="0"/>
          <c:showPercent val="0"/>
          <c:showBubbleSize val="0"/>
        </c:dLbls>
        <c:gapWidth val="10"/>
        <c:overlap val="100"/>
        <c:axId val="2005562543"/>
        <c:axId val="1757673327"/>
      </c:barChart>
      <c:catAx>
        <c:axId val="2005562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Poppins" pitchFamily="2" charset="77"/>
                <a:ea typeface="+mn-ea"/>
                <a:cs typeface="Poppins" pitchFamily="2" charset="77"/>
              </a:defRPr>
            </a:pPr>
            <a:endParaRPr lang="fr-FR"/>
          </a:p>
        </c:txPr>
        <c:crossAx val="1757673327"/>
        <c:crosses val="autoZero"/>
        <c:auto val="1"/>
        <c:lblAlgn val="ctr"/>
        <c:lblOffset val="100"/>
        <c:noMultiLvlLbl val="0"/>
      </c:catAx>
      <c:valAx>
        <c:axId val="1757673327"/>
        <c:scaling>
          <c:orientation val="minMax"/>
          <c:max val="1800000"/>
        </c:scaling>
        <c:delete val="0"/>
        <c:axPos val="l"/>
        <c:numFmt formatCode="_(* #\ ##0_);_(* \(#\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accent1"/>
                </a:solidFill>
                <a:latin typeface="Poppins" pitchFamily="2" charset="77"/>
                <a:ea typeface="+mn-ea"/>
                <a:cs typeface="Poppins" pitchFamily="2" charset="77"/>
              </a:defRPr>
            </a:pPr>
            <a:endParaRPr lang="fr-FR"/>
          </a:p>
        </c:txPr>
        <c:crossAx val="20055625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bwMode="auto">
      <a:prstGeom prst="rect">
        <a:avLst/>
      </a:prstGeom>
      <a:ln w="28575"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ln w="9525">
        <a:solidFill>
          <a:schemeClr val="phClr"/>
        </a:solidFill>
      </a:ln>
    </cs:spPr>
  </cs:dataPointMarker>
  <cs:dataPointMarkerLayout/>
  <cs:dataPointWireframe>
    <cs:lnRef idx="0">
      <cs:styleClr val="auto"/>
    </cs:lnRef>
    <cs:fillRef idx="1"/>
    <cs:effectRef idx="0"/>
    <cs:fontRef idx="minor">
      <a:schemeClr val="tx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tx1"/>
    </cs:fontRef>
    <cs:spPr bwMode="auto">
      <a:prstGeom prst="rect">
        <a:avLst/>
      </a:prstGeom>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50000"/>
            <a:lumOff val="50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bwMode="auto">
      <a:prstGeom prst="rect">
        <a:avLst/>
      </a:prstGeom>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spPr bwMode="auto">
      <a:prstGeom prst="rect">
        <a:avLst/>
      </a:prstGeom>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bwMode="auto">
      <a:prstGeom prst="rect">
        <a:avLst/>
      </a:prstGeom>
      <a:ln w="28575"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ln w="9525">
        <a:solidFill>
          <a:schemeClr val="phClr"/>
        </a:solidFill>
      </a:ln>
    </cs:spPr>
  </cs:dataPointMarker>
  <cs:dataPointMarkerLayout/>
  <cs:dataPointWireframe>
    <cs:lnRef idx="0">
      <cs:styleClr val="auto"/>
    </cs:lnRef>
    <cs:fillRef idx="1"/>
    <cs:effectRef idx="0"/>
    <cs:fontRef idx="minor">
      <a:schemeClr val="tx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tx1"/>
    </cs:fontRef>
    <cs:spPr bwMode="auto">
      <a:prstGeom prst="rect">
        <a:avLst/>
      </a:prstGeom>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50000"/>
            <a:lumOff val="50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bwMode="auto">
      <a:prstGeom prst="rect">
        <a:avLst/>
      </a:prstGeom>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spPr bwMode="auto">
      <a:prstGeom prst="rect">
        <a:avLst/>
      </a:prstGeom>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bwMode="auto">
      <a:prstGeom prst="rect">
        <a:avLst/>
      </a:prstGeom>
      <a:solidFill>
        <a:schemeClr val="phClr"/>
      </a:solidFill>
    </cs:spPr>
  </cs:dataPoint>
  <cs:dataPoint3D>
    <cs:lnRef idx="0"/>
    <cs:fillRef idx="1">
      <cs:styleClr val="auto"/>
    </cs:fillRef>
    <cs:effectRef idx="0"/>
    <cs:fontRef idx="minor">
      <a:schemeClr val="tx1"/>
    </cs:fontRef>
    <cs:spPr bwMode="auto">
      <a:prstGeom prst="rect">
        <a:avLst/>
      </a:prstGeom>
      <a:solidFill>
        <a:schemeClr val="phClr"/>
      </a:solidFill>
    </cs:spPr>
  </cs:dataPoint3D>
  <cs:dataPointLine>
    <cs:lnRef idx="0">
      <cs:styleClr val="auto"/>
    </cs:lnRef>
    <cs:fillRef idx="1"/>
    <cs:effectRef idx="0"/>
    <cs:fontRef idx="minor">
      <a:schemeClr val="tx1"/>
    </cs:fontRef>
    <cs:spPr bwMode="auto">
      <a:prstGeom prst="rect">
        <a:avLst/>
      </a:prstGeom>
      <a:ln w="28575"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solidFill>
        <a:schemeClr val="phClr"/>
      </a:solidFill>
      <a:ln w="9525">
        <a:solidFill>
          <a:schemeClr val="phClr"/>
        </a:solidFill>
      </a:ln>
    </cs:spPr>
  </cs:dataPointMarker>
  <cs:dataPointMarkerLayout/>
  <cs:dataPointWireframe>
    <cs:lnRef idx="0">
      <cs:styleClr val="auto"/>
    </cs:lnRef>
    <cs:fillRef idx="1"/>
    <cs:effectRef idx="0"/>
    <cs:fontRef idx="minor">
      <a:schemeClr val="tx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dk1"/>
    </cs:fontRef>
    <cs:spPr bwMode="auto">
      <a:prstGeom prst="rect">
        <a:avLst/>
      </a:prstGeom>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75000"/>
            <a:lumOff val="25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spPr bwMode="auto">
      <a:prstGeom prst="rect">
        <a:avLst/>
      </a:prstGeom>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bwMode="auto">
      <a:prstGeom prst="rect">
        <a:avLst/>
      </a:prstGeom>
      <a:solidFill>
        <a:schemeClr val="phClr"/>
      </a:solidFill>
    </cs:spPr>
  </cs:dataPoint>
  <cs:dataPoint3D>
    <cs:lnRef idx="0"/>
    <cs:fillRef idx="1">
      <cs:styleClr val="auto"/>
    </cs:fillRef>
    <cs:effectRef idx="0"/>
    <cs:fontRef idx="minor">
      <a:schemeClr val="tx1"/>
    </cs:fontRef>
    <cs:spPr bwMode="auto">
      <a:prstGeom prst="rect">
        <a:avLst/>
      </a:prstGeom>
      <a:solidFill>
        <a:schemeClr val="phClr"/>
      </a:solidFill>
    </cs:spPr>
  </cs:dataPoint3D>
  <cs:dataPointLine>
    <cs:lnRef idx="0">
      <cs:styleClr val="auto"/>
    </cs:lnRef>
    <cs:fillRef idx="1"/>
    <cs:effectRef idx="0"/>
    <cs:fontRef idx="minor">
      <a:schemeClr val="tx1"/>
    </cs:fontRef>
    <cs:spPr bwMode="auto">
      <a:prstGeom prst="rect">
        <a:avLst/>
      </a:prstGeom>
      <a:ln w="28575"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solidFill>
        <a:schemeClr val="phClr"/>
      </a:solidFill>
      <a:ln w="9525">
        <a:solidFill>
          <a:schemeClr val="phClr"/>
        </a:solidFill>
      </a:ln>
    </cs:spPr>
  </cs:dataPointMarker>
  <cs:dataPointMarkerLayout/>
  <cs:dataPointWireframe>
    <cs:lnRef idx="0">
      <cs:styleClr val="auto"/>
    </cs:lnRef>
    <cs:fillRef idx="1"/>
    <cs:effectRef idx="0"/>
    <cs:fontRef idx="minor">
      <a:schemeClr val="tx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dk1"/>
    </cs:fontRef>
    <cs:spPr bwMode="auto">
      <a:prstGeom prst="rect">
        <a:avLst/>
      </a:prstGeom>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75000"/>
            <a:lumOff val="25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spPr bwMode="auto">
      <a:prstGeom prst="rect">
        <a:avLst/>
      </a:prstGeom>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3.xml"/><Relationship Id="rId7" Type="http://schemas.openxmlformats.org/officeDocument/2006/relationships/image" Target="../media/image18.sv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7.png"/><Relationship Id="rId11" Type="http://schemas.openxmlformats.org/officeDocument/2006/relationships/chart" Target="../charts/chart9.xml"/><Relationship Id="rId5" Type="http://schemas.openxmlformats.org/officeDocument/2006/relationships/chart" Target="../charts/chart5.xml"/><Relationship Id="rId10" Type="http://schemas.openxmlformats.org/officeDocument/2006/relationships/chart" Target="../charts/chart8.xml"/><Relationship Id="rId4" Type="http://schemas.openxmlformats.org/officeDocument/2006/relationships/chart" Target="../charts/chart4.xml"/><Relationship Id="rId9" Type="http://schemas.openxmlformats.org/officeDocument/2006/relationships/chart" Target="../charts/chart7.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2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media/image23.jpg"/><Relationship Id="rId1" Type="http://schemas.openxmlformats.org/officeDocument/2006/relationships/image" Target="../media/image22.jp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hyperlink" Target="#'9'!A1"/><Relationship Id="rId1" Type="http://schemas.openxmlformats.org/officeDocument/2006/relationships/hyperlink" Target="#'Bilan global'!A1"/></Relationships>
</file>

<file path=xl/drawings/_rels/drawing19.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2" Type="http://schemas.openxmlformats.org/officeDocument/2006/relationships/image" Target="../media/image2.sv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s>
</file>

<file path=xl/drawings/_rels/drawing20.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hyperlink" Target="#'9'!A1"/><Relationship Id="rId1" Type="http://schemas.openxmlformats.org/officeDocument/2006/relationships/hyperlink" Target="#'Bilan global'!A1"/></Relationships>
</file>

<file path=xl/drawings/_rels/drawing21.xml.rels><?xml version="1.0" encoding="UTF-8" standalone="yes"?>
<Relationships xmlns="http://schemas.openxmlformats.org/package/2006/relationships"><Relationship Id="rId2" Type="http://schemas.openxmlformats.org/officeDocument/2006/relationships/hyperlink" Target="#'9'!A1"/><Relationship Id="rId1" Type="http://schemas.openxmlformats.org/officeDocument/2006/relationships/hyperlink" Target="#'Bilan global'!A1"/></Relationships>
</file>

<file path=xl/drawings/_rels/drawing5.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2" Type="http://schemas.openxmlformats.org/officeDocument/2006/relationships/image" Target="../media/image2.sv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s>
</file>

<file path=xl/drawings/_rels/drawing6.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2" Type="http://schemas.openxmlformats.org/officeDocument/2006/relationships/image" Target="../media/image2.sv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19.jpg"/><Relationship Id="rId4"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3" Type="http://schemas.openxmlformats.org/officeDocument/2006/relationships/hyperlink" Target="#'9'!A1"/><Relationship Id="rId2" Type="http://schemas.openxmlformats.org/officeDocument/2006/relationships/hyperlink" Target="#'Bilan global'!A1"/><Relationship Id="rId1" Type="http://schemas.openxmlformats.org/officeDocument/2006/relationships/chart" Target="../charts/chart13.xml"/><Relationship Id="rId4" Type="http://schemas.openxmlformats.org/officeDocument/2006/relationships/image" Target="../media/image20.jpg"/></Relationships>
</file>

<file path=xl/drawings/drawing1.xml><?xml version="1.0" encoding="utf-8"?>
<xdr:wsDr xmlns:xdr="http://schemas.openxmlformats.org/drawingml/2006/spreadsheetDrawing" xmlns:a="http://schemas.openxmlformats.org/drawingml/2006/main">
  <xdr:twoCellAnchor>
    <xdr:from>
      <xdr:col>6</xdr:col>
      <xdr:colOff>1397000</xdr:colOff>
      <xdr:row>55</xdr:row>
      <xdr:rowOff>101600</xdr:rowOff>
    </xdr:from>
    <xdr:to>
      <xdr:col>12</xdr:col>
      <xdr:colOff>654958</xdr:colOff>
      <xdr:row>81</xdr:row>
      <xdr:rowOff>51638</xdr:rowOff>
    </xdr:to>
    <xdr:graphicFrame macro="">
      <xdr:nvGraphicFramePr>
        <xdr:cNvPr id="2" name="Graphique 1">
          <a:extLst>
            <a:ext uri="{FF2B5EF4-FFF2-40B4-BE49-F238E27FC236}">
              <a16:creationId xmlns:a16="http://schemas.microsoft.com/office/drawing/2014/main" id="{0DB4F9C1-8432-ED42-9F7F-2012C7796C8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649588</xdr:colOff>
      <xdr:row>2</xdr:row>
      <xdr:rowOff>283349</xdr:rowOff>
    </xdr:from>
    <xdr:to>
      <xdr:col>9</xdr:col>
      <xdr:colOff>947761</xdr:colOff>
      <xdr:row>14</xdr:row>
      <xdr:rowOff>284328</xdr:rowOff>
    </xdr:to>
    <xdr:graphicFrame macro="">
      <xdr:nvGraphicFramePr>
        <xdr:cNvPr id="4" name="Graphique 3">
          <a:extLst>
            <a:ext uri="{FF2B5EF4-FFF2-40B4-BE49-F238E27FC236}">
              <a16:creationId xmlns:a16="http://schemas.microsoft.com/office/drawing/2014/main" id="{F50BBEA9-C52C-42DF-F1E8-F92AC72AE7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147</xdr:row>
      <xdr:rowOff>0</xdr:rowOff>
    </xdr:from>
    <xdr:to>
      <xdr:col>4</xdr:col>
      <xdr:colOff>0</xdr:colOff>
      <xdr:row>167</xdr:row>
      <xdr:rowOff>0</xdr:rowOff>
    </xdr:to>
    <xdr:graphicFrame macro="">
      <xdr:nvGraphicFramePr>
        <xdr:cNvPr id="6" name="Graphique 5">
          <a:extLst>
            <a:ext uri="{FF2B5EF4-FFF2-40B4-BE49-F238E27FC236}">
              <a16:creationId xmlns:a16="http://schemas.microsoft.com/office/drawing/2014/main" id="{0A8B1173-192D-B545-A31D-A7A9C9992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50392</xdr:colOff>
      <xdr:row>196</xdr:row>
      <xdr:rowOff>116210</xdr:rowOff>
    </xdr:from>
    <xdr:to>
      <xdr:col>10</xdr:col>
      <xdr:colOff>101600</xdr:colOff>
      <xdr:row>217</xdr:row>
      <xdr:rowOff>127000</xdr:rowOff>
    </xdr:to>
    <xdr:graphicFrame macro="">
      <xdr:nvGraphicFramePr>
        <xdr:cNvPr id="8" name="Graphique 7">
          <a:extLst>
            <a:ext uri="{FF2B5EF4-FFF2-40B4-BE49-F238E27FC236}">
              <a16:creationId xmlns:a16="http://schemas.microsoft.com/office/drawing/2014/main" id="{03215F99-F9F5-C867-0D9F-8657F7A4E5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1679678</xdr:colOff>
      <xdr:row>110</xdr:row>
      <xdr:rowOff>204839</xdr:rowOff>
    </xdr:from>
    <xdr:to>
      <xdr:col>12</xdr:col>
      <xdr:colOff>937636</xdr:colOff>
      <xdr:row>136</xdr:row>
      <xdr:rowOff>113909</xdr:rowOff>
    </xdr:to>
    <xdr:graphicFrame macro="">
      <xdr:nvGraphicFramePr>
        <xdr:cNvPr id="9" name="Graphique 8">
          <a:extLst>
            <a:ext uri="{FF2B5EF4-FFF2-40B4-BE49-F238E27FC236}">
              <a16:creationId xmlns:a16="http://schemas.microsoft.com/office/drawing/2014/main" id="{19866267-05B7-D148-AF08-BEDB7958ECA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20320</xdr:colOff>
      <xdr:row>123</xdr:row>
      <xdr:rowOff>175557</xdr:rowOff>
    </xdr:from>
    <xdr:to>
      <xdr:col>11</xdr:col>
      <xdr:colOff>799254</xdr:colOff>
      <xdr:row>126</xdr:row>
      <xdr:rowOff>145452</xdr:rowOff>
    </xdr:to>
    <xdr:pic>
      <xdr:nvPicPr>
        <xdr:cNvPr id="11" name="Graphique 10" descr="Recyclage avec un remplissage uni">
          <a:extLst>
            <a:ext uri="{FF2B5EF4-FFF2-40B4-BE49-F238E27FC236}">
              <a16:creationId xmlns:a16="http://schemas.microsoft.com/office/drawing/2014/main" id="{DA743466-A9A4-96CD-66BF-BA8724E3869E}"/>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26781760" y="34333477"/>
          <a:ext cx="778934" cy="762375"/>
        </a:xfrm>
        <a:prstGeom prst="rect">
          <a:avLst/>
        </a:prstGeom>
      </xdr:spPr>
    </xdr:pic>
    <xdr:clientData/>
  </xdr:twoCellAnchor>
  <xdr:twoCellAnchor>
    <xdr:from>
      <xdr:col>6</xdr:col>
      <xdr:colOff>1548781</xdr:colOff>
      <xdr:row>84</xdr:row>
      <xdr:rowOff>-1</xdr:rowOff>
    </xdr:from>
    <xdr:to>
      <xdr:col>12</xdr:col>
      <xdr:colOff>806739</xdr:colOff>
      <xdr:row>108</xdr:row>
      <xdr:rowOff>166867</xdr:rowOff>
    </xdr:to>
    <xdr:graphicFrame macro="">
      <xdr:nvGraphicFramePr>
        <xdr:cNvPr id="14" name="Graphique 13">
          <a:extLst>
            <a:ext uri="{FF2B5EF4-FFF2-40B4-BE49-F238E27FC236}">
              <a16:creationId xmlns:a16="http://schemas.microsoft.com/office/drawing/2014/main" id="{0CEF0665-51BB-D44B-8DCF-E487026395F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3</xdr:row>
      <xdr:rowOff>0</xdr:rowOff>
    </xdr:from>
    <xdr:to>
      <xdr:col>17</xdr:col>
      <xdr:colOff>242955</xdr:colOff>
      <xdr:row>15</xdr:row>
      <xdr:rowOff>979</xdr:rowOff>
    </xdr:to>
    <xdr:graphicFrame macro="">
      <xdr:nvGraphicFramePr>
        <xdr:cNvPr id="3" name="Graphique 2">
          <a:extLst>
            <a:ext uri="{FF2B5EF4-FFF2-40B4-BE49-F238E27FC236}">
              <a16:creationId xmlns:a16="http://schemas.microsoft.com/office/drawing/2014/main" id="{631A258A-4DDB-334D-971C-BA85500F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1294550</xdr:colOff>
      <xdr:row>115</xdr:row>
      <xdr:rowOff>146889</xdr:rowOff>
    </xdr:from>
    <xdr:to>
      <xdr:col>47</xdr:col>
      <xdr:colOff>838200</xdr:colOff>
      <xdr:row>136</xdr:row>
      <xdr:rowOff>177800</xdr:rowOff>
    </xdr:to>
    <xdr:graphicFrame macro="">
      <xdr:nvGraphicFramePr>
        <xdr:cNvPr id="12" name="Graphique 11">
          <a:extLst>
            <a:ext uri="{FF2B5EF4-FFF2-40B4-BE49-F238E27FC236}">
              <a16:creationId xmlns:a16="http://schemas.microsoft.com/office/drawing/2014/main" id="{35D11A3C-165E-87B3-265C-6CDCF17D41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1371600</xdr:colOff>
      <xdr:row>138</xdr:row>
      <xdr:rowOff>25401</xdr:rowOff>
    </xdr:from>
    <xdr:to>
      <xdr:col>48</xdr:col>
      <xdr:colOff>584200</xdr:colOff>
      <xdr:row>163</xdr:row>
      <xdr:rowOff>177801</xdr:rowOff>
    </xdr:to>
    <xdr:graphicFrame macro="">
      <xdr:nvGraphicFramePr>
        <xdr:cNvPr id="13" name="Graphique 12">
          <a:extLst>
            <a:ext uri="{FF2B5EF4-FFF2-40B4-BE49-F238E27FC236}">
              <a16:creationId xmlns:a16="http://schemas.microsoft.com/office/drawing/2014/main" id="{30DCCD5A-61E4-C44E-BE5E-68ABC2655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30237</xdr:colOff>
      <xdr:row>90</xdr:row>
      <xdr:rowOff>131895</xdr:rowOff>
    </xdr:from>
    <xdr:to>
      <xdr:col>4</xdr:col>
      <xdr:colOff>1804728</xdr:colOff>
      <xdr:row>107</xdr:row>
      <xdr:rowOff>50511</xdr:rowOff>
    </xdr:to>
    <xdr:pic>
      <xdr:nvPicPr>
        <xdr:cNvPr id="2" name="Image 1">
          <a:extLst>
            <a:ext uri="{FF2B5EF4-FFF2-40B4-BE49-F238E27FC236}">
              <a16:creationId xmlns:a16="http://schemas.microsoft.com/office/drawing/2014/main" id="{0191A7E4-33EC-83F0-1756-0BD16F48028B}"/>
            </a:ext>
          </a:extLst>
        </xdr:cNvPr>
        <xdr:cNvPicPr>
          <a:picLocks noChangeAspect="1"/>
        </xdr:cNvPicPr>
      </xdr:nvPicPr>
      <xdr:blipFill rotWithShape="1">
        <a:blip xmlns:r="http://schemas.openxmlformats.org/officeDocument/2006/relationships" r:embed="rId1"/>
        <a:srcRect b="12365"/>
        <a:stretch/>
      </xdr:blipFill>
      <xdr:spPr>
        <a:xfrm>
          <a:off x="695475" y="19665705"/>
          <a:ext cx="7564525" cy="2998351"/>
        </a:xfrm>
        <a:prstGeom prst="rect">
          <a:avLst/>
        </a:prstGeom>
      </xdr:spPr>
    </xdr:pic>
    <xdr:clientData/>
  </xdr:twoCellAnchor>
  <xdr:twoCellAnchor>
    <xdr:from>
      <xdr:col>4</xdr:col>
      <xdr:colOff>58083</xdr:colOff>
      <xdr:row>224</xdr:row>
      <xdr:rowOff>18792</xdr:rowOff>
    </xdr:from>
    <xdr:to>
      <xdr:col>7</xdr:col>
      <xdr:colOff>3186804</xdr:colOff>
      <xdr:row>244</xdr:row>
      <xdr:rowOff>38950</xdr:rowOff>
    </xdr:to>
    <xdr:graphicFrame macro="">
      <xdr:nvGraphicFramePr>
        <xdr:cNvPr id="6" name="Graphique 5">
          <a:extLst>
            <a:ext uri="{FF2B5EF4-FFF2-40B4-BE49-F238E27FC236}">
              <a16:creationId xmlns:a16="http://schemas.microsoft.com/office/drawing/2014/main" id="{A4C39117-387C-DC41-9117-96CD4B811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43051</xdr:colOff>
      <xdr:row>245</xdr:row>
      <xdr:rowOff>64576</xdr:rowOff>
    </xdr:from>
    <xdr:to>
      <xdr:col>7</xdr:col>
      <xdr:colOff>3171772</xdr:colOff>
      <xdr:row>269</xdr:row>
      <xdr:rowOff>20157</xdr:rowOff>
    </xdr:to>
    <xdr:graphicFrame macro="">
      <xdr:nvGraphicFramePr>
        <xdr:cNvPr id="8" name="Graphique 7">
          <a:extLst>
            <a:ext uri="{FF2B5EF4-FFF2-40B4-BE49-F238E27FC236}">
              <a16:creationId xmlns:a16="http://schemas.microsoft.com/office/drawing/2014/main" id="{7906612E-C277-EE41-9D84-1C4D25AE2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30976</xdr:colOff>
      <xdr:row>18</xdr:row>
      <xdr:rowOff>43370</xdr:rowOff>
    </xdr:from>
    <xdr:to>
      <xdr:col>23</xdr:col>
      <xdr:colOff>533400</xdr:colOff>
      <xdr:row>28</xdr:row>
      <xdr:rowOff>228600</xdr:rowOff>
    </xdr:to>
    <xdr:graphicFrame macro="">
      <xdr:nvGraphicFramePr>
        <xdr:cNvPr id="8" name="Graphique 7">
          <a:extLst>
            <a:ext uri="{FF2B5EF4-FFF2-40B4-BE49-F238E27FC236}">
              <a16:creationId xmlns:a16="http://schemas.microsoft.com/office/drawing/2014/main" id="{D7A09486-D487-D74F-ADB6-6B8B716FA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261829</xdr:colOff>
      <xdr:row>29</xdr:row>
      <xdr:rowOff>225502</xdr:rowOff>
    </xdr:from>
    <xdr:to>
      <xdr:col>16</xdr:col>
      <xdr:colOff>618067</xdr:colOff>
      <xdr:row>166</xdr:row>
      <xdr:rowOff>220133</xdr:rowOff>
    </xdr:to>
    <xdr:graphicFrame macro="">
      <xdr:nvGraphicFramePr>
        <xdr:cNvPr id="9" name="Graphique 8">
          <a:extLst>
            <a:ext uri="{FF2B5EF4-FFF2-40B4-BE49-F238E27FC236}">
              <a16:creationId xmlns:a16="http://schemas.microsoft.com/office/drawing/2014/main" id="{B419FD5F-39FE-904D-A5FA-F4969C230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25319</xdr:colOff>
      <xdr:row>192</xdr:row>
      <xdr:rowOff>17071</xdr:rowOff>
    </xdr:from>
    <xdr:to>
      <xdr:col>4</xdr:col>
      <xdr:colOff>2305690</xdr:colOff>
      <xdr:row>219</xdr:row>
      <xdr:rowOff>136721</xdr:rowOff>
    </xdr:to>
    <xdr:pic>
      <xdr:nvPicPr>
        <xdr:cNvPr id="2" name="Image 1">
          <a:extLst>
            <a:ext uri="{FF2B5EF4-FFF2-40B4-BE49-F238E27FC236}">
              <a16:creationId xmlns:a16="http://schemas.microsoft.com/office/drawing/2014/main" id="{7910E977-E61F-98A5-424D-4E457B4D0354}"/>
            </a:ext>
          </a:extLst>
        </xdr:cNvPr>
        <xdr:cNvPicPr>
          <a:picLocks noChangeAspect="1"/>
        </xdr:cNvPicPr>
      </xdr:nvPicPr>
      <xdr:blipFill rotWithShape="1">
        <a:blip xmlns:r="http://schemas.openxmlformats.org/officeDocument/2006/relationships" r:embed="rId1"/>
        <a:srcRect l="213" t="1189" r="712" b="2949"/>
        <a:stretch/>
      </xdr:blipFill>
      <xdr:spPr>
        <a:xfrm>
          <a:off x="932462" y="33241178"/>
          <a:ext cx="11465192" cy="5063580"/>
        </a:xfrm>
        <a:prstGeom prst="rect">
          <a:avLst/>
        </a:prstGeom>
      </xdr:spPr>
    </xdr:pic>
    <xdr:clientData/>
  </xdr:twoCellAnchor>
  <xdr:twoCellAnchor editAs="oneCell">
    <xdr:from>
      <xdr:col>5</xdr:col>
      <xdr:colOff>66084</xdr:colOff>
      <xdr:row>192</xdr:row>
      <xdr:rowOff>10127</xdr:rowOff>
    </xdr:from>
    <xdr:to>
      <xdr:col>8</xdr:col>
      <xdr:colOff>3174638</xdr:colOff>
      <xdr:row>223</xdr:row>
      <xdr:rowOff>57903</xdr:rowOff>
    </xdr:to>
    <xdr:pic>
      <xdr:nvPicPr>
        <xdr:cNvPr id="4" name="Image 3">
          <a:extLst>
            <a:ext uri="{FF2B5EF4-FFF2-40B4-BE49-F238E27FC236}">
              <a16:creationId xmlns:a16="http://schemas.microsoft.com/office/drawing/2014/main" id="{640D787F-7D71-FA00-953D-A55477AE992D}"/>
            </a:ext>
          </a:extLst>
        </xdr:cNvPr>
        <xdr:cNvPicPr>
          <a:picLocks noChangeAspect="1"/>
        </xdr:cNvPicPr>
      </xdr:nvPicPr>
      <xdr:blipFill>
        <a:blip xmlns:r="http://schemas.openxmlformats.org/officeDocument/2006/relationships" r:embed="rId2"/>
        <a:stretch>
          <a:fillRect/>
        </a:stretch>
      </xdr:blipFill>
      <xdr:spPr>
        <a:xfrm>
          <a:off x="12947513" y="33234234"/>
          <a:ext cx="11544982" cy="5717420"/>
        </a:xfrm>
        <a:prstGeom prst="rect">
          <a:avLst/>
        </a:prstGeom>
      </xdr:spPr>
    </xdr:pic>
    <xdr:clientData/>
  </xdr:twoCellAnchor>
  <xdr:twoCellAnchor>
    <xdr:from>
      <xdr:col>1</xdr:col>
      <xdr:colOff>38552</xdr:colOff>
      <xdr:row>582</xdr:row>
      <xdr:rowOff>23131</xdr:rowOff>
    </xdr:from>
    <xdr:to>
      <xdr:col>4</xdr:col>
      <xdr:colOff>0</xdr:colOff>
      <xdr:row>599</xdr:row>
      <xdr:rowOff>25400</xdr:rowOff>
    </xdr:to>
    <xdr:graphicFrame macro="">
      <xdr:nvGraphicFramePr>
        <xdr:cNvPr id="3" name="Graphique 2">
          <a:extLst>
            <a:ext uri="{FF2B5EF4-FFF2-40B4-BE49-F238E27FC236}">
              <a16:creationId xmlns:a16="http://schemas.microsoft.com/office/drawing/2014/main" id="{1CA56C6A-B19F-984B-9952-8ED1217CEC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614</xdr:row>
      <xdr:rowOff>0</xdr:rowOff>
    </xdr:from>
    <xdr:to>
      <xdr:col>3</xdr:col>
      <xdr:colOff>2841627</xdr:colOff>
      <xdr:row>634</xdr:row>
      <xdr:rowOff>44904</xdr:rowOff>
    </xdr:to>
    <xdr:graphicFrame macro="">
      <xdr:nvGraphicFramePr>
        <xdr:cNvPr id="5" name="Graphique 4">
          <a:extLst>
            <a:ext uri="{FF2B5EF4-FFF2-40B4-BE49-F238E27FC236}">
              <a16:creationId xmlns:a16="http://schemas.microsoft.com/office/drawing/2014/main" id="{44EB35AB-1BC1-7C44-90B0-E54F97A93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1033066</xdr:colOff>
      <xdr:row>639</xdr:row>
      <xdr:rowOff>90917</xdr:rowOff>
    </xdr:from>
    <xdr:to>
      <xdr:col>5</xdr:col>
      <xdr:colOff>182880</xdr:colOff>
      <xdr:row>650</xdr:row>
      <xdr:rowOff>121920</xdr:rowOff>
    </xdr:to>
    <xdr:graphicFrame macro="">
      <xdr:nvGraphicFramePr>
        <xdr:cNvPr id="6" name="Graphique 5">
          <a:extLst>
            <a:ext uri="{FF2B5EF4-FFF2-40B4-BE49-F238E27FC236}">
              <a16:creationId xmlns:a16="http://schemas.microsoft.com/office/drawing/2014/main" id="{0826ED91-4391-31FB-1460-3379D38B50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63500</xdr:colOff>
      <xdr:row>673</xdr:row>
      <xdr:rowOff>107336</xdr:rowOff>
    </xdr:from>
    <xdr:to>
      <xdr:col>4</xdr:col>
      <xdr:colOff>2133600</xdr:colOff>
      <xdr:row>700</xdr:row>
      <xdr:rowOff>132736</xdr:rowOff>
    </xdr:to>
    <xdr:graphicFrame macro="">
      <xdr:nvGraphicFramePr>
        <xdr:cNvPr id="14" name="Graphique 13">
          <a:extLst>
            <a:ext uri="{FF2B5EF4-FFF2-40B4-BE49-F238E27FC236}">
              <a16:creationId xmlns:a16="http://schemas.microsoft.com/office/drawing/2014/main" id="{CEE77D9A-479D-D0BB-6E31-9CBB6ED108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84736</xdr:colOff>
      <xdr:row>707</xdr:row>
      <xdr:rowOff>139909</xdr:rowOff>
    </xdr:from>
    <xdr:to>
      <xdr:col>3</xdr:col>
      <xdr:colOff>1184015</xdr:colOff>
      <xdr:row>723</xdr:row>
      <xdr:rowOff>32479</xdr:rowOff>
    </xdr:to>
    <xdr:graphicFrame macro="">
      <xdr:nvGraphicFramePr>
        <xdr:cNvPr id="7" name="Graphique 6">
          <a:extLst>
            <a:ext uri="{FF2B5EF4-FFF2-40B4-BE49-F238E27FC236}">
              <a16:creationId xmlns:a16="http://schemas.microsoft.com/office/drawing/2014/main" id="{47C59418-B46C-B177-1EDA-9502C369E6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0.29592</cdr:x>
      <cdr:y>0.7423</cdr:y>
    </cdr:from>
    <cdr:to>
      <cdr:x>0.45809</cdr:x>
      <cdr:y>0.7914</cdr:y>
    </cdr:to>
    <cdr:sp macro="" textlink="">
      <cdr:nvSpPr>
        <cdr:cNvPr id="2" name="Flèche vers la droite 1">
          <a:extLst xmlns:a="http://schemas.openxmlformats.org/drawingml/2006/main">
            <a:ext uri="{FF2B5EF4-FFF2-40B4-BE49-F238E27FC236}">
              <a16:creationId xmlns:a16="http://schemas.microsoft.com/office/drawing/2014/main" id="{F37B29AB-8624-2B09-4BFE-E24F1719423A}"/>
            </a:ext>
          </a:extLst>
        </cdr:cNvPr>
        <cdr:cNvSpPr/>
      </cdr:nvSpPr>
      <cdr:spPr>
        <a:xfrm xmlns:a="http://schemas.openxmlformats.org/drawingml/2006/main" rot="20778493">
          <a:off x="2136976" y="2029564"/>
          <a:ext cx="1171104" cy="134241"/>
        </a:xfrm>
        <a:prstGeom xmlns:a="http://schemas.openxmlformats.org/drawingml/2006/main" prst="rightArrow">
          <a:avLst/>
        </a:prstGeom>
        <a:solidFill xmlns:a="http://schemas.openxmlformats.org/drawingml/2006/main">
          <a:schemeClr val="accent2"/>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kern="1200"/>
        </a:p>
      </cdr:txBody>
    </cdr:sp>
  </cdr:relSizeAnchor>
  <cdr:relSizeAnchor xmlns:cdr="http://schemas.openxmlformats.org/drawingml/2006/chartDrawing">
    <cdr:from>
      <cdr:x>0.33812</cdr:x>
      <cdr:y>0.65672</cdr:y>
    </cdr:from>
    <cdr:to>
      <cdr:x>0.40375</cdr:x>
      <cdr:y>0.75556</cdr:y>
    </cdr:to>
    <cdr:sp macro="" textlink="">
      <cdr:nvSpPr>
        <cdr:cNvPr id="3" name="ZoneTexte 24">
          <a:extLst xmlns:a="http://schemas.openxmlformats.org/drawingml/2006/main">
            <a:ext uri="{FF2B5EF4-FFF2-40B4-BE49-F238E27FC236}">
              <a16:creationId xmlns:a16="http://schemas.microsoft.com/office/drawing/2014/main" id="{912859CD-40C1-A25F-D9FF-286E84D5E141}"/>
            </a:ext>
          </a:extLst>
        </cdr:cNvPr>
        <cdr:cNvSpPr txBox="1"/>
      </cdr:nvSpPr>
      <cdr:spPr>
        <a:xfrm xmlns:a="http://schemas.openxmlformats.org/drawingml/2006/main">
          <a:off x="2441258" y="1835805"/>
          <a:ext cx="473843" cy="27631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100" b="1" kern="1200">
              <a:solidFill>
                <a:schemeClr val="accent2"/>
              </a:solidFill>
            </a:rPr>
            <a:t>x 3 </a:t>
          </a:r>
        </a:p>
      </cdr:txBody>
    </cdr:sp>
  </cdr:relSizeAnchor>
  <cdr:relSizeAnchor xmlns:cdr="http://schemas.openxmlformats.org/drawingml/2006/chartDrawing">
    <cdr:from>
      <cdr:x>0.56731</cdr:x>
      <cdr:y>0.45511</cdr:y>
    </cdr:from>
    <cdr:to>
      <cdr:x>0.7843</cdr:x>
      <cdr:y>0.50534</cdr:y>
    </cdr:to>
    <cdr:sp macro="" textlink="">
      <cdr:nvSpPr>
        <cdr:cNvPr id="4" name="Flèche vers la droite 3">
          <a:extLst xmlns:a="http://schemas.openxmlformats.org/drawingml/2006/main">
            <a:ext uri="{FF2B5EF4-FFF2-40B4-BE49-F238E27FC236}">
              <a16:creationId xmlns:a16="http://schemas.microsoft.com/office/drawing/2014/main" id="{BD7023FD-6D37-E0DD-EF0F-E83DBF8926AB}"/>
            </a:ext>
          </a:extLst>
        </cdr:cNvPr>
        <cdr:cNvSpPr/>
      </cdr:nvSpPr>
      <cdr:spPr>
        <a:xfrm xmlns:a="http://schemas.openxmlformats.org/drawingml/2006/main" rot="18997821">
          <a:off x="4095282" y="1252668"/>
          <a:ext cx="1566449" cy="138246"/>
        </a:xfrm>
        <a:prstGeom xmlns:a="http://schemas.openxmlformats.org/drawingml/2006/main" prst="rightArrow">
          <a:avLst/>
        </a:prstGeom>
        <a:solidFill xmlns:a="http://schemas.openxmlformats.org/drawingml/2006/main">
          <a:schemeClr val="accent2"/>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kern="1200"/>
        </a:p>
      </cdr:txBody>
    </cdr:sp>
  </cdr:relSizeAnchor>
  <cdr:relSizeAnchor xmlns:cdr="http://schemas.openxmlformats.org/drawingml/2006/chartDrawing">
    <cdr:from>
      <cdr:x>0.61673</cdr:x>
      <cdr:y>0.38709</cdr:y>
    </cdr:from>
    <cdr:to>
      <cdr:x>0.68235</cdr:x>
      <cdr:y>0.48594</cdr:y>
    </cdr:to>
    <cdr:sp macro="" textlink="">
      <cdr:nvSpPr>
        <cdr:cNvPr id="5" name="ZoneTexte 24">
          <a:extLst xmlns:a="http://schemas.openxmlformats.org/drawingml/2006/main">
            <a:ext uri="{FF2B5EF4-FFF2-40B4-BE49-F238E27FC236}">
              <a16:creationId xmlns:a16="http://schemas.microsoft.com/office/drawing/2014/main" id="{68C160C9-2B8B-5D39-2C3F-6A1B713B3893}"/>
            </a:ext>
          </a:extLst>
        </cdr:cNvPr>
        <cdr:cNvSpPr txBox="1"/>
      </cdr:nvSpPr>
      <cdr:spPr>
        <a:xfrm xmlns:a="http://schemas.openxmlformats.org/drawingml/2006/main">
          <a:off x="4452830" y="1082078"/>
          <a:ext cx="473843" cy="27631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100" b="1" kern="1200">
              <a:solidFill>
                <a:schemeClr val="accent2"/>
              </a:solidFill>
            </a:rPr>
            <a:t>x 3 </a:t>
          </a: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2540000</xdr:colOff>
      <xdr:row>166</xdr:row>
      <xdr:rowOff>25400</xdr:rowOff>
    </xdr:from>
    <xdr:to>
      <xdr:col>9</xdr:col>
      <xdr:colOff>22091</xdr:colOff>
      <xdr:row>184</xdr:row>
      <xdr:rowOff>93135</xdr:rowOff>
    </xdr:to>
    <xdr:graphicFrame macro="">
      <xdr:nvGraphicFramePr>
        <xdr:cNvPr id="3" name="Graphique 2">
          <a:extLst>
            <a:ext uri="{FF2B5EF4-FFF2-40B4-BE49-F238E27FC236}">
              <a16:creationId xmlns:a16="http://schemas.microsoft.com/office/drawing/2014/main" id="{0F26FC51-F67A-C743-BB10-91BC10429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119610</xdr:colOff>
      <xdr:row>138</xdr:row>
      <xdr:rowOff>332688</xdr:rowOff>
    </xdr:from>
    <xdr:to>
      <xdr:col>15</xdr:col>
      <xdr:colOff>444500</xdr:colOff>
      <xdr:row>146</xdr:row>
      <xdr:rowOff>152400</xdr:rowOff>
    </xdr:to>
    <xdr:graphicFrame macro="">
      <xdr:nvGraphicFramePr>
        <xdr:cNvPr id="5" name="Graphique 4">
          <a:extLst>
            <a:ext uri="{FF2B5EF4-FFF2-40B4-BE49-F238E27FC236}">
              <a16:creationId xmlns:a16="http://schemas.microsoft.com/office/drawing/2014/main" id="{20ED3328-F8F9-E8CD-605D-26510FBB3E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147</xdr:row>
      <xdr:rowOff>0</xdr:rowOff>
    </xdr:from>
    <xdr:to>
      <xdr:col>15</xdr:col>
      <xdr:colOff>324890</xdr:colOff>
      <xdr:row>154</xdr:row>
      <xdr:rowOff>174130</xdr:rowOff>
    </xdr:to>
    <xdr:graphicFrame macro="">
      <xdr:nvGraphicFramePr>
        <xdr:cNvPr id="6" name="Graphique 5">
          <a:extLst>
            <a:ext uri="{FF2B5EF4-FFF2-40B4-BE49-F238E27FC236}">
              <a16:creationId xmlns:a16="http://schemas.microsoft.com/office/drawing/2014/main" id="{0C7565DC-E435-2045-AC66-1E30AF8A2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156</xdr:row>
      <xdr:rowOff>0</xdr:rowOff>
    </xdr:from>
    <xdr:to>
      <xdr:col>15</xdr:col>
      <xdr:colOff>324890</xdr:colOff>
      <xdr:row>165</xdr:row>
      <xdr:rowOff>72530</xdr:rowOff>
    </xdr:to>
    <xdr:graphicFrame macro="">
      <xdr:nvGraphicFramePr>
        <xdr:cNvPr id="7" name="Graphique 6">
          <a:extLst>
            <a:ext uri="{FF2B5EF4-FFF2-40B4-BE49-F238E27FC236}">
              <a16:creationId xmlns:a16="http://schemas.microsoft.com/office/drawing/2014/main" id="{FB5B3158-EFF3-0F46-A84A-DCB6AA3EE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24482</xdr:colOff>
      <xdr:row>182</xdr:row>
      <xdr:rowOff>36111</xdr:rowOff>
    </xdr:from>
    <xdr:to>
      <xdr:col>4</xdr:col>
      <xdr:colOff>45903</xdr:colOff>
      <xdr:row>202</xdr:row>
      <xdr:rowOff>122410</xdr:rowOff>
    </xdr:to>
    <xdr:graphicFrame macro="">
      <xdr:nvGraphicFramePr>
        <xdr:cNvPr id="6" name="Graphique 5">
          <a:extLst>
            <a:ext uri="{FF2B5EF4-FFF2-40B4-BE49-F238E27FC236}">
              <a16:creationId xmlns:a16="http://schemas.microsoft.com/office/drawing/2014/main" id="{C3C954AA-AD5C-483E-A865-4CB8D04B12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42438</xdr:colOff>
      <xdr:row>181</xdr:row>
      <xdr:rowOff>223991</xdr:rowOff>
    </xdr:from>
    <xdr:to>
      <xdr:col>9</xdr:col>
      <xdr:colOff>568657</xdr:colOff>
      <xdr:row>206</xdr:row>
      <xdr:rowOff>113731</xdr:rowOff>
    </xdr:to>
    <xdr:graphicFrame macro="">
      <xdr:nvGraphicFramePr>
        <xdr:cNvPr id="9" name="Graphique 8">
          <a:extLst>
            <a:ext uri="{FF2B5EF4-FFF2-40B4-BE49-F238E27FC236}">
              <a16:creationId xmlns:a16="http://schemas.microsoft.com/office/drawing/2014/main" id="{705A5C7E-7A3C-7F85-D2CD-C763A83DDD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809625</xdr:colOff>
      <xdr:row>163</xdr:row>
      <xdr:rowOff>0</xdr:rowOff>
    </xdr:from>
    <xdr:to>
      <xdr:col>3</xdr:col>
      <xdr:colOff>603250</xdr:colOff>
      <xdr:row>163</xdr:row>
      <xdr:rowOff>0</xdr:rowOff>
    </xdr:to>
    <xdr:graphicFrame macro="">
      <xdr:nvGraphicFramePr>
        <xdr:cNvPr id="3" name="Graphique 2">
          <a:extLst>
            <a:ext uri="{FF2B5EF4-FFF2-40B4-BE49-F238E27FC236}">
              <a16:creationId xmlns:a16="http://schemas.microsoft.com/office/drawing/2014/main" id="{0E9CE88B-5C3A-7F46-8DC4-034D72E9B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809625</xdr:colOff>
      <xdr:row>163</xdr:row>
      <xdr:rowOff>0</xdr:rowOff>
    </xdr:from>
    <xdr:to>
      <xdr:col>3</xdr:col>
      <xdr:colOff>603250</xdr:colOff>
      <xdr:row>163</xdr:row>
      <xdr:rowOff>0</xdr:rowOff>
    </xdr:to>
    <xdr:graphicFrame macro="">
      <xdr:nvGraphicFramePr>
        <xdr:cNvPr id="5" name="Graphique 4">
          <a:extLst>
            <a:ext uri="{FF2B5EF4-FFF2-40B4-BE49-F238E27FC236}">
              <a16:creationId xmlns:a16="http://schemas.microsoft.com/office/drawing/2014/main" id="{5860F9FF-399C-8B43-86B2-8A9C1D07D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1438206</xdr:colOff>
      <xdr:row>208</xdr:row>
      <xdr:rowOff>6137</xdr:rowOff>
    </xdr:from>
    <xdr:to>
      <xdr:col>13</xdr:col>
      <xdr:colOff>2711622</xdr:colOff>
      <xdr:row>232</xdr:row>
      <xdr:rowOff>68650</xdr:rowOff>
    </xdr:to>
    <xdr:graphicFrame macro="">
      <xdr:nvGraphicFramePr>
        <xdr:cNvPr id="10" name="Graphique 9">
          <a:extLst>
            <a:ext uri="{FF2B5EF4-FFF2-40B4-BE49-F238E27FC236}">
              <a16:creationId xmlns:a16="http://schemas.microsoft.com/office/drawing/2014/main" id="{F44C010D-7F2F-29F7-499C-33ED5C5613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406396</xdr:colOff>
      <xdr:row>233</xdr:row>
      <xdr:rowOff>33864</xdr:rowOff>
    </xdr:from>
    <xdr:to>
      <xdr:col>5</xdr:col>
      <xdr:colOff>276087</xdr:colOff>
      <xdr:row>253</xdr:row>
      <xdr:rowOff>25399</xdr:rowOff>
    </xdr:to>
    <xdr:graphicFrame macro="">
      <xdr:nvGraphicFramePr>
        <xdr:cNvPr id="15" name="Graphique 14">
          <a:extLst>
            <a:ext uri="{FF2B5EF4-FFF2-40B4-BE49-F238E27FC236}">
              <a16:creationId xmlns:a16="http://schemas.microsoft.com/office/drawing/2014/main" id="{C8EF0059-E28D-41AC-95FC-59958CA0B7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95368</xdr:colOff>
      <xdr:row>162</xdr:row>
      <xdr:rowOff>51596</xdr:rowOff>
    </xdr:from>
    <xdr:to>
      <xdr:col>2</xdr:col>
      <xdr:colOff>1892105</xdr:colOff>
      <xdr:row>181</xdr:row>
      <xdr:rowOff>94776</xdr:rowOff>
    </xdr:to>
    <xdr:graphicFrame macro="">
      <xdr:nvGraphicFramePr>
        <xdr:cNvPr id="6" name="Graphique 5">
          <a:extLst>
            <a:ext uri="{FF2B5EF4-FFF2-40B4-BE49-F238E27FC236}">
              <a16:creationId xmlns:a16="http://schemas.microsoft.com/office/drawing/2014/main" id="{8615C125-7165-F052-A59E-952F84966D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758877</xdr:colOff>
      <xdr:row>244</xdr:row>
      <xdr:rowOff>101600</xdr:rowOff>
    </xdr:from>
    <xdr:to>
      <xdr:col>14</xdr:col>
      <xdr:colOff>713282</xdr:colOff>
      <xdr:row>259</xdr:row>
      <xdr:rowOff>50799</xdr:rowOff>
    </xdr:to>
    <xdr:graphicFrame macro="">
      <xdr:nvGraphicFramePr>
        <xdr:cNvPr id="2" name="Graphique 1">
          <a:extLst>
            <a:ext uri="{FF2B5EF4-FFF2-40B4-BE49-F238E27FC236}">
              <a16:creationId xmlns:a16="http://schemas.microsoft.com/office/drawing/2014/main" id="{5783D433-DA5F-EE7A-81F8-FE9297D777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5973</xdr:colOff>
      <xdr:row>243</xdr:row>
      <xdr:rowOff>138990</xdr:rowOff>
    </xdr:from>
    <xdr:to>
      <xdr:col>3</xdr:col>
      <xdr:colOff>2121267</xdr:colOff>
      <xdr:row>260</xdr:row>
      <xdr:rowOff>170437</xdr:rowOff>
    </xdr:to>
    <xdr:graphicFrame macro="">
      <xdr:nvGraphicFramePr>
        <xdr:cNvPr id="8" name="Graphique 7">
          <a:extLst>
            <a:ext uri="{FF2B5EF4-FFF2-40B4-BE49-F238E27FC236}">
              <a16:creationId xmlns:a16="http://schemas.microsoft.com/office/drawing/2014/main" id="{22015CD5-7D08-BD18-47C1-593C6524CC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244</xdr:row>
      <xdr:rowOff>0</xdr:rowOff>
    </xdr:from>
    <xdr:to>
      <xdr:col>8</xdr:col>
      <xdr:colOff>1527682</xdr:colOff>
      <xdr:row>261</xdr:row>
      <xdr:rowOff>36812</xdr:rowOff>
    </xdr:to>
    <xdr:graphicFrame macro="">
      <xdr:nvGraphicFramePr>
        <xdr:cNvPr id="11" name="Graphique 10">
          <a:extLst>
            <a:ext uri="{FF2B5EF4-FFF2-40B4-BE49-F238E27FC236}">
              <a16:creationId xmlns:a16="http://schemas.microsoft.com/office/drawing/2014/main" id="{2A744290-C189-A742-88C8-799EFBCC5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63499</xdr:colOff>
      <xdr:row>273</xdr:row>
      <xdr:rowOff>101599</xdr:rowOff>
    </xdr:from>
    <xdr:to>
      <xdr:col>2</xdr:col>
      <xdr:colOff>2462924</xdr:colOff>
      <xdr:row>289</xdr:row>
      <xdr:rowOff>163347</xdr:rowOff>
    </xdr:to>
    <xdr:graphicFrame macro="">
      <xdr:nvGraphicFramePr>
        <xdr:cNvPr id="13" name="Graphique 12">
          <a:extLst>
            <a:ext uri="{FF2B5EF4-FFF2-40B4-BE49-F238E27FC236}">
              <a16:creationId xmlns:a16="http://schemas.microsoft.com/office/drawing/2014/main" id="{F393C72A-A424-9483-1AAF-1D8ECCECCB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685800</xdr:colOff>
      <xdr:row>273</xdr:row>
      <xdr:rowOff>127000</xdr:rowOff>
    </xdr:from>
    <xdr:to>
      <xdr:col>6</xdr:col>
      <xdr:colOff>164225</xdr:colOff>
      <xdr:row>290</xdr:row>
      <xdr:rowOff>10948</xdr:rowOff>
    </xdr:to>
    <xdr:graphicFrame macro="">
      <xdr:nvGraphicFramePr>
        <xdr:cNvPr id="16" name="Graphique 15">
          <a:extLst>
            <a:ext uri="{FF2B5EF4-FFF2-40B4-BE49-F238E27FC236}">
              <a16:creationId xmlns:a16="http://schemas.microsoft.com/office/drawing/2014/main" id="{3189C340-E92E-3F48-821C-9814D1018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237065</xdr:colOff>
      <xdr:row>295</xdr:row>
      <xdr:rowOff>33866</xdr:rowOff>
    </xdr:from>
    <xdr:to>
      <xdr:col>6</xdr:col>
      <xdr:colOff>1761065</xdr:colOff>
      <xdr:row>310</xdr:row>
      <xdr:rowOff>-1</xdr:rowOff>
    </xdr:to>
    <xdr:graphicFrame macro="">
      <xdr:nvGraphicFramePr>
        <xdr:cNvPr id="3" name="Graphique 2">
          <a:extLst>
            <a:ext uri="{FF2B5EF4-FFF2-40B4-BE49-F238E27FC236}">
              <a16:creationId xmlns:a16="http://schemas.microsoft.com/office/drawing/2014/main" id="{129C4724-FD95-9440-2DE8-9759BCC7EB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163</xdr:row>
      <xdr:rowOff>0</xdr:rowOff>
    </xdr:from>
    <xdr:to>
      <xdr:col>5</xdr:col>
      <xdr:colOff>831537</xdr:colOff>
      <xdr:row>182</xdr:row>
      <xdr:rowOff>43180</xdr:rowOff>
    </xdr:to>
    <xdr:graphicFrame macro="">
      <xdr:nvGraphicFramePr>
        <xdr:cNvPr id="4" name="Graphique 3">
          <a:extLst>
            <a:ext uri="{FF2B5EF4-FFF2-40B4-BE49-F238E27FC236}">
              <a16:creationId xmlns:a16="http://schemas.microsoft.com/office/drawing/2014/main" id="{A8076B04-83B5-FB47-B734-3EF424650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60960</xdr:rowOff>
    </xdr:from>
    <xdr:to>
      <xdr:col>1</xdr:col>
      <xdr:colOff>0</xdr:colOff>
      <xdr:row>1</xdr:row>
      <xdr:rowOff>106680</xdr:rowOff>
    </xdr:to>
    <xdr:sp macro="" textlink="">
      <xdr:nvSpPr>
        <xdr:cNvPr id="2" name="Flèche gauche 1">
          <a:hlinkClick xmlns:r="http://schemas.openxmlformats.org/officeDocument/2006/relationships" r:id="rId1"/>
          <a:extLst>
            <a:ext uri="{FF2B5EF4-FFF2-40B4-BE49-F238E27FC236}">
              <a16:creationId xmlns:a16="http://schemas.microsoft.com/office/drawing/2014/main" id="{92858F50-3A2B-A54D-862C-1446AAB0BD8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 name="Flèche gauche 1">
          <a:hlinkClick xmlns:r="http://schemas.openxmlformats.org/officeDocument/2006/relationships" r:id="rId1"/>
          <a:extLst>
            <a:ext uri="{FF2B5EF4-FFF2-40B4-BE49-F238E27FC236}">
              <a16:creationId xmlns:a16="http://schemas.microsoft.com/office/drawing/2014/main" id="{BF5E709E-6EAC-9945-94B2-983033BA2D7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 name="Flèche gauche 1">
          <a:hlinkClick xmlns:r="http://schemas.openxmlformats.org/officeDocument/2006/relationships" r:id="rId1"/>
          <a:extLst>
            <a:ext uri="{FF2B5EF4-FFF2-40B4-BE49-F238E27FC236}">
              <a16:creationId xmlns:a16="http://schemas.microsoft.com/office/drawing/2014/main" id="{231D25B2-652C-B947-8540-954B55E38C7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 name="Flèche gauche 1">
          <a:hlinkClick xmlns:r="http://schemas.openxmlformats.org/officeDocument/2006/relationships" r:id="rId2"/>
          <a:extLst>
            <a:ext uri="{FF2B5EF4-FFF2-40B4-BE49-F238E27FC236}">
              <a16:creationId xmlns:a16="http://schemas.microsoft.com/office/drawing/2014/main" id="{FEF393CF-91DC-3346-9717-E617261DF06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 name="Flèche gauche 1">
          <a:hlinkClick xmlns:r="http://schemas.openxmlformats.org/officeDocument/2006/relationships" r:id="rId1"/>
          <a:extLst>
            <a:ext uri="{FF2B5EF4-FFF2-40B4-BE49-F238E27FC236}">
              <a16:creationId xmlns:a16="http://schemas.microsoft.com/office/drawing/2014/main" id="{9B032D1C-185A-914D-AE5A-5B8FA2650D7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 name="Flèche gauche 1">
          <a:hlinkClick xmlns:r="http://schemas.openxmlformats.org/officeDocument/2006/relationships" r:id="rId1"/>
          <a:extLst>
            <a:ext uri="{FF2B5EF4-FFF2-40B4-BE49-F238E27FC236}">
              <a16:creationId xmlns:a16="http://schemas.microsoft.com/office/drawing/2014/main" id="{279570D8-B3E8-2444-916C-5951AD74675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 name="Flèche gauche 1">
          <a:hlinkClick xmlns:r="http://schemas.openxmlformats.org/officeDocument/2006/relationships" r:id="rId1"/>
          <a:extLst>
            <a:ext uri="{FF2B5EF4-FFF2-40B4-BE49-F238E27FC236}">
              <a16:creationId xmlns:a16="http://schemas.microsoft.com/office/drawing/2014/main" id="{52041943-4528-B14C-87B9-0FF4C6B1457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 name="Flèche gauche 1">
          <a:hlinkClick xmlns:r="http://schemas.openxmlformats.org/officeDocument/2006/relationships" r:id="rId2"/>
          <a:extLst>
            <a:ext uri="{FF2B5EF4-FFF2-40B4-BE49-F238E27FC236}">
              <a16:creationId xmlns:a16="http://schemas.microsoft.com/office/drawing/2014/main" id="{9B2D22F0-A6EC-9A4D-B2D9-29CC7922FAA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 name="Flèche gauche 1">
          <a:hlinkClick xmlns:r="http://schemas.openxmlformats.org/officeDocument/2006/relationships" r:id="rId1"/>
          <a:extLst>
            <a:ext uri="{FF2B5EF4-FFF2-40B4-BE49-F238E27FC236}">
              <a16:creationId xmlns:a16="http://schemas.microsoft.com/office/drawing/2014/main" id="{4576A314-7476-9F47-A727-AC4698AEB58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 name="Flèche gauche 1">
          <a:hlinkClick xmlns:r="http://schemas.openxmlformats.org/officeDocument/2006/relationships" r:id="rId1"/>
          <a:extLst>
            <a:ext uri="{FF2B5EF4-FFF2-40B4-BE49-F238E27FC236}">
              <a16:creationId xmlns:a16="http://schemas.microsoft.com/office/drawing/2014/main" id="{464FD29A-066B-1540-9268-485CCC0F5E3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 name="Flèche gauche 1">
          <a:hlinkClick xmlns:r="http://schemas.openxmlformats.org/officeDocument/2006/relationships" r:id="rId1"/>
          <a:extLst>
            <a:ext uri="{FF2B5EF4-FFF2-40B4-BE49-F238E27FC236}">
              <a16:creationId xmlns:a16="http://schemas.microsoft.com/office/drawing/2014/main" id="{E5653F15-C8D9-C448-9383-18C4BE8BE0D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3" name="Flèche gauche 1">
          <a:hlinkClick xmlns:r="http://schemas.openxmlformats.org/officeDocument/2006/relationships" r:id="rId2"/>
          <a:extLst>
            <a:ext uri="{FF2B5EF4-FFF2-40B4-BE49-F238E27FC236}">
              <a16:creationId xmlns:a16="http://schemas.microsoft.com/office/drawing/2014/main" id="{B030F7D0-39FE-5843-99CF-74529684951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4" name="Flèche gauche 1">
          <a:hlinkClick xmlns:r="http://schemas.openxmlformats.org/officeDocument/2006/relationships" r:id="rId1"/>
          <a:extLst>
            <a:ext uri="{FF2B5EF4-FFF2-40B4-BE49-F238E27FC236}">
              <a16:creationId xmlns:a16="http://schemas.microsoft.com/office/drawing/2014/main" id="{8EBB1A3D-8914-8346-BCAF-D7E2F19A868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5" name="Flèche gauche 1">
          <a:hlinkClick xmlns:r="http://schemas.openxmlformats.org/officeDocument/2006/relationships" r:id="rId1"/>
          <a:extLst>
            <a:ext uri="{FF2B5EF4-FFF2-40B4-BE49-F238E27FC236}">
              <a16:creationId xmlns:a16="http://schemas.microsoft.com/office/drawing/2014/main" id="{BB72D3FC-9A67-4942-BEF7-A540ACEB2F0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6" name="Flèche gauche 1">
          <a:hlinkClick xmlns:r="http://schemas.openxmlformats.org/officeDocument/2006/relationships" r:id="rId1"/>
          <a:extLst>
            <a:ext uri="{FF2B5EF4-FFF2-40B4-BE49-F238E27FC236}">
              <a16:creationId xmlns:a16="http://schemas.microsoft.com/office/drawing/2014/main" id="{7222745D-F617-CF4D-8C21-EFC403E3528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7" name="Flèche gauche 1">
          <a:hlinkClick xmlns:r="http://schemas.openxmlformats.org/officeDocument/2006/relationships" r:id="rId2"/>
          <a:extLst>
            <a:ext uri="{FF2B5EF4-FFF2-40B4-BE49-F238E27FC236}">
              <a16:creationId xmlns:a16="http://schemas.microsoft.com/office/drawing/2014/main" id="{202A1FE6-02F9-3A43-AC31-8C659BB6E71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8" name="Flèche gauche 1">
          <a:hlinkClick xmlns:r="http://schemas.openxmlformats.org/officeDocument/2006/relationships" r:id="rId1"/>
          <a:extLst>
            <a:ext uri="{FF2B5EF4-FFF2-40B4-BE49-F238E27FC236}">
              <a16:creationId xmlns:a16="http://schemas.microsoft.com/office/drawing/2014/main" id="{79ACFCE0-57B7-B44F-B907-50114777D96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9" name="Flèche gauche 1">
          <a:hlinkClick xmlns:r="http://schemas.openxmlformats.org/officeDocument/2006/relationships" r:id="rId1"/>
          <a:extLst>
            <a:ext uri="{FF2B5EF4-FFF2-40B4-BE49-F238E27FC236}">
              <a16:creationId xmlns:a16="http://schemas.microsoft.com/office/drawing/2014/main" id="{6B6993C4-142F-FE47-865F-0A5EDC8F014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0" name="Flèche gauche 1">
          <a:hlinkClick xmlns:r="http://schemas.openxmlformats.org/officeDocument/2006/relationships" r:id="rId1"/>
          <a:extLst>
            <a:ext uri="{FF2B5EF4-FFF2-40B4-BE49-F238E27FC236}">
              <a16:creationId xmlns:a16="http://schemas.microsoft.com/office/drawing/2014/main" id="{616B7367-7575-9745-A2BD-724A7DE70A1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1" name="Flèche gauche 1">
          <a:hlinkClick xmlns:r="http://schemas.openxmlformats.org/officeDocument/2006/relationships" r:id="rId2"/>
          <a:extLst>
            <a:ext uri="{FF2B5EF4-FFF2-40B4-BE49-F238E27FC236}">
              <a16:creationId xmlns:a16="http://schemas.microsoft.com/office/drawing/2014/main" id="{C3C46A58-7F56-AE4A-9ABC-731AE0DE579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2" name="Flèche gauche 1">
          <a:hlinkClick xmlns:r="http://schemas.openxmlformats.org/officeDocument/2006/relationships" r:id="rId1"/>
          <a:extLst>
            <a:ext uri="{FF2B5EF4-FFF2-40B4-BE49-F238E27FC236}">
              <a16:creationId xmlns:a16="http://schemas.microsoft.com/office/drawing/2014/main" id="{0EABA274-F571-3842-AC9D-3B64E10B93C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3" name="Flèche gauche 1">
          <a:hlinkClick xmlns:r="http://schemas.openxmlformats.org/officeDocument/2006/relationships" r:id="rId1"/>
          <a:extLst>
            <a:ext uri="{FF2B5EF4-FFF2-40B4-BE49-F238E27FC236}">
              <a16:creationId xmlns:a16="http://schemas.microsoft.com/office/drawing/2014/main" id="{FBF08394-0074-2C44-AB7D-8DA9C6ABF85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4" name="Flèche gauche 1">
          <a:hlinkClick xmlns:r="http://schemas.openxmlformats.org/officeDocument/2006/relationships" r:id="rId1"/>
          <a:extLst>
            <a:ext uri="{FF2B5EF4-FFF2-40B4-BE49-F238E27FC236}">
              <a16:creationId xmlns:a16="http://schemas.microsoft.com/office/drawing/2014/main" id="{0654F059-C8C7-3445-9298-EFB1199FFE1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5" name="Flèche gauche 1">
          <a:hlinkClick xmlns:r="http://schemas.openxmlformats.org/officeDocument/2006/relationships" r:id="rId2"/>
          <a:extLst>
            <a:ext uri="{FF2B5EF4-FFF2-40B4-BE49-F238E27FC236}">
              <a16:creationId xmlns:a16="http://schemas.microsoft.com/office/drawing/2014/main" id="{5F81CC0A-AD32-7745-A246-5B19E2B7588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6" name="Flèche gauche 1">
          <a:hlinkClick xmlns:r="http://schemas.openxmlformats.org/officeDocument/2006/relationships" r:id="rId1"/>
          <a:extLst>
            <a:ext uri="{FF2B5EF4-FFF2-40B4-BE49-F238E27FC236}">
              <a16:creationId xmlns:a16="http://schemas.microsoft.com/office/drawing/2014/main" id="{019B0E5F-1186-D449-83F4-FBA734D2581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7" name="Flèche gauche 1">
          <a:hlinkClick xmlns:r="http://schemas.openxmlformats.org/officeDocument/2006/relationships" r:id="rId1"/>
          <a:extLst>
            <a:ext uri="{FF2B5EF4-FFF2-40B4-BE49-F238E27FC236}">
              <a16:creationId xmlns:a16="http://schemas.microsoft.com/office/drawing/2014/main" id="{8E743914-0A4B-1742-BFB6-99F3E14438B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8" name="Flèche gauche 1">
          <a:hlinkClick xmlns:r="http://schemas.openxmlformats.org/officeDocument/2006/relationships" r:id="rId1"/>
          <a:extLst>
            <a:ext uri="{FF2B5EF4-FFF2-40B4-BE49-F238E27FC236}">
              <a16:creationId xmlns:a16="http://schemas.microsoft.com/office/drawing/2014/main" id="{B88A75CA-6FE9-8444-A836-4286057F166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9" name="Flèche gauche 1">
          <a:hlinkClick xmlns:r="http://schemas.openxmlformats.org/officeDocument/2006/relationships" r:id="rId2"/>
          <a:extLst>
            <a:ext uri="{FF2B5EF4-FFF2-40B4-BE49-F238E27FC236}">
              <a16:creationId xmlns:a16="http://schemas.microsoft.com/office/drawing/2014/main" id="{71B75451-F2C5-754C-BF8F-6F0DF303146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0" name="Flèche gauche 1">
          <a:hlinkClick xmlns:r="http://schemas.openxmlformats.org/officeDocument/2006/relationships" r:id="rId1"/>
          <a:extLst>
            <a:ext uri="{FF2B5EF4-FFF2-40B4-BE49-F238E27FC236}">
              <a16:creationId xmlns:a16="http://schemas.microsoft.com/office/drawing/2014/main" id="{52780C0F-1339-2E4D-AB65-F560192BAAD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1" name="Flèche gauche 1">
          <a:hlinkClick xmlns:r="http://schemas.openxmlformats.org/officeDocument/2006/relationships" r:id="rId1"/>
          <a:extLst>
            <a:ext uri="{FF2B5EF4-FFF2-40B4-BE49-F238E27FC236}">
              <a16:creationId xmlns:a16="http://schemas.microsoft.com/office/drawing/2014/main" id="{EB268E17-BF3B-8C45-BB49-0003435C1C9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2" name="Flèche gauche 1">
          <a:hlinkClick xmlns:r="http://schemas.openxmlformats.org/officeDocument/2006/relationships" r:id="rId1"/>
          <a:extLst>
            <a:ext uri="{FF2B5EF4-FFF2-40B4-BE49-F238E27FC236}">
              <a16:creationId xmlns:a16="http://schemas.microsoft.com/office/drawing/2014/main" id="{F7E6A602-45FA-5B45-807B-35994B4AECF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3" name="Flèche gauche 1">
          <a:hlinkClick xmlns:r="http://schemas.openxmlformats.org/officeDocument/2006/relationships" r:id="rId2"/>
          <a:extLst>
            <a:ext uri="{FF2B5EF4-FFF2-40B4-BE49-F238E27FC236}">
              <a16:creationId xmlns:a16="http://schemas.microsoft.com/office/drawing/2014/main" id="{AEA2B319-08DC-E249-BEBC-59C21EE87FC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4" name="Flèche gauche 1">
          <a:hlinkClick xmlns:r="http://schemas.openxmlformats.org/officeDocument/2006/relationships" r:id="rId1"/>
          <a:extLst>
            <a:ext uri="{FF2B5EF4-FFF2-40B4-BE49-F238E27FC236}">
              <a16:creationId xmlns:a16="http://schemas.microsoft.com/office/drawing/2014/main" id="{71FA54A7-4C26-174D-BEC5-4E466CF2829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5" name="Flèche gauche 1">
          <a:hlinkClick xmlns:r="http://schemas.openxmlformats.org/officeDocument/2006/relationships" r:id="rId1"/>
          <a:extLst>
            <a:ext uri="{FF2B5EF4-FFF2-40B4-BE49-F238E27FC236}">
              <a16:creationId xmlns:a16="http://schemas.microsoft.com/office/drawing/2014/main" id="{F77AA539-30AD-B547-A8ED-304C2B5B9A7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6" name="Flèche gauche 1">
          <a:hlinkClick xmlns:r="http://schemas.openxmlformats.org/officeDocument/2006/relationships" r:id="rId1"/>
          <a:extLst>
            <a:ext uri="{FF2B5EF4-FFF2-40B4-BE49-F238E27FC236}">
              <a16:creationId xmlns:a16="http://schemas.microsoft.com/office/drawing/2014/main" id="{25D3C30C-7A90-E14F-B52A-58E807A73F6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7" name="Flèche gauche 1">
          <a:hlinkClick xmlns:r="http://schemas.openxmlformats.org/officeDocument/2006/relationships" r:id="rId2"/>
          <a:extLst>
            <a:ext uri="{FF2B5EF4-FFF2-40B4-BE49-F238E27FC236}">
              <a16:creationId xmlns:a16="http://schemas.microsoft.com/office/drawing/2014/main" id="{B8AFF5C1-5C13-554D-8B78-D12FDC4C63B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8" name="Flèche gauche 1">
          <a:hlinkClick xmlns:r="http://schemas.openxmlformats.org/officeDocument/2006/relationships" r:id="rId1"/>
          <a:extLst>
            <a:ext uri="{FF2B5EF4-FFF2-40B4-BE49-F238E27FC236}">
              <a16:creationId xmlns:a16="http://schemas.microsoft.com/office/drawing/2014/main" id="{0630FE2A-6327-E042-B017-0BA1310748F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9" name="Flèche gauche 1">
          <a:hlinkClick xmlns:r="http://schemas.openxmlformats.org/officeDocument/2006/relationships" r:id="rId1"/>
          <a:extLst>
            <a:ext uri="{FF2B5EF4-FFF2-40B4-BE49-F238E27FC236}">
              <a16:creationId xmlns:a16="http://schemas.microsoft.com/office/drawing/2014/main" id="{466D6DD9-3F76-0E49-9060-72C48717500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0" name="Flèche gauche 1">
          <a:hlinkClick xmlns:r="http://schemas.openxmlformats.org/officeDocument/2006/relationships" r:id="rId1"/>
          <a:extLst>
            <a:ext uri="{FF2B5EF4-FFF2-40B4-BE49-F238E27FC236}">
              <a16:creationId xmlns:a16="http://schemas.microsoft.com/office/drawing/2014/main" id="{B738D966-7279-4F40-B1AF-E5599ACF690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1" name="Flèche gauche 1">
          <a:hlinkClick xmlns:r="http://schemas.openxmlformats.org/officeDocument/2006/relationships" r:id="rId2"/>
          <a:extLst>
            <a:ext uri="{FF2B5EF4-FFF2-40B4-BE49-F238E27FC236}">
              <a16:creationId xmlns:a16="http://schemas.microsoft.com/office/drawing/2014/main" id="{712EE696-865A-7E44-87E8-07C77D51675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2" name="Flèche gauche 1">
          <a:hlinkClick xmlns:r="http://schemas.openxmlformats.org/officeDocument/2006/relationships" r:id="rId1"/>
          <a:extLst>
            <a:ext uri="{FF2B5EF4-FFF2-40B4-BE49-F238E27FC236}">
              <a16:creationId xmlns:a16="http://schemas.microsoft.com/office/drawing/2014/main" id="{EF98AF1E-DD84-B644-B0AA-57E3F70632A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3" name="Flèche gauche 1">
          <a:hlinkClick xmlns:r="http://schemas.openxmlformats.org/officeDocument/2006/relationships" r:id="rId1"/>
          <a:extLst>
            <a:ext uri="{FF2B5EF4-FFF2-40B4-BE49-F238E27FC236}">
              <a16:creationId xmlns:a16="http://schemas.microsoft.com/office/drawing/2014/main" id="{70557A3D-698E-7D4B-9316-41B05D80F2A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4" name="Flèche gauche 1">
          <a:hlinkClick xmlns:r="http://schemas.openxmlformats.org/officeDocument/2006/relationships" r:id="rId1"/>
          <a:extLst>
            <a:ext uri="{FF2B5EF4-FFF2-40B4-BE49-F238E27FC236}">
              <a16:creationId xmlns:a16="http://schemas.microsoft.com/office/drawing/2014/main" id="{4C2EEE99-FCD6-CD4D-A64A-CC4F214B179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5" name="Flèche gauche 1">
          <a:hlinkClick xmlns:r="http://schemas.openxmlformats.org/officeDocument/2006/relationships" r:id="rId2"/>
          <a:extLst>
            <a:ext uri="{FF2B5EF4-FFF2-40B4-BE49-F238E27FC236}">
              <a16:creationId xmlns:a16="http://schemas.microsoft.com/office/drawing/2014/main" id="{8375A1F3-B5A6-324D-B51B-9C78BDAEDAC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6" name="Flèche gauche 1">
          <a:hlinkClick xmlns:r="http://schemas.openxmlformats.org/officeDocument/2006/relationships" r:id="rId1"/>
          <a:extLst>
            <a:ext uri="{FF2B5EF4-FFF2-40B4-BE49-F238E27FC236}">
              <a16:creationId xmlns:a16="http://schemas.microsoft.com/office/drawing/2014/main" id="{0676F88C-1950-9846-81FB-9968378735F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7" name="Flèche gauche 1">
          <a:hlinkClick xmlns:r="http://schemas.openxmlformats.org/officeDocument/2006/relationships" r:id="rId1"/>
          <a:extLst>
            <a:ext uri="{FF2B5EF4-FFF2-40B4-BE49-F238E27FC236}">
              <a16:creationId xmlns:a16="http://schemas.microsoft.com/office/drawing/2014/main" id="{3D115E95-4E24-374A-B6D8-4D8DCC80622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8" name="Flèche gauche 1">
          <a:hlinkClick xmlns:r="http://schemas.openxmlformats.org/officeDocument/2006/relationships" r:id="rId1"/>
          <a:extLst>
            <a:ext uri="{FF2B5EF4-FFF2-40B4-BE49-F238E27FC236}">
              <a16:creationId xmlns:a16="http://schemas.microsoft.com/office/drawing/2014/main" id="{A81DB274-5DA2-CA48-B4DB-67D0FEF5603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9" name="Flèche gauche 1">
          <a:hlinkClick xmlns:r="http://schemas.openxmlformats.org/officeDocument/2006/relationships" r:id="rId2"/>
          <a:extLst>
            <a:ext uri="{FF2B5EF4-FFF2-40B4-BE49-F238E27FC236}">
              <a16:creationId xmlns:a16="http://schemas.microsoft.com/office/drawing/2014/main" id="{B94C5DFC-E5A3-0A4C-994C-0C82E18B85B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0" name="Flèche gauche 1">
          <a:hlinkClick xmlns:r="http://schemas.openxmlformats.org/officeDocument/2006/relationships" r:id="rId1"/>
          <a:extLst>
            <a:ext uri="{FF2B5EF4-FFF2-40B4-BE49-F238E27FC236}">
              <a16:creationId xmlns:a16="http://schemas.microsoft.com/office/drawing/2014/main" id="{6B0C10D8-01FA-C043-A76C-72AA79BDF6E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1" name="Flèche gauche 1">
          <a:hlinkClick xmlns:r="http://schemas.openxmlformats.org/officeDocument/2006/relationships" r:id="rId1"/>
          <a:extLst>
            <a:ext uri="{FF2B5EF4-FFF2-40B4-BE49-F238E27FC236}">
              <a16:creationId xmlns:a16="http://schemas.microsoft.com/office/drawing/2014/main" id="{3C0320D5-0F13-E949-A84F-B6D4DA5AA8D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2" name="Flèche gauche 1">
          <a:hlinkClick xmlns:r="http://schemas.openxmlformats.org/officeDocument/2006/relationships" r:id="rId1"/>
          <a:extLst>
            <a:ext uri="{FF2B5EF4-FFF2-40B4-BE49-F238E27FC236}">
              <a16:creationId xmlns:a16="http://schemas.microsoft.com/office/drawing/2014/main" id="{DC41E70C-6E07-464F-8CDB-876575FD3BC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3" name="Flèche gauche 1">
          <a:hlinkClick xmlns:r="http://schemas.openxmlformats.org/officeDocument/2006/relationships" r:id="rId2"/>
          <a:extLst>
            <a:ext uri="{FF2B5EF4-FFF2-40B4-BE49-F238E27FC236}">
              <a16:creationId xmlns:a16="http://schemas.microsoft.com/office/drawing/2014/main" id="{5440118F-D441-BD43-ABFF-E8946F06A49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4" name="Flèche gauche 1">
          <a:hlinkClick xmlns:r="http://schemas.openxmlformats.org/officeDocument/2006/relationships" r:id="rId1"/>
          <a:extLst>
            <a:ext uri="{FF2B5EF4-FFF2-40B4-BE49-F238E27FC236}">
              <a16:creationId xmlns:a16="http://schemas.microsoft.com/office/drawing/2014/main" id="{EEA974CD-B84B-FF41-89B8-961800538C7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5" name="Flèche gauche 1">
          <a:hlinkClick xmlns:r="http://schemas.openxmlformats.org/officeDocument/2006/relationships" r:id="rId1"/>
          <a:extLst>
            <a:ext uri="{FF2B5EF4-FFF2-40B4-BE49-F238E27FC236}">
              <a16:creationId xmlns:a16="http://schemas.microsoft.com/office/drawing/2014/main" id="{3B93E7C9-8346-9448-880F-1A70ED482ED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6" name="Flèche gauche 1">
          <a:hlinkClick xmlns:r="http://schemas.openxmlformats.org/officeDocument/2006/relationships" r:id="rId1"/>
          <a:extLst>
            <a:ext uri="{FF2B5EF4-FFF2-40B4-BE49-F238E27FC236}">
              <a16:creationId xmlns:a16="http://schemas.microsoft.com/office/drawing/2014/main" id="{DAD2A12E-26C4-AD47-8163-FBC7612605A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7" name="Flèche gauche 1">
          <a:hlinkClick xmlns:r="http://schemas.openxmlformats.org/officeDocument/2006/relationships" r:id="rId2"/>
          <a:extLst>
            <a:ext uri="{FF2B5EF4-FFF2-40B4-BE49-F238E27FC236}">
              <a16:creationId xmlns:a16="http://schemas.microsoft.com/office/drawing/2014/main" id="{5712843A-9FAE-784D-AEAE-9FF84A2F333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8" name="Flèche gauche 1">
          <a:hlinkClick xmlns:r="http://schemas.openxmlformats.org/officeDocument/2006/relationships" r:id="rId1"/>
          <a:extLst>
            <a:ext uri="{FF2B5EF4-FFF2-40B4-BE49-F238E27FC236}">
              <a16:creationId xmlns:a16="http://schemas.microsoft.com/office/drawing/2014/main" id="{5B278B78-730B-D24B-985F-A456CD733FD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9" name="Flèche gauche 1">
          <a:hlinkClick xmlns:r="http://schemas.openxmlformats.org/officeDocument/2006/relationships" r:id="rId1"/>
          <a:extLst>
            <a:ext uri="{FF2B5EF4-FFF2-40B4-BE49-F238E27FC236}">
              <a16:creationId xmlns:a16="http://schemas.microsoft.com/office/drawing/2014/main" id="{59FE5DC7-15D2-894F-8673-1F387C579B7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0" name="Flèche gauche 1">
          <a:hlinkClick xmlns:r="http://schemas.openxmlformats.org/officeDocument/2006/relationships" r:id="rId1"/>
          <a:extLst>
            <a:ext uri="{FF2B5EF4-FFF2-40B4-BE49-F238E27FC236}">
              <a16:creationId xmlns:a16="http://schemas.microsoft.com/office/drawing/2014/main" id="{B468907B-4225-3443-85C8-56C4DD59321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1" name="Flèche gauche 1">
          <a:hlinkClick xmlns:r="http://schemas.openxmlformats.org/officeDocument/2006/relationships" r:id="rId2"/>
          <a:extLst>
            <a:ext uri="{FF2B5EF4-FFF2-40B4-BE49-F238E27FC236}">
              <a16:creationId xmlns:a16="http://schemas.microsoft.com/office/drawing/2014/main" id="{1670D35D-A35C-CC40-8C6B-16F1CC621D1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2" name="Flèche gauche 1">
          <a:hlinkClick xmlns:r="http://schemas.openxmlformats.org/officeDocument/2006/relationships" r:id="rId1"/>
          <a:extLst>
            <a:ext uri="{FF2B5EF4-FFF2-40B4-BE49-F238E27FC236}">
              <a16:creationId xmlns:a16="http://schemas.microsoft.com/office/drawing/2014/main" id="{6B0B84A3-0774-6F4D-B08D-826F9DB0849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3" name="Flèche gauche 1">
          <a:hlinkClick xmlns:r="http://schemas.openxmlformats.org/officeDocument/2006/relationships" r:id="rId1"/>
          <a:extLst>
            <a:ext uri="{FF2B5EF4-FFF2-40B4-BE49-F238E27FC236}">
              <a16:creationId xmlns:a16="http://schemas.microsoft.com/office/drawing/2014/main" id="{DDB1B23D-BA30-6B4E-A145-B8F923A9DBA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4" name="Flèche gauche 1">
          <a:hlinkClick xmlns:r="http://schemas.openxmlformats.org/officeDocument/2006/relationships" r:id="rId1"/>
          <a:extLst>
            <a:ext uri="{FF2B5EF4-FFF2-40B4-BE49-F238E27FC236}">
              <a16:creationId xmlns:a16="http://schemas.microsoft.com/office/drawing/2014/main" id="{C9F3055A-35A3-2845-8592-61AA9821BE6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5" name="Flèche gauche 1">
          <a:hlinkClick xmlns:r="http://schemas.openxmlformats.org/officeDocument/2006/relationships" r:id="rId2"/>
          <a:extLst>
            <a:ext uri="{FF2B5EF4-FFF2-40B4-BE49-F238E27FC236}">
              <a16:creationId xmlns:a16="http://schemas.microsoft.com/office/drawing/2014/main" id="{BC672DCF-DE0F-3745-B1FA-1051065B82B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6</xdr:col>
      <xdr:colOff>33866</xdr:colOff>
      <xdr:row>100</xdr:row>
      <xdr:rowOff>25400</xdr:rowOff>
    </xdr:from>
    <xdr:to>
      <xdr:col>9</xdr:col>
      <xdr:colOff>1676399</xdr:colOff>
      <xdr:row>111</xdr:row>
      <xdr:rowOff>67734</xdr:rowOff>
    </xdr:to>
    <xdr:graphicFrame macro="">
      <xdr:nvGraphicFramePr>
        <xdr:cNvPr id="66" name="Graphique 65">
          <a:extLst>
            <a:ext uri="{FF2B5EF4-FFF2-40B4-BE49-F238E27FC236}">
              <a16:creationId xmlns:a16="http://schemas.microsoft.com/office/drawing/2014/main" id="{516DBADD-A685-5663-7B23-F9B61FEC86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22566</xdr:colOff>
      <xdr:row>142</xdr:row>
      <xdr:rowOff>88713</xdr:rowOff>
    </xdr:from>
    <xdr:to>
      <xdr:col>3</xdr:col>
      <xdr:colOff>2016071</xdr:colOff>
      <xdr:row>163</xdr:row>
      <xdr:rowOff>7750</xdr:rowOff>
    </xdr:to>
    <xdr:graphicFrame macro="">
      <xdr:nvGraphicFramePr>
        <xdr:cNvPr id="5" name="Graphique 4">
          <a:extLst>
            <a:ext uri="{FF2B5EF4-FFF2-40B4-BE49-F238E27FC236}">
              <a16:creationId xmlns:a16="http://schemas.microsoft.com/office/drawing/2014/main" id="{4F2194E7-1FBE-2477-D6D3-1A32275684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2309678</xdr:colOff>
      <xdr:row>145</xdr:row>
      <xdr:rowOff>38315</xdr:rowOff>
    </xdr:from>
    <xdr:to>
      <xdr:col>6</xdr:col>
      <xdr:colOff>896471</xdr:colOff>
      <xdr:row>161</xdr:row>
      <xdr:rowOff>150678</xdr:rowOff>
    </xdr:to>
    <xdr:graphicFrame macro="">
      <xdr:nvGraphicFramePr>
        <xdr:cNvPr id="2" name="Graphique 1">
          <a:extLst>
            <a:ext uri="{FF2B5EF4-FFF2-40B4-BE49-F238E27FC236}">
              <a16:creationId xmlns:a16="http://schemas.microsoft.com/office/drawing/2014/main" id="{693A3551-F5AC-DE20-1155-86BFCE5BF3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0.08122</cdr:x>
      <cdr:y>0.91918</cdr:y>
    </cdr:from>
    <cdr:to>
      <cdr:x>0.14035</cdr:x>
      <cdr:y>1</cdr:y>
    </cdr:to>
    <cdr:sp macro="" textlink="">
      <cdr:nvSpPr>
        <cdr:cNvPr id="5" name="ZoneTexte 4">
          <a:extLst xmlns:a="http://schemas.openxmlformats.org/drawingml/2006/main">
            <a:ext uri="{FF2B5EF4-FFF2-40B4-BE49-F238E27FC236}">
              <a16:creationId xmlns:a16="http://schemas.microsoft.com/office/drawing/2014/main" id="{338AE679-1516-2028-F5F9-A57F89D527DD}"/>
            </a:ext>
          </a:extLst>
        </cdr:cNvPr>
        <cdr:cNvSpPr txBox="1"/>
      </cdr:nvSpPr>
      <cdr:spPr bwMode="auto">
        <a:xfrm xmlns:a="http://schemas.openxmlformats.org/drawingml/2006/main">
          <a:off x="976166" y="6747316"/>
          <a:ext cx="710721" cy="59325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baseline="0"/>
            <a:t> </a:t>
          </a:r>
          <a:r>
            <a:rPr lang="fr-FR" sz="2000" b="1"/>
            <a:t>2022</a:t>
          </a:r>
        </a:p>
      </cdr:txBody>
    </cdr:sp>
  </cdr:relSizeAnchor>
  <cdr:relSizeAnchor xmlns:cdr="http://schemas.openxmlformats.org/drawingml/2006/chartDrawing">
    <cdr:from>
      <cdr:x>0.91475</cdr:x>
      <cdr:y>0.91918</cdr:y>
    </cdr:from>
    <cdr:to>
      <cdr:x>0.97389</cdr:x>
      <cdr:y>1</cdr:y>
    </cdr:to>
    <cdr:sp macro="" textlink="">
      <cdr:nvSpPr>
        <cdr:cNvPr id="7" name="ZoneTexte 1">
          <a:extLst xmlns:a="http://schemas.openxmlformats.org/drawingml/2006/main">
            <a:ext uri="{FF2B5EF4-FFF2-40B4-BE49-F238E27FC236}">
              <a16:creationId xmlns:a16="http://schemas.microsoft.com/office/drawing/2014/main" id="{B2B334AD-F97F-681A-8683-A1239901765C}"/>
            </a:ext>
          </a:extLst>
        </cdr:cNvPr>
        <cdr:cNvSpPr txBox="1"/>
      </cdr:nvSpPr>
      <cdr:spPr bwMode="auto">
        <a:xfrm xmlns:a="http://schemas.openxmlformats.org/drawingml/2006/main">
          <a:off x="10994751" y="6747316"/>
          <a:ext cx="710721" cy="59325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baseline="0"/>
            <a:t> </a:t>
          </a:r>
          <a:r>
            <a:rPr lang="fr-FR" sz="2000" b="1"/>
            <a:t>2050</a:t>
          </a:r>
        </a:p>
      </cdr:txBody>
    </cdr:sp>
  </cdr:relSizeAnchor>
  <cdr:relSizeAnchor xmlns:cdr="http://schemas.openxmlformats.org/drawingml/2006/chartDrawing">
    <cdr:from>
      <cdr:x>0.26512</cdr:x>
      <cdr:y>0</cdr:y>
    </cdr:from>
    <cdr:to>
      <cdr:x>0.26512</cdr:x>
      <cdr:y>0</cdr:y>
    </cdr:to>
    <cdr:grpSp>
      <cdr:nvGrpSpPr>
        <cdr:cNvPr id="9" name="Groupe 8">
          <a:extLst xmlns:a="http://schemas.openxmlformats.org/drawingml/2006/main">
            <a:ext uri="{FF2B5EF4-FFF2-40B4-BE49-F238E27FC236}">
              <a16:creationId xmlns:a16="http://schemas.microsoft.com/office/drawing/2014/main" id="{015AE65A-0A99-205A-5F9F-1915A4A7FC30}"/>
            </a:ext>
          </a:extLst>
        </cdr:cNvPr>
        <cdr:cNvGrpSpPr>
          <a:grpSpLocks xmlns:a="http://schemas.openxmlformats.org/drawingml/2006/main" noChangeAspect="1"/>
        </cdr:cNvGrpSpPr>
      </cdr:nvGrpSpPr>
      <cdr:grpSpPr>
        <a:xfrm xmlns:a="http://schemas.openxmlformats.org/drawingml/2006/main">
          <a:off x="3695550" y="0"/>
          <a:ext cx="0" cy="0"/>
          <a:chOff x="3695550" y="0"/>
          <a:chExt cx="0" cy="0"/>
        </a:xfrm>
      </cdr:grpSpPr>
    </cdr:grpSp>
  </cdr:relSizeAnchor>
  <cdr:relSizeAnchor xmlns:cdr="http://schemas.openxmlformats.org/drawingml/2006/chartDrawing">
    <cdr:from>
      <cdr:x>0.70334</cdr:x>
      <cdr:y>0.4961</cdr:y>
    </cdr:from>
    <cdr:to>
      <cdr:x>0.76319</cdr:x>
      <cdr:y>0.59399</cdr:y>
    </cdr:to>
    <cdr:pic>
      <cdr:nvPicPr>
        <cdr:cNvPr id="13" name="Graphique 54" descr="Couverts de table">
          <a:extLst xmlns:a="http://schemas.openxmlformats.org/drawingml/2006/main">
            <a:ext uri="{FF2B5EF4-FFF2-40B4-BE49-F238E27FC236}">
              <a16:creationId xmlns:a16="http://schemas.microsoft.com/office/drawing/2014/main" id="{CA488B62-0618-930B-2F13-94E154C95F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9854187" y="4077866"/>
          <a:ext cx="838536" cy="804637"/>
        </a:xfrm>
        <a:prstGeom xmlns:a="http://schemas.openxmlformats.org/drawingml/2006/main" prst="rect">
          <a:avLst/>
        </a:prstGeom>
      </cdr:spPr>
    </cdr:pic>
  </cdr:relSizeAnchor>
  <cdr:relSizeAnchor xmlns:cdr="http://schemas.openxmlformats.org/drawingml/2006/chartDrawing">
    <cdr:from>
      <cdr:x>0.80486</cdr:x>
      <cdr:y>0.52666</cdr:y>
    </cdr:from>
    <cdr:to>
      <cdr:x>0.85769</cdr:x>
      <cdr:y>0.61499</cdr:y>
    </cdr:to>
    <cdr:pic>
      <cdr:nvPicPr>
        <cdr:cNvPr id="14" name="Graphique 85" descr="Ordures">
          <a:extLst xmlns:a="http://schemas.openxmlformats.org/drawingml/2006/main">
            <a:ext uri="{FF2B5EF4-FFF2-40B4-BE49-F238E27FC236}">
              <a16:creationId xmlns:a16="http://schemas.microsoft.com/office/drawing/2014/main" id="{79573B22-E4F1-6CC4-3BBE-8E3FA180F6F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11276598" y="4329029"/>
          <a:ext cx="740182" cy="726056"/>
        </a:xfrm>
        <a:prstGeom xmlns:a="http://schemas.openxmlformats.org/drawingml/2006/main" prst="rect">
          <a:avLst/>
        </a:prstGeom>
      </cdr:spPr>
    </cdr:pic>
  </cdr:relSizeAnchor>
  <cdr:relSizeAnchor xmlns:cdr="http://schemas.openxmlformats.org/drawingml/2006/chartDrawing">
    <cdr:from>
      <cdr:x>0.39694</cdr:x>
      <cdr:y>0.34647</cdr:y>
    </cdr:from>
    <cdr:to>
      <cdr:x>0.45089</cdr:x>
      <cdr:y>0.43481</cdr:y>
    </cdr:to>
    <cdr:pic>
      <cdr:nvPicPr>
        <cdr:cNvPr id="18" name="Graphique 17" descr="Divers avec un remplissage uni">
          <a:extLst xmlns:a="http://schemas.openxmlformats.org/drawingml/2006/main">
            <a:ext uri="{FF2B5EF4-FFF2-40B4-BE49-F238E27FC236}">
              <a16:creationId xmlns:a16="http://schemas.microsoft.com/office/drawing/2014/main" id="{7B815406-DFBE-14E7-1E45-3FB967B026F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xmlns:a="http://schemas.openxmlformats.org/drawingml/2006/main">
          <a:fillRect/>
        </a:stretch>
      </cdr:blipFill>
      <cdr:spPr>
        <a:xfrm xmlns:a="http://schemas.openxmlformats.org/drawingml/2006/main">
          <a:off x="5573406" y="2798811"/>
          <a:ext cx="757499" cy="713614"/>
        </a:xfrm>
        <a:prstGeom xmlns:a="http://schemas.openxmlformats.org/drawingml/2006/main" prst="rect">
          <a:avLst/>
        </a:prstGeom>
      </cdr:spPr>
    </cdr:pic>
  </cdr:relSizeAnchor>
  <cdr:relSizeAnchor xmlns:cdr="http://schemas.openxmlformats.org/drawingml/2006/chartDrawing">
    <cdr:from>
      <cdr:x>0.29506</cdr:x>
      <cdr:y>0.14466</cdr:y>
    </cdr:from>
    <cdr:to>
      <cdr:x>0.34901</cdr:x>
      <cdr:y>0.23299</cdr:y>
    </cdr:to>
    <cdr:pic>
      <cdr:nvPicPr>
        <cdr:cNvPr id="20" name="Graphique 19" descr="Bus avec un remplissage uni">
          <a:extLst xmlns:a="http://schemas.openxmlformats.org/drawingml/2006/main">
            <a:ext uri="{FF2B5EF4-FFF2-40B4-BE49-F238E27FC236}">
              <a16:creationId xmlns:a16="http://schemas.microsoft.com/office/drawing/2014/main" id="{928DCD31-C675-8BD5-9BD0-571D255A7BA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xmlns:a="http://schemas.openxmlformats.org/drawingml/2006/main">
          <a:fillRect/>
        </a:stretch>
      </cdr:blipFill>
      <cdr:spPr>
        <a:xfrm xmlns:a="http://schemas.openxmlformats.org/drawingml/2006/main">
          <a:off x="4142831" y="1223689"/>
          <a:ext cx="757499" cy="747187"/>
        </a:xfrm>
        <a:prstGeom xmlns:a="http://schemas.openxmlformats.org/drawingml/2006/main" prst="rect">
          <a:avLst/>
        </a:prstGeom>
      </cdr:spPr>
    </cdr:pic>
  </cdr:relSizeAnchor>
  <cdr:relSizeAnchor xmlns:cdr="http://schemas.openxmlformats.org/drawingml/2006/chartDrawing">
    <cdr:from>
      <cdr:x>0.19067</cdr:x>
      <cdr:y>0.06484</cdr:y>
    </cdr:from>
    <cdr:to>
      <cdr:x>0.24462</cdr:x>
      <cdr:y>0.15318</cdr:y>
    </cdr:to>
    <cdr:pic>
      <cdr:nvPicPr>
        <cdr:cNvPr id="24" name="Graphique 23" descr="Cyclisme avec un remplissage uni">
          <a:extLst xmlns:a="http://schemas.openxmlformats.org/drawingml/2006/main">
            <a:ext uri="{FF2B5EF4-FFF2-40B4-BE49-F238E27FC236}">
              <a16:creationId xmlns:a16="http://schemas.microsoft.com/office/drawing/2014/main" id="{60109FE7-4E7D-54CB-E04C-14B4C16C13C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xmlns:a="http://schemas.openxmlformats.org/drawingml/2006/main">
          <a:fillRect/>
        </a:stretch>
      </cdr:blipFill>
      <cdr:spPr>
        <a:xfrm xmlns:a="http://schemas.openxmlformats.org/drawingml/2006/main">
          <a:off x="2677215" y="548477"/>
          <a:ext cx="757499" cy="747272"/>
        </a:xfrm>
        <a:prstGeom xmlns:a="http://schemas.openxmlformats.org/drawingml/2006/main" prst="rect">
          <a:avLst/>
        </a:prstGeom>
      </cdr:spPr>
    </cdr:pic>
  </cdr:relSizeAnchor>
  <cdr:relSizeAnchor xmlns:cdr="http://schemas.openxmlformats.org/drawingml/2006/chartDrawing">
    <cdr:from>
      <cdr:x>0.59675</cdr:x>
      <cdr:y>0.4458</cdr:y>
    </cdr:from>
    <cdr:to>
      <cdr:x>0.66761</cdr:x>
      <cdr:y>0.51726</cdr:y>
    </cdr:to>
    <cdr:grpSp>
      <cdr:nvGrpSpPr>
        <cdr:cNvPr id="29" name="Groupe 28">
          <a:extLst xmlns:a="http://schemas.openxmlformats.org/drawingml/2006/main">
            <a:ext uri="{FF2B5EF4-FFF2-40B4-BE49-F238E27FC236}">
              <a16:creationId xmlns:a16="http://schemas.microsoft.com/office/drawing/2014/main" id="{B41FFF08-3153-E8F5-4F23-F461AD42CD3E}"/>
            </a:ext>
          </a:extLst>
        </cdr:cNvPr>
        <cdr:cNvGrpSpPr>
          <a:grpSpLocks xmlns:a="http://schemas.openxmlformats.org/drawingml/2006/main" noChangeAspect="1"/>
        </cdr:cNvGrpSpPr>
      </cdr:nvGrpSpPr>
      <cdr:grpSpPr>
        <a:xfrm xmlns:a="http://schemas.openxmlformats.org/drawingml/2006/main">
          <a:off x="8318193" y="3691776"/>
          <a:ext cx="987728" cy="591777"/>
          <a:chOff x="0" y="0"/>
          <a:chExt cx="1510202" cy="930079"/>
        </a:xfrm>
      </cdr:grpSpPr>
      <cdr:pic>
        <cdr:nvPicPr>
          <cdr:cNvPr id="26" name="Graphique 25" descr="Thermomètre avec un remplissage uni">
            <a:extLst xmlns:a="http://schemas.openxmlformats.org/drawingml/2006/main">
              <a:ext uri="{FF2B5EF4-FFF2-40B4-BE49-F238E27FC236}">
                <a16:creationId xmlns:a16="http://schemas.microsoft.com/office/drawing/2014/main" id="{D8F67C54-93B3-CFAA-DAB7-BEB8525017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xmlns:a="http://schemas.openxmlformats.org/drawingml/2006/main">
            <a:fillRect/>
          </a:stretch>
        </cdr:blipFill>
        <cdr:spPr>
          <a:xfrm xmlns:a="http://schemas.openxmlformats.org/drawingml/2006/main">
            <a:off x="0" y="0"/>
            <a:ext cx="914400" cy="914400"/>
          </a:xfrm>
          <a:prstGeom xmlns:a="http://schemas.openxmlformats.org/drawingml/2006/main" prst="rect">
            <a:avLst/>
          </a:prstGeom>
        </cdr:spPr>
      </cdr:pic>
      <cdr:pic>
        <cdr:nvPicPr>
          <cdr:cNvPr id="28" name="Graphique 27" descr="Éclair avec un remplissage uni">
            <a:extLst xmlns:a="http://schemas.openxmlformats.org/drawingml/2006/main">
              <a:ext uri="{FF2B5EF4-FFF2-40B4-BE49-F238E27FC236}">
                <a16:creationId xmlns:a16="http://schemas.microsoft.com/office/drawing/2014/main" id="{6283C657-970B-D68C-2913-3AED2C13B4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xmlns:a="http://schemas.openxmlformats.org/drawingml/2006/main">
            <a:fillRect/>
          </a:stretch>
        </cdr:blipFill>
        <cdr:spPr>
          <a:xfrm xmlns:a="http://schemas.openxmlformats.org/drawingml/2006/main">
            <a:off x="595802" y="15679"/>
            <a:ext cx="914400" cy="914400"/>
          </a:xfrm>
          <a:prstGeom xmlns:a="http://schemas.openxmlformats.org/drawingml/2006/main" prst="rect">
            <a:avLst/>
          </a:prstGeom>
        </cdr:spPr>
      </cdr:pic>
    </cdr:grpSp>
  </cdr:relSizeAnchor>
  <cdr:relSizeAnchor xmlns:cdr="http://schemas.openxmlformats.org/drawingml/2006/chartDrawing">
    <cdr:from>
      <cdr:x>0.16141</cdr:x>
      <cdr:y>0.86868</cdr:y>
    </cdr:from>
    <cdr:to>
      <cdr:x>0.89103</cdr:x>
      <cdr:y>0.86868</cdr:y>
    </cdr:to>
    <cdr:cxnSp macro="">
      <cdr:nvCxnSpPr>
        <cdr:cNvPr id="31" name="Connecteur droit avec flèche 30">
          <a:extLst xmlns:a="http://schemas.openxmlformats.org/drawingml/2006/main">
            <a:ext uri="{FF2B5EF4-FFF2-40B4-BE49-F238E27FC236}">
              <a16:creationId xmlns:a16="http://schemas.microsoft.com/office/drawing/2014/main" id="{214B0AB5-1936-F2DD-A8B4-B6A010DFB50F}"/>
            </a:ext>
          </a:extLst>
        </cdr:cNvPr>
        <cdr:cNvCxnSpPr/>
      </cdr:nvCxnSpPr>
      <cdr:spPr>
        <a:xfrm xmlns:a="http://schemas.openxmlformats.org/drawingml/2006/main">
          <a:off x="2267100" y="7377627"/>
          <a:ext cx="10247947" cy="0"/>
        </a:xfrm>
        <a:prstGeom xmlns:a="http://schemas.openxmlformats.org/drawingml/2006/main" prst="straightConnector1">
          <a:avLst/>
        </a:prstGeom>
        <a:ln xmlns:a="http://schemas.openxmlformats.org/drawingml/2006/main" w="28575">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0.52633</cdr:x>
      <cdr:y>0.49841</cdr:y>
    </cdr:from>
    <cdr:to>
      <cdr:x>0.52685</cdr:x>
      <cdr:y>0.62695</cdr:y>
    </cdr:to>
    <cdr:cxnSp macro="">
      <cdr:nvCxnSpPr>
        <cdr:cNvPr id="33" name="Connecteur droit avec flèche 32">
          <a:extLst xmlns:a="http://schemas.openxmlformats.org/drawingml/2006/main">
            <a:ext uri="{FF2B5EF4-FFF2-40B4-BE49-F238E27FC236}">
              <a16:creationId xmlns:a16="http://schemas.microsoft.com/office/drawing/2014/main" id="{0C3C8342-6E7F-8941-EB1D-C8AAD4CA199C}"/>
            </a:ext>
          </a:extLst>
        </cdr:cNvPr>
        <cdr:cNvCxnSpPr/>
      </cdr:nvCxnSpPr>
      <cdr:spPr>
        <a:xfrm xmlns:a="http://schemas.openxmlformats.org/drawingml/2006/main">
          <a:off x="7416800" y="4114800"/>
          <a:ext cx="7281" cy="1061170"/>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0.21949</cdr:x>
      <cdr:y>0.21119</cdr:y>
    </cdr:from>
    <cdr:to>
      <cdr:x>0.21975</cdr:x>
      <cdr:y>0.25574</cdr:y>
    </cdr:to>
    <cdr:cxnSp macro="">
      <cdr:nvCxnSpPr>
        <cdr:cNvPr id="36" name="Connecteur droit avec flèche 35">
          <a:extLst xmlns:a="http://schemas.openxmlformats.org/drawingml/2006/main">
            <a:ext uri="{FF2B5EF4-FFF2-40B4-BE49-F238E27FC236}">
              <a16:creationId xmlns:a16="http://schemas.microsoft.com/office/drawing/2014/main" id="{A16ED8E5-16FB-F42F-E07E-E29C1A38A789}"/>
            </a:ext>
          </a:extLst>
        </cdr:cNvPr>
        <cdr:cNvCxnSpPr/>
      </cdr:nvCxnSpPr>
      <cdr:spPr>
        <a:xfrm xmlns:a="http://schemas.openxmlformats.org/drawingml/2006/main">
          <a:off x="3077828" y="1706942"/>
          <a:ext cx="3593" cy="360113"/>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0.59927</cdr:x>
      <cdr:y>0.5139</cdr:y>
    </cdr:from>
    <cdr:to>
      <cdr:x>0.6584</cdr:x>
      <cdr:y>0.59472</cdr:y>
    </cdr:to>
    <cdr:sp macro="" textlink="">
      <cdr:nvSpPr>
        <cdr:cNvPr id="37" name="ZoneTexte 1">
          <a:extLst xmlns:a="http://schemas.openxmlformats.org/drawingml/2006/main">
            <a:ext uri="{FF2B5EF4-FFF2-40B4-BE49-F238E27FC236}">
              <a16:creationId xmlns:a16="http://schemas.microsoft.com/office/drawing/2014/main" id="{9EDC49C0-905E-8015-D176-FE5D1903A4A8}"/>
            </a:ext>
          </a:extLst>
        </cdr:cNvPr>
        <cdr:cNvSpPr txBox="1"/>
      </cdr:nvSpPr>
      <cdr:spPr bwMode="auto">
        <a:xfrm xmlns:a="http://schemas.openxmlformats.org/drawingml/2006/main">
          <a:off x="8444681" y="4242716"/>
          <a:ext cx="833234" cy="667237"/>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Consommation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d'énergie</a:t>
          </a:r>
          <a:endParaRPr lang="fr-FR" sz="1800" b="1"/>
        </a:p>
      </cdr:txBody>
    </cdr:sp>
  </cdr:relSizeAnchor>
  <cdr:relSizeAnchor xmlns:cdr="http://schemas.openxmlformats.org/drawingml/2006/chartDrawing">
    <cdr:from>
      <cdr:x>0.70624</cdr:x>
      <cdr:y>0.57495</cdr:y>
    </cdr:from>
    <cdr:to>
      <cdr:x>0.76538</cdr:x>
      <cdr:y>0.65577</cdr:y>
    </cdr:to>
    <cdr:sp macro="" textlink="">
      <cdr:nvSpPr>
        <cdr:cNvPr id="38" name="ZoneTexte 1">
          <a:extLst xmlns:a="http://schemas.openxmlformats.org/drawingml/2006/main">
            <a:ext uri="{FF2B5EF4-FFF2-40B4-BE49-F238E27FC236}">
              <a16:creationId xmlns:a16="http://schemas.microsoft.com/office/drawing/2014/main" id="{F0325A4F-FD76-A203-25AC-67F152A48231}"/>
            </a:ext>
          </a:extLst>
        </cdr:cNvPr>
        <cdr:cNvSpPr txBox="1"/>
      </cdr:nvSpPr>
      <cdr:spPr bwMode="auto">
        <a:xfrm xmlns:a="http://schemas.openxmlformats.org/drawingml/2006/main">
          <a:off x="9894878" y="4725981"/>
          <a:ext cx="828588" cy="66432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Alimentation &amp;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boissons</a:t>
          </a:r>
          <a:endParaRPr lang="fr-FR" sz="1800" b="1"/>
        </a:p>
      </cdr:txBody>
    </cdr:sp>
  </cdr:relSizeAnchor>
  <cdr:relSizeAnchor xmlns:cdr="http://schemas.openxmlformats.org/drawingml/2006/chartDrawing">
    <cdr:from>
      <cdr:x>0.15174</cdr:x>
      <cdr:y>0.13857</cdr:y>
    </cdr:from>
    <cdr:to>
      <cdr:x>0.28059</cdr:x>
      <cdr:y>0.22467</cdr:y>
    </cdr:to>
    <cdr:sp macro="" textlink="">
      <cdr:nvSpPr>
        <cdr:cNvPr id="39" name="ZoneTexte 1">
          <a:extLst xmlns:a="http://schemas.openxmlformats.org/drawingml/2006/main">
            <a:ext uri="{FF2B5EF4-FFF2-40B4-BE49-F238E27FC236}">
              <a16:creationId xmlns:a16="http://schemas.microsoft.com/office/drawing/2014/main" id="{BBDD83AD-8ACF-E741-ACD4-54AC6A7E33C9}"/>
            </a:ext>
          </a:extLst>
        </cdr:cNvPr>
        <cdr:cNvSpPr txBox="1"/>
      </cdr:nvSpPr>
      <cdr:spPr bwMode="auto">
        <a:xfrm xmlns:a="http://schemas.openxmlformats.org/drawingml/2006/main">
          <a:off x="2130561" y="1172131"/>
          <a:ext cx="1809180" cy="728401"/>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Déplacements pour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les entrainements</a:t>
          </a:r>
          <a:endParaRPr lang="fr-FR" sz="1800" b="1"/>
        </a:p>
      </cdr:txBody>
    </cdr:sp>
  </cdr:relSizeAnchor>
  <cdr:relSizeAnchor xmlns:cdr="http://schemas.openxmlformats.org/drawingml/2006/chartDrawing">
    <cdr:from>
      <cdr:x>0.29351</cdr:x>
      <cdr:y>0.2075</cdr:y>
    </cdr:from>
    <cdr:to>
      <cdr:x>0.35264</cdr:x>
      <cdr:y>0.28831</cdr:y>
    </cdr:to>
    <cdr:sp macro="" textlink="">
      <cdr:nvSpPr>
        <cdr:cNvPr id="41" name="ZoneTexte 1">
          <a:extLst xmlns:a="http://schemas.openxmlformats.org/drawingml/2006/main">
            <a:ext uri="{FF2B5EF4-FFF2-40B4-BE49-F238E27FC236}">
              <a16:creationId xmlns:a16="http://schemas.microsoft.com/office/drawing/2014/main" id="{D921A652-E151-6364-A99E-EEE611410B81}"/>
            </a:ext>
          </a:extLst>
        </cdr:cNvPr>
        <cdr:cNvSpPr txBox="1"/>
      </cdr:nvSpPr>
      <cdr:spPr bwMode="auto">
        <a:xfrm xmlns:a="http://schemas.openxmlformats.org/drawingml/2006/main">
          <a:off x="4121055" y="1755247"/>
          <a:ext cx="830230" cy="68357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Déplacements pour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les matchs</a:t>
          </a:r>
          <a:endParaRPr lang="fr-FR" sz="1800" b="1"/>
        </a:p>
      </cdr:txBody>
    </cdr:sp>
  </cdr:relSizeAnchor>
  <cdr:relSizeAnchor xmlns:cdr="http://schemas.openxmlformats.org/drawingml/2006/chartDrawing">
    <cdr:from>
      <cdr:x>0.8011</cdr:x>
      <cdr:y>0.59332</cdr:y>
    </cdr:from>
    <cdr:to>
      <cdr:x>0.86023</cdr:x>
      <cdr:y>0.67414</cdr:y>
    </cdr:to>
    <cdr:sp macro="" textlink="">
      <cdr:nvSpPr>
        <cdr:cNvPr id="42" name="ZoneTexte 1">
          <a:extLst xmlns:a="http://schemas.openxmlformats.org/drawingml/2006/main">
            <a:ext uri="{FF2B5EF4-FFF2-40B4-BE49-F238E27FC236}">
              <a16:creationId xmlns:a16="http://schemas.microsoft.com/office/drawing/2014/main" id="{211D8751-AB56-994D-0728-7FB21ABE9440}"/>
            </a:ext>
          </a:extLst>
        </cdr:cNvPr>
        <cdr:cNvSpPr txBox="1"/>
      </cdr:nvSpPr>
      <cdr:spPr bwMode="auto">
        <a:xfrm xmlns:a="http://schemas.openxmlformats.org/drawingml/2006/main">
          <a:off x="11223918" y="4876992"/>
          <a:ext cx="828449" cy="66432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Déchets</a:t>
          </a:r>
          <a:endParaRPr lang="fr-FR" sz="1800" b="1"/>
        </a:p>
      </cdr:txBody>
    </cdr:sp>
  </cdr:relSizeAnchor>
  <cdr:relSizeAnchor xmlns:cdr="http://schemas.openxmlformats.org/drawingml/2006/chartDrawing">
    <cdr:from>
      <cdr:x>0.39378</cdr:x>
      <cdr:y>0.31896</cdr:y>
    </cdr:from>
    <cdr:to>
      <cdr:x>0.45291</cdr:x>
      <cdr:y>0.39978</cdr:y>
    </cdr:to>
    <cdr:sp macro="" textlink="">
      <cdr:nvSpPr>
        <cdr:cNvPr id="44" name="ZoneTexte 1">
          <a:extLst xmlns:a="http://schemas.openxmlformats.org/drawingml/2006/main">
            <a:ext uri="{FF2B5EF4-FFF2-40B4-BE49-F238E27FC236}">
              <a16:creationId xmlns:a16="http://schemas.microsoft.com/office/drawing/2014/main" id="{D919BAAC-C76C-F5C9-F4FD-952654D77033}"/>
            </a:ext>
          </a:extLst>
        </cdr:cNvPr>
        <cdr:cNvSpPr txBox="1"/>
      </cdr:nvSpPr>
      <cdr:spPr bwMode="auto">
        <a:xfrm xmlns:a="http://schemas.openxmlformats.org/drawingml/2006/main">
          <a:off x="5528953" y="2576553"/>
          <a:ext cx="830230" cy="652867"/>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Matériel sportif</a:t>
          </a:r>
          <a:endParaRPr lang="fr-FR" sz="1800" b="1"/>
        </a:p>
      </cdr:txBody>
    </cdr:sp>
  </cdr:relSizeAnchor>
  <cdr:relSizeAnchor xmlns:cdr="http://schemas.openxmlformats.org/drawingml/2006/chartDrawing">
    <cdr:from>
      <cdr:x>0.62907</cdr:x>
      <cdr:y>0.59071</cdr:y>
    </cdr:from>
    <cdr:to>
      <cdr:x>0.62907</cdr:x>
      <cdr:y>0.66762</cdr:y>
    </cdr:to>
    <cdr:cxnSp macro="">
      <cdr:nvCxnSpPr>
        <cdr:cNvPr id="49" name="Connecteur droit avec flèche 48">
          <a:extLst xmlns:a="http://schemas.openxmlformats.org/drawingml/2006/main">
            <a:ext uri="{FF2B5EF4-FFF2-40B4-BE49-F238E27FC236}">
              <a16:creationId xmlns:a16="http://schemas.microsoft.com/office/drawing/2014/main" id="{BDAD0456-83E5-DC5F-C2BF-98CA760B9608}"/>
            </a:ext>
          </a:extLst>
        </cdr:cNvPr>
        <cdr:cNvCxnSpPr/>
      </cdr:nvCxnSpPr>
      <cdr:spPr>
        <a:xfrm xmlns:a="http://schemas.openxmlformats.org/drawingml/2006/main">
          <a:off x="8864600" y="4876800"/>
          <a:ext cx="0" cy="635000"/>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0.42252</cdr:x>
      <cdr:y>0.40829</cdr:y>
    </cdr:from>
    <cdr:to>
      <cdr:x>0.42301</cdr:x>
      <cdr:y>0.49962</cdr:y>
    </cdr:to>
    <cdr:cxnSp macro="">
      <cdr:nvCxnSpPr>
        <cdr:cNvPr id="53" name="Connecteur droit avec flèche 52">
          <a:extLst xmlns:a="http://schemas.openxmlformats.org/drawingml/2006/main">
            <a:ext uri="{FF2B5EF4-FFF2-40B4-BE49-F238E27FC236}">
              <a16:creationId xmlns:a16="http://schemas.microsoft.com/office/drawing/2014/main" id="{F794731E-6E6A-2487-3FFC-C0A77368CC6C}"/>
            </a:ext>
          </a:extLst>
        </cdr:cNvPr>
        <cdr:cNvCxnSpPr/>
      </cdr:nvCxnSpPr>
      <cdr:spPr>
        <a:xfrm xmlns:a="http://schemas.openxmlformats.org/drawingml/2006/main">
          <a:off x="5932511" y="3298151"/>
          <a:ext cx="6880" cy="737767"/>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0.83128</cdr:x>
      <cdr:y>0.65018</cdr:y>
    </cdr:from>
    <cdr:to>
      <cdr:x>0.8313</cdr:x>
      <cdr:y>0.74391</cdr:y>
    </cdr:to>
    <cdr:cxnSp macro="">
      <cdr:nvCxnSpPr>
        <cdr:cNvPr id="55" name="Connecteur droit avec flèche 54">
          <a:extLst xmlns:a="http://schemas.openxmlformats.org/drawingml/2006/main">
            <a:ext uri="{FF2B5EF4-FFF2-40B4-BE49-F238E27FC236}">
              <a16:creationId xmlns:a16="http://schemas.microsoft.com/office/drawing/2014/main" id="{14D4D5C2-2E86-069F-5B1F-3F1DF7244771}"/>
            </a:ext>
          </a:extLst>
        </cdr:cNvPr>
        <cdr:cNvCxnSpPr/>
      </cdr:nvCxnSpPr>
      <cdr:spPr>
        <a:xfrm xmlns:a="http://schemas.openxmlformats.org/drawingml/2006/main" flipH="1">
          <a:off x="11646786" y="5344346"/>
          <a:ext cx="281" cy="770442"/>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0.49728</cdr:x>
      <cdr:y>0.87356</cdr:y>
    </cdr:from>
    <cdr:to>
      <cdr:x>0.56472</cdr:x>
      <cdr:y>0.98398</cdr:y>
    </cdr:to>
    <cdr:sp macro="" textlink="Résultat!$F$79">
      <cdr:nvSpPr>
        <cdr:cNvPr id="58" name="ZoneTexte 57">
          <a:extLst xmlns:a="http://schemas.openxmlformats.org/drawingml/2006/main">
            <a:ext uri="{FF2B5EF4-FFF2-40B4-BE49-F238E27FC236}">
              <a16:creationId xmlns:a16="http://schemas.microsoft.com/office/drawing/2014/main" id="{3807C7A6-D42D-6022-8D9B-73BA1D35A82C}"/>
            </a:ext>
          </a:extLst>
        </cdr:cNvPr>
        <cdr:cNvSpPr txBox="1"/>
      </cdr:nvSpPr>
      <cdr:spPr bwMode="auto">
        <a:xfrm xmlns:a="http://schemas.openxmlformats.org/drawingml/2006/main">
          <a:off x="7007450" y="7478271"/>
          <a:ext cx="950335" cy="94526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nchor="ctr"/>
        <a:lstStyle xmlns:a="http://schemas.openxmlformats.org/drawingml/2006/main"/>
        <a:p xmlns:a="http://schemas.openxmlformats.org/drawingml/2006/main">
          <a:pPr algn="ctr"/>
          <a:fld id="{08DE2190-6AF6-0843-8049-8240CD7E14F9}" type="TxLink">
            <a:rPr lang="en-US" sz="2400" b="1" i="0" u="none" strike="noStrike">
              <a:solidFill>
                <a:srgbClr val="000000"/>
              </a:solidFill>
              <a:latin typeface="Arial (Corps)"/>
              <a:cs typeface="Arial"/>
            </a:rPr>
            <a:pPr algn="ctr"/>
            <a:t>-76%</a:t>
          </a:fld>
          <a:endParaRPr lang="fr-FR" sz="8800" b="1">
            <a:solidFill>
              <a:schemeClr val="tx2"/>
            </a:solidFill>
          </a:endParaRPr>
        </a:p>
      </cdr:txBody>
    </cdr:sp>
  </cdr:relSizeAnchor>
  <cdr:relSizeAnchor xmlns:cdr="http://schemas.openxmlformats.org/drawingml/2006/chartDrawing">
    <cdr:from>
      <cdr:x>0.50095</cdr:x>
      <cdr:y>0.3522</cdr:y>
    </cdr:from>
    <cdr:to>
      <cdr:x>0.54728</cdr:x>
      <cdr:y>0.43021</cdr:y>
    </cdr:to>
    <cdr:pic>
      <cdr:nvPicPr>
        <cdr:cNvPr id="8" name="Graphique 10" descr="Accueil">
          <a:extLst xmlns:a="http://schemas.openxmlformats.org/drawingml/2006/main">
            <a:ext uri="{FF2B5EF4-FFF2-40B4-BE49-F238E27FC236}">
              <a16:creationId xmlns:a16="http://schemas.microsoft.com/office/drawing/2014/main" id="{78EF65EE-8397-6DCD-AF96-CB3A67C0C7F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5">
          <a:extLst>
            <a:ext uri="{96DAC541-7B7A-43D3-8B79-37D633B846F1}">
              <asvg:svgBlip xmlns:asvg="http://schemas.microsoft.com/office/drawing/2016/SVG/main" r:embed="rId16"/>
            </a:ext>
          </a:extLst>
        </a:blip>
        <a:stretch xmlns:a="http://schemas.openxmlformats.org/drawingml/2006/main">
          <a:fillRect/>
        </a:stretch>
      </cdr:blipFill>
      <cdr:spPr>
        <a:xfrm xmlns:a="http://schemas.openxmlformats.org/drawingml/2006/main">
          <a:off x="7059159" y="2907710"/>
          <a:ext cx="652861" cy="644038"/>
        </a:xfrm>
        <a:prstGeom xmlns:a="http://schemas.openxmlformats.org/drawingml/2006/main" prst="rect">
          <a:avLst/>
        </a:prstGeom>
      </cdr:spPr>
    </cdr:pic>
  </cdr:relSizeAnchor>
  <cdr:relSizeAnchor xmlns:cdr="http://schemas.openxmlformats.org/drawingml/2006/chartDrawing">
    <cdr:from>
      <cdr:x>0.50375</cdr:x>
      <cdr:y>0.41751</cdr:y>
    </cdr:from>
    <cdr:to>
      <cdr:x>0.56289</cdr:x>
      <cdr:y>0.49833</cdr:y>
    </cdr:to>
    <cdr:sp macro="" textlink="">
      <cdr:nvSpPr>
        <cdr:cNvPr id="15" name="ZoneTexte 1">
          <a:extLst xmlns:a="http://schemas.openxmlformats.org/drawingml/2006/main">
            <a:ext uri="{FF2B5EF4-FFF2-40B4-BE49-F238E27FC236}">
              <a16:creationId xmlns:a16="http://schemas.microsoft.com/office/drawing/2014/main" id="{65C4B176-7ECE-2C46-96DE-FBCFD5176EA8}"/>
            </a:ext>
          </a:extLst>
        </cdr:cNvPr>
        <cdr:cNvSpPr txBox="1"/>
      </cdr:nvSpPr>
      <cdr:spPr bwMode="auto">
        <a:xfrm xmlns:a="http://schemas.openxmlformats.org/drawingml/2006/main">
          <a:off x="7098688" y="3446924"/>
          <a:ext cx="833374" cy="667237"/>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Infrastructures</a:t>
          </a:r>
          <a:r>
            <a:rPr lang="fr-FR" sz="1400" b="1" baseline="0"/>
            <a:t> (club,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t>surface de jeu, etc.)</a:t>
          </a:r>
          <a:endParaRPr lang="fr-FR" sz="1800" b="1"/>
        </a:p>
      </cdr:txBody>
    </cdr:sp>
  </cdr:relSizeAnchor>
  <cdr:relSizeAnchor xmlns:cdr="http://schemas.openxmlformats.org/drawingml/2006/chartDrawing">
    <cdr:from>
      <cdr:x>0.7348</cdr:x>
      <cdr:y>0.65057</cdr:y>
    </cdr:from>
    <cdr:to>
      <cdr:x>0.73507</cdr:x>
      <cdr:y>0.70708</cdr:y>
    </cdr:to>
    <cdr:cxnSp macro="">
      <cdr:nvCxnSpPr>
        <cdr:cNvPr id="12" name="Connecteur droit avec flèche 11">
          <a:extLst xmlns:a="http://schemas.openxmlformats.org/drawingml/2006/main">
            <a:ext uri="{FF2B5EF4-FFF2-40B4-BE49-F238E27FC236}">
              <a16:creationId xmlns:a16="http://schemas.microsoft.com/office/drawing/2014/main" id="{A23B2A71-2681-66A2-90D0-4296E09F3046}"/>
            </a:ext>
          </a:extLst>
        </cdr:cNvPr>
        <cdr:cNvCxnSpPr/>
      </cdr:nvCxnSpPr>
      <cdr:spPr>
        <a:xfrm xmlns:a="http://schemas.openxmlformats.org/drawingml/2006/main" flipH="1">
          <a:off x="10294976" y="5347586"/>
          <a:ext cx="3838" cy="464470"/>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0.32261</cdr:x>
      <cdr:y>0.27925</cdr:y>
    </cdr:from>
    <cdr:to>
      <cdr:x>0.32303</cdr:x>
      <cdr:y>0.39174</cdr:y>
    </cdr:to>
    <cdr:cxnSp macro="">
      <cdr:nvCxnSpPr>
        <cdr:cNvPr id="25" name="Connecteur droit avec flèche 24">
          <a:extLst xmlns:a="http://schemas.openxmlformats.org/drawingml/2006/main">
            <a:ext uri="{FF2B5EF4-FFF2-40B4-BE49-F238E27FC236}">
              <a16:creationId xmlns:a16="http://schemas.microsoft.com/office/drawing/2014/main" id="{723EFCE5-6114-1D1A-A0BC-D8533A14C2A7}"/>
            </a:ext>
          </a:extLst>
        </cdr:cNvPr>
        <cdr:cNvCxnSpPr/>
      </cdr:nvCxnSpPr>
      <cdr:spPr>
        <a:xfrm xmlns:a="http://schemas.openxmlformats.org/drawingml/2006/main">
          <a:off x="4523843" y="2257036"/>
          <a:ext cx="5823" cy="909200"/>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1</xdr:col>
      <xdr:colOff>0</xdr:colOff>
      <xdr:row>0</xdr:row>
      <xdr:rowOff>60960</xdr:rowOff>
    </xdr:from>
    <xdr:to>
      <xdr:col>1</xdr:col>
      <xdr:colOff>0</xdr:colOff>
      <xdr:row>1</xdr:row>
      <xdr:rowOff>106680</xdr:rowOff>
    </xdr:to>
    <xdr:sp macro="" textlink="">
      <xdr:nvSpPr>
        <xdr:cNvPr id="2" name="Flèche gauche 1">
          <a:hlinkClick xmlns:r="http://schemas.openxmlformats.org/officeDocument/2006/relationships" r:id="rId1"/>
          <a:extLst>
            <a:ext uri="{FF2B5EF4-FFF2-40B4-BE49-F238E27FC236}">
              <a16:creationId xmlns:a16="http://schemas.microsoft.com/office/drawing/2014/main" id="{BCDDEBD0-4F8F-654A-B3B1-5FBD9799614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 name="Flèche gauche 1">
          <a:hlinkClick xmlns:r="http://schemas.openxmlformats.org/officeDocument/2006/relationships" r:id="rId1"/>
          <a:extLst>
            <a:ext uri="{FF2B5EF4-FFF2-40B4-BE49-F238E27FC236}">
              <a16:creationId xmlns:a16="http://schemas.microsoft.com/office/drawing/2014/main" id="{BF841107-79DF-C148-9CC1-DED67CE14A6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 name="Flèche gauche 1">
          <a:hlinkClick xmlns:r="http://schemas.openxmlformats.org/officeDocument/2006/relationships" r:id="rId1"/>
          <a:extLst>
            <a:ext uri="{FF2B5EF4-FFF2-40B4-BE49-F238E27FC236}">
              <a16:creationId xmlns:a16="http://schemas.microsoft.com/office/drawing/2014/main" id="{BF08A330-4C91-D04C-8C09-84E96DFAEBC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 name="Flèche gauche 1">
          <a:hlinkClick xmlns:r="http://schemas.openxmlformats.org/officeDocument/2006/relationships" r:id="rId2"/>
          <a:extLst>
            <a:ext uri="{FF2B5EF4-FFF2-40B4-BE49-F238E27FC236}">
              <a16:creationId xmlns:a16="http://schemas.microsoft.com/office/drawing/2014/main" id="{807E9ED9-5ECE-7A41-9023-52CF04D316B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 name="Flèche gauche 1">
          <a:hlinkClick xmlns:r="http://schemas.openxmlformats.org/officeDocument/2006/relationships" r:id="rId1"/>
          <a:extLst>
            <a:ext uri="{FF2B5EF4-FFF2-40B4-BE49-F238E27FC236}">
              <a16:creationId xmlns:a16="http://schemas.microsoft.com/office/drawing/2014/main" id="{C3007F45-DE56-F547-9CB4-25467D8D713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 name="Flèche gauche 1">
          <a:hlinkClick xmlns:r="http://schemas.openxmlformats.org/officeDocument/2006/relationships" r:id="rId1"/>
          <a:extLst>
            <a:ext uri="{FF2B5EF4-FFF2-40B4-BE49-F238E27FC236}">
              <a16:creationId xmlns:a16="http://schemas.microsoft.com/office/drawing/2014/main" id="{8B7D97AF-8A47-EE4D-BBAB-205A618DB85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 name="Flèche gauche 1">
          <a:hlinkClick xmlns:r="http://schemas.openxmlformats.org/officeDocument/2006/relationships" r:id="rId1"/>
          <a:extLst>
            <a:ext uri="{FF2B5EF4-FFF2-40B4-BE49-F238E27FC236}">
              <a16:creationId xmlns:a16="http://schemas.microsoft.com/office/drawing/2014/main" id="{DB5A51D7-C8DC-6D4E-9866-95627C8F85B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 name="Flèche gauche 1">
          <a:hlinkClick xmlns:r="http://schemas.openxmlformats.org/officeDocument/2006/relationships" r:id="rId2"/>
          <a:extLst>
            <a:ext uri="{FF2B5EF4-FFF2-40B4-BE49-F238E27FC236}">
              <a16:creationId xmlns:a16="http://schemas.microsoft.com/office/drawing/2014/main" id="{D03CFC86-B6BC-9742-8979-EB46FC05DE8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 name="Flèche gauche 1">
          <a:hlinkClick xmlns:r="http://schemas.openxmlformats.org/officeDocument/2006/relationships" r:id="rId1"/>
          <a:extLst>
            <a:ext uri="{FF2B5EF4-FFF2-40B4-BE49-F238E27FC236}">
              <a16:creationId xmlns:a16="http://schemas.microsoft.com/office/drawing/2014/main" id="{A1EC4E76-64BD-D84D-ADAA-A3A1CABFAC5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 name="Flèche gauche 1">
          <a:hlinkClick xmlns:r="http://schemas.openxmlformats.org/officeDocument/2006/relationships" r:id="rId1"/>
          <a:extLst>
            <a:ext uri="{FF2B5EF4-FFF2-40B4-BE49-F238E27FC236}">
              <a16:creationId xmlns:a16="http://schemas.microsoft.com/office/drawing/2014/main" id="{4A3BDFBA-6E51-0A46-A8D0-A3C1ACA9FA3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 name="Flèche gauche 1">
          <a:hlinkClick xmlns:r="http://schemas.openxmlformats.org/officeDocument/2006/relationships" r:id="rId1"/>
          <a:extLst>
            <a:ext uri="{FF2B5EF4-FFF2-40B4-BE49-F238E27FC236}">
              <a16:creationId xmlns:a16="http://schemas.microsoft.com/office/drawing/2014/main" id="{3F3E4B4B-7272-8E47-AB0C-EEE5BCCCDC1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3" name="Flèche gauche 1">
          <a:hlinkClick xmlns:r="http://schemas.openxmlformats.org/officeDocument/2006/relationships" r:id="rId2"/>
          <a:extLst>
            <a:ext uri="{FF2B5EF4-FFF2-40B4-BE49-F238E27FC236}">
              <a16:creationId xmlns:a16="http://schemas.microsoft.com/office/drawing/2014/main" id="{D7EC383A-63F9-B34E-B3D8-BCD9783970F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4" name="Flèche gauche 1">
          <a:hlinkClick xmlns:r="http://schemas.openxmlformats.org/officeDocument/2006/relationships" r:id="rId1"/>
          <a:extLst>
            <a:ext uri="{FF2B5EF4-FFF2-40B4-BE49-F238E27FC236}">
              <a16:creationId xmlns:a16="http://schemas.microsoft.com/office/drawing/2014/main" id="{4562265B-555B-D94F-9942-6E8CA1AA4F0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5" name="Flèche gauche 1">
          <a:hlinkClick xmlns:r="http://schemas.openxmlformats.org/officeDocument/2006/relationships" r:id="rId1"/>
          <a:extLst>
            <a:ext uri="{FF2B5EF4-FFF2-40B4-BE49-F238E27FC236}">
              <a16:creationId xmlns:a16="http://schemas.microsoft.com/office/drawing/2014/main" id="{A35728E8-609A-5A4E-9EBE-EEA8D406A22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6" name="Flèche gauche 1">
          <a:hlinkClick xmlns:r="http://schemas.openxmlformats.org/officeDocument/2006/relationships" r:id="rId1"/>
          <a:extLst>
            <a:ext uri="{FF2B5EF4-FFF2-40B4-BE49-F238E27FC236}">
              <a16:creationId xmlns:a16="http://schemas.microsoft.com/office/drawing/2014/main" id="{60D1D7B0-D6F6-724C-9A34-8D07E13897A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7" name="Flèche gauche 1">
          <a:hlinkClick xmlns:r="http://schemas.openxmlformats.org/officeDocument/2006/relationships" r:id="rId2"/>
          <a:extLst>
            <a:ext uri="{FF2B5EF4-FFF2-40B4-BE49-F238E27FC236}">
              <a16:creationId xmlns:a16="http://schemas.microsoft.com/office/drawing/2014/main" id="{7BCA5CCF-397F-514A-ABDF-982ACDB0D25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8" name="Flèche gauche 1">
          <a:hlinkClick xmlns:r="http://schemas.openxmlformats.org/officeDocument/2006/relationships" r:id="rId1"/>
          <a:extLst>
            <a:ext uri="{FF2B5EF4-FFF2-40B4-BE49-F238E27FC236}">
              <a16:creationId xmlns:a16="http://schemas.microsoft.com/office/drawing/2014/main" id="{269F9AE5-4C8D-E044-B75E-2FBDEB275B3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9" name="Flèche gauche 1">
          <a:hlinkClick xmlns:r="http://schemas.openxmlformats.org/officeDocument/2006/relationships" r:id="rId1"/>
          <a:extLst>
            <a:ext uri="{FF2B5EF4-FFF2-40B4-BE49-F238E27FC236}">
              <a16:creationId xmlns:a16="http://schemas.microsoft.com/office/drawing/2014/main" id="{E12699A8-972A-1542-9767-314F9FB9068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0" name="Flèche gauche 1">
          <a:hlinkClick xmlns:r="http://schemas.openxmlformats.org/officeDocument/2006/relationships" r:id="rId1"/>
          <a:extLst>
            <a:ext uri="{FF2B5EF4-FFF2-40B4-BE49-F238E27FC236}">
              <a16:creationId xmlns:a16="http://schemas.microsoft.com/office/drawing/2014/main" id="{90A1BDB5-912A-4046-A53D-107F8C9EDBA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1" name="Flèche gauche 1">
          <a:hlinkClick xmlns:r="http://schemas.openxmlformats.org/officeDocument/2006/relationships" r:id="rId2"/>
          <a:extLst>
            <a:ext uri="{FF2B5EF4-FFF2-40B4-BE49-F238E27FC236}">
              <a16:creationId xmlns:a16="http://schemas.microsoft.com/office/drawing/2014/main" id="{5D48E0D6-EE9C-B242-83D2-5D185E346FA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2" name="Flèche gauche 1">
          <a:hlinkClick xmlns:r="http://schemas.openxmlformats.org/officeDocument/2006/relationships" r:id="rId1"/>
          <a:extLst>
            <a:ext uri="{FF2B5EF4-FFF2-40B4-BE49-F238E27FC236}">
              <a16:creationId xmlns:a16="http://schemas.microsoft.com/office/drawing/2014/main" id="{E4458FA7-97E9-8C46-873B-40713900787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3" name="Flèche gauche 1">
          <a:hlinkClick xmlns:r="http://schemas.openxmlformats.org/officeDocument/2006/relationships" r:id="rId1"/>
          <a:extLst>
            <a:ext uri="{FF2B5EF4-FFF2-40B4-BE49-F238E27FC236}">
              <a16:creationId xmlns:a16="http://schemas.microsoft.com/office/drawing/2014/main" id="{2CE147B7-1B36-2B42-91E0-6E796134BB2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4" name="Flèche gauche 1">
          <a:hlinkClick xmlns:r="http://schemas.openxmlformats.org/officeDocument/2006/relationships" r:id="rId1"/>
          <a:extLst>
            <a:ext uri="{FF2B5EF4-FFF2-40B4-BE49-F238E27FC236}">
              <a16:creationId xmlns:a16="http://schemas.microsoft.com/office/drawing/2014/main" id="{5F59ACE0-A603-A845-A63A-E4E9C2C3095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5" name="Flèche gauche 1">
          <a:hlinkClick xmlns:r="http://schemas.openxmlformats.org/officeDocument/2006/relationships" r:id="rId2"/>
          <a:extLst>
            <a:ext uri="{FF2B5EF4-FFF2-40B4-BE49-F238E27FC236}">
              <a16:creationId xmlns:a16="http://schemas.microsoft.com/office/drawing/2014/main" id="{D548DCFD-DE43-8C44-BCF6-DF3054FFBB9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6" name="Flèche gauche 1">
          <a:hlinkClick xmlns:r="http://schemas.openxmlformats.org/officeDocument/2006/relationships" r:id="rId1"/>
          <a:extLst>
            <a:ext uri="{FF2B5EF4-FFF2-40B4-BE49-F238E27FC236}">
              <a16:creationId xmlns:a16="http://schemas.microsoft.com/office/drawing/2014/main" id="{77DA129A-9CDF-174E-A78D-5903D8747DA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7" name="Flèche gauche 1">
          <a:hlinkClick xmlns:r="http://schemas.openxmlformats.org/officeDocument/2006/relationships" r:id="rId1"/>
          <a:extLst>
            <a:ext uri="{FF2B5EF4-FFF2-40B4-BE49-F238E27FC236}">
              <a16:creationId xmlns:a16="http://schemas.microsoft.com/office/drawing/2014/main" id="{752F9813-E2EE-C840-80F8-A2C3614E669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8" name="Flèche gauche 1">
          <a:hlinkClick xmlns:r="http://schemas.openxmlformats.org/officeDocument/2006/relationships" r:id="rId1"/>
          <a:extLst>
            <a:ext uri="{FF2B5EF4-FFF2-40B4-BE49-F238E27FC236}">
              <a16:creationId xmlns:a16="http://schemas.microsoft.com/office/drawing/2014/main" id="{0370BCAB-F496-9A42-B585-EF779075E73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9" name="Flèche gauche 1">
          <a:hlinkClick xmlns:r="http://schemas.openxmlformats.org/officeDocument/2006/relationships" r:id="rId2"/>
          <a:extLst>
            <a:ext uri="{FF2B5EF4-FFF2-40B4-BE49-F238E27FC236}">
              <a16:creationId xmlns:a16="http://schemas.microsoft.com/office/drawing/2014/main" id="{71241F61-9C49-8244-855B-F37E35F381B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0" name="Flèche gauche 1">
          <a:hlinkClick xmlns:r="http://schemas.openxmlformats.org/officeDocument/2006/relationships" r:id="rId1"/>
          <a:extLst>
            <a:ext uri="{FF2B5EF4-FFF2-40B4-BE49-F238E27FC236}">
              <a16:creationId xmlns:a16="http://schemas.microsoft.com/office/drawing/2014/main" id="{15481BF3-E42A-444A-8F4B-A2CE1DA3234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1" name="Flèche gauche 1">
          <a:hlinkClick xmlns:r="http://schemas.openxmlformats.org/officeDocument/2006/relationships" r:id="rId1"/>
          <a:extLst>
            <a:ext uri="{FF2B5EF4-FFF2-40B4-BE49-F238E27FC236}">
              <a16:creationId xmlns:a16="http://schemas.microsoft.com/office/drawing/2014/main" id="{1E190B4F-B901-5C4D-BF98-F50C8BB452E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2" name="Flèche gauche 1">
          <a:hlinkClick xmlns:r="http://schemas.openxmlformats.org/officeDocument/2006/relationships" r:id="rId1"/>
          <a:extLst>
            <a:ext uri="{FF2B5EF4-FFF2-40B4-BE49-F238E27FC236}">
              <a16:creationId xmlns:a16="http://schemas.microsoft.com/office/drawing/2014/main" id="{94F170D4-376C-244B-BD49-18255EE8334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3" name="Flèche gauche 1">
          <a:hlinkClick xmlns:r="http://schemas.openxmlformats.org/officeDocument/2006/relationships" r:id="rId2"/>
          <a:extLst>
            <a:ext uri="{FF2B5EF4-FFF2-40B4-BE49-F238E27FC236}">
              <a16:creationId xmlns:a16="http://schemas.microsoft.com/office/drawing/2014/main" id="{23A864F0-CB57-6B4B-822B-CC85BE9357B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4" name="Flèche gauche 1">
          <a:hlinkClick xmlns:r="http://schemas.openxmlformats.org/officeDocument/2006/relationships" r:id="rId1"/>
          <a:extLst>
            <a:ext uri="{FF2B5EF4-FFF2-40B4-BE49-F238E27FC236}">
              <a16:creationId xmlns:a16="http://schemas.microsoft.com/office/drawing/2014/main" id="{7BF2C6F2-19FF-744B-A6B4-A26A0C10429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5" name="Flèche gauche 1">
          <a:hlinkClick xmlns:r="http://schemas.openxmlformats.org/officeDocument/2006/relationships" r:id="rId1"/>
          <a:extLst>
            <a:ext uri="{FF2B5EF4-FFF2-40B4-BE49-F238E27FC236}">
              <a16:creationId xmlns:a16="http://schemas.microsoft.com/office/drawing/2014/main" id="{F8DEAD7D-4658-D34D-A241-655067A1150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6" name="Flèche gauche 1">
          <a:hlinkClick xmlns:r="http://schemas.openxmlformats.org/officeDocument/2006/relationships" r:id="rId1"/>
          <a:extLst>
            <a:ext uri="{FF2B5EF4-FFF2-40B4-BE49-F238E27FC236}">
              <a16:creationId xmlns:a16="http://schemas.microsoft.com/office/drawing/2014/main" id="{A9968CDD-F4ED-9742-8727-E17EC404992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7" name="Flèche gauche 1">
          <a:hlinkClick xmlns:r="http://schemas.openxmlformats.org/officeDocument/2006/relationships" r:id="rId2"/>
          <a:extLst>
            <a:ext uri="{FF2B5EF4-FFF2-40B4-BE49-F238E27FC236}">
              <a16:creationId xmlns:a16="http://schemas.microsoft.com/office/drawing/2014/main" id="{718CA9C3-4B19-C348-B02D-FBA84939382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8" name="Flèche gauche 1">
          <a:hlinkClick xmlns:r="http://schemas.openxmlformats.org/officeDocument/2006/relationships" r:id="rId1"/>
          <a:extLst>
            <a:ext uri="{FF2B5EF4-FFF2-40B4-BE49-F238E27FC236}">
              <a16:creationId xmlns:a16="http://schemas.microsoft.com/office/drawing/2014/main" id="{DACA19BE-8074-3246-8046-8687AFE211B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9" name="Flèche gauche 1">
          <a:hlinkClick xmlns:r="http://schemas.openxmlformats.org/officeDocument/2006/relationships" r:id="rId1"/>
          <a:extLst>
            <a:ext uri="{FF2B5EF4-FFF2-40B4-BE49-F238E27FC236}">
              <a16:creationId xmlns:a16="http://schemas.microsoft.com/office/drawing/2014/main" id="{825F749C-D1F2-E644-8DD3-0E14661A6C2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0" name="Flèche gauche 1">
          <a:hlinkClick xmlns:r="http://schemas.openxmlformats.org/officeDocument/2006/relationships" r:id="rId1"/>
          <a:extLst>
            <a:ext uri="{FF2B5EF4-FFF2-40B4-BE49-F238E27FC236}">
              <a16:creationId xmlns:a16="http://schemas.microsoft.com/office/drawing/2014/main" id="{38AA7D9D-FD20-6547-96CC-671B950210E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1" name="Flèche gauche 1">
          <a:hlinkClick xmlns:r="http://schemas.openxmlformats.org/officeDocument/2006/relationships" r:id="rId2"/>
          <a:extLst>
            <a:ext uri="{FF2B5EF4-FFF2-40B4-BE49-F238E27FC236}">
              <a16:creationId xmlns:a16="http://schemas.microsoft.com/office/drawing/2014/main" id="{58CD7370-F98C-824C-9688-7F80611D77B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2" name="Flèche gauche 1">
          <a:hlinkClick xmlns:r="http://schemas.openxmlformats.org/officeDocument/2006/relationships" r:id="rId1"/>
          <a:extLst>
            <a:ext uri="{FF2B5EF4-FFF2-40B4-BE49-F238E27FC236}">
              <a16:creationId xmlns:a16="http://schemas.microsoft.com/office/drawing/2014/main" id="{95C18DA0-1E17-074D-AAF6-5857FA6E344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3" name="Flèche gauche 1">
          <a:hlinkClick xmlns:r="http://schemas.openxmlformats.org/officeDocument/2006/relationships" r:id="rId1"/>
          <a:extLst>
            <a:ext uri="{FF2B5EF4-FFF2-40B4-BE49-F238E27FC236}">
              <a16:creationId xmlns:a16="http://schemas.microsoft.com/office/drawing/2014/main" id="{E7EDAA85-C8B0-0843-BEF7-4F2542EE7B2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4" name="Flèche gauche 1">
          <a:hlinkClick xmlns:r="http://schemas.openxmlformats.org/officeDocument/2006/relationships" r:id="rId1"/>
          <a:extLst>
            <a:ext uri="{FF2B5EF4-FFF2-40B4-BE49-F238E27FC236}">
              <a16:creationId xmlns:a16="http://schemas.microsoft.com/office/drawing/2014/main" id="{51D01569-6D65-3E48-A3BE-67AA30C0766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5" name="Flèche gauche 1">
          <a:hlinkClick xmlns:r="http://schemas.openxmlformats.org/officeDocument/2006/relationships" r:id="rId2"/>
          <a:extLst>
            <a:ext uri="{FF2B5EF4-FFF2-40B4-BE49-F238E27FC236}">
              <a16:creationId xmlns:a16="http://schemas.microsoft.com/office/drawing/2014/main" id="{0262670B-A902-D04B-90EA-5DD2DE53D07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6" name="Flèche gauche 1">
          <a:hlinkClick xmlns:r="http://schemas.openxmlformats.org/officeDocument/2006/relationships" r:id="rId1"/>
          <a:extLst>
            <a:ext uri="{FF2B5EF4-FFF2-40B4-BE49-F238E27FC236}">
              <a16:creationId xmlns:a16="http://schemas.microsoft.com/office/drawing/2014/main" id="{E5C89107-28A0-0544-B59E-38399EF5CB0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7" name="Flèche gauche 1">
          <a:hlinkClick xmlns:r="http://schemas.openxmlformats.org/officeDocument/2006/relationships" r:id="rId1"/>
          <a:extLst>
            <a:ext uri="{FF2B5EF4-FFF2-40B4-BE49-F238E27FC236}">
              <a16:creationId xmlns:a16="http://schemas.microsoft.com/office/drawing/2014/main" id="{0BE38DA7-E221-FF42-9E0A-6C54317CA7B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8" name="Flèche gauche 1">
          <a:hlinkClick xmlns:r="http://schemas.openxmlformats.org/officeDocument/2006/relationships" r:id="rId1"/>
          <a:extLst>
            <a:ext uri="{FF2B5EF4-FFF2-40B4-BE49-F238E27FC236}">
              <a16:creationId xmlns:a16="http://schemas.microsoft.com/office/drawing/2014/main" id="{266809F4-B0E8-7C44-A79A-214DC9009AD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9" name="Flèche gauche 1">
          <a:hlinkClick xmlns:r="http://schemas.openxmlformats.org/officeDocument/2006/relationships" r:id="rId2"/>
          <a:extLst>
            <a:ext uri="{FF2B5EF4-FFF2-40B4-BE49-F238E27FC236}">
              <a16:creationId xmlns:a16="http://schemas.microsoft.com/office/drawing/2014/main" id="{CEDFF0DA-6890-6D4C-A1A0-2391017DB3A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0" name="Flèche gauche 1">
          <a:hlinkClick xmlns:r="http://schemas.openxmlformats.org/officeDocument/2006/relationships" r:id="rId1"/>
          <a:extLst>
            <a:ext uri="{FF2B5EF4-FFF2-40B4-BE49-F238E27FC236}">
              <a16:creationId xmlns:a16="http://schemas.microsoft.com/office/drawing/2014/main" id="{261145AC-03DA-324D-A64A-DB089646D01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1" name="Flèche gauche 1">
          <a:hlinkClick xmlns:r="http://schemas.openxmlformats.org/officeDocument/2006/relationships" r:id="rId1"/>
          <a:extLst>
            <a:ext uri="{FF2B5EF4-FFF2-40B4-BE49-F238E27FC236}">
              <a16:creationId xmlns:a16="http://schemas.microsoft.com/office/drawing/2014/main" id="{30EDB125-F28E-8445-B072-E11D15BF565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2" name="Flèche gauche 1">
          <a:hlinkClick xmlns:r="http://schemas.openxmlformats.org/officeDocument/2006/relationships" r:id="rId1"/>
          <a:extLst>
            <a:ext uri="{FF2B5EF4-FFF2-40B4-BE49-F238E27FC236}">
              <a16:creationId xmlns:a16="http://schemas.microsoft.com/office/drawing/2014/main" id="{02D2EEEF-3EAA-8D4C-A9B6-84D9BC7145E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3" name="Flèche gauche 1">
          <a:hlinkClick xmlns:r="http://schemas.openxmlformats.org/officeDocument/2006/relationships" r:id="rId2"/>
          <a:extLst>
            <a:ext uri="{FF2B5EF4-FFF2-40B4-BE49-F238E27FC236}">
              <a16:creationId xmlns:a16="http://schemas.microsoft.com/office/drawing/2014/main" id="{9146E354-14E2-2C4F-A726-12B61BDF284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4" name="Flèche gauche 1">
          <a:hlinkClick xmlns:r="http://schemas.openxmlformats.org/officeDocument/2006/relationships" r:id="rId1"/>
          <a:extLst>
            <a:ext uri="{FF2B5EF4-FFF2-40B4-BE49-F238E27FC236}">
              <a16:creationId xmlns:a16="http://schemas.microsoft.com/office/drawing/2014/main" id="{815ED37D-7907-3B40-BC65-585E5DE9B15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5" name="Flèche gauche 1">
          <a:hlinkClick xmlns:r="http://schemas.openxmlformats.org/officeDocument/2006/relationships" r:id="rId1"/>
          <a:extLst>
            <a:ext uri="{FF2B5EF4-FFF2-40B4-BE49-F238E27FC236}">
              <a16:creationId xmlns:a16="http://schemas.microsoft.com/office/drawing/2014/main" id="{CBE23958-5067-EA40-AB2A-455BC60EA1B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6" name="Flèche gauche 1">
          <a:hlinkClick xmlns:r="http://schemas.openxmlformats.org/officeDocument/2006/relationships" r:id="rId1"/>
          <a:extLst>
            <a:ext uri="{FF2B5EF4-FFF2-40B4-BE49-F238E27FC236}">
              <a16:creationId xmlns:a16="http://schemas.microsoft.com/office/drawing/2014/main" id="{499ED089-A1CF-7746-8A43-6CE20778DDA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7" name="Flèche gauche 1">
          <a:hlinkClick xmlns:r="http://schemas.openxmlformats.org/officeDocument/2006/relationships" r:id="rId2"/>
          <a:extLst>
            <a:ext uri="{FF2B5EF4-FFF2-40B4-BE49-F238E27FC236}">
              <a16:creationId xmlns:a16="http://schemas.microsoft.com/office/drawing/2014/main" id="{5DE67E6B-0F99-924E-A9E9-20BA0AFF282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8" name="Flèche gauche 1">
          <a:hlinkClick xmlns:r="http://schemas.openxmlformats.org/officeDocument/2006/relationships" r:id="rId1"/>
          <a:extLst>
            <a:ext uri="{FF2B5EF4-FFF2-40B4-BE49-F238E27FC236}">
              <a16:creationId xmlns:a16="http://schemas.microsoft.com/office/drawing/2014/main" id="{6E621EE1-364B-0540-877F-6721DD3F385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9" name="Flèche gauche 1">
          <a:hlinkClick xmlns:r="http://schemas.openxmlformats.org/officeDocument/2006/relationships" r:id="rId1"/>
          <a:extLst>
            <a:ext uri="{FF2B5EF4-FFF2-40B4-BE49-F238E27FC236}">
              <a16:creationId xmlns:a16="http://schemas.microsoft.com/office/drawing/2014/main" id="{F1196A5A-A84D-FA4F-9921-20EAA0C00F8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0" name="Flèche gauche 1">
          <a:hlinkClick xmlns:r="http://schemas.openxmlformats.org/officeDocument/2006/relationships" r:id="rId1"/>
          <a:extLst>
            <a:ext uri="{FF2B5EF4-FFF2-40B4-BE49-F238E27FC236}">
              <a16:creationId xmlns:a16="http://schemas.microsoft.com/office/drawing/2014/main" id="{79378513-5A94-1946-961D-C6EC9C919FE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1" name="Flèche gauche 1">
          <a:hlinkClick xmlns:r="http://schemas.openxmlformats.org/officeDocument/2006/relationships" r:id="rId2"/>
          <a:extLst>
            <a:ext uri="{FF2B5EF4-FFF2-40B4-BE49-F238E27FC236}">
              <a16:creationId xmlns:a16="http://schemas.microsoft.com/office/drawing/2014/main" id="{BC0D94D9-E6F6-4143-B69E-9CF2CF17672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2" name="Flèche gauche 1">
          <a:hlinkClick xmlns:r="http://schemas.openxmlformats.org/officeDocument/2006/relationships" r:id="rId1"/>
          <a:extLst>
            <a:ext uri="{FF2B5EF4-FFF2-40B4-BE49-F238E27FC236}">
              <a16:creationId xmlns:a16="http://schemas.microsoft.com/office/drawing/2014/main" id="{FC368299-1238-3E43-A834-D4ADF49CD73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3" name="Flèche gauche 1">
          <a:hlinkClick xmlns:r="http://schemas.openxmlformats.org/officeDocument/2006/relationships" r:id="rId1"/>
          <a:extLst>
            <a:ext uri="{FF2B5EF4-FFF2-40B4-BE49-F238E27FC236}">
              <a16:creationId xmlns:a16="http://schemas.microsoft.com/office/drawing/2014/main" id="{73721406-F5FB-3749-895C-C8065F6B671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4" name="Flèche gauche 1">
          <a:hlinkClick xmlns:r="http://schemas.openxmlformats.org/officeDocument/2006/relationships" r:id="rId1"/>
          <a:extLst>
            <a:ext uri="{FF2B5EF4-FFF2-40B4-BE49-F238E27FC236}">
              <a16:creationId xmlns:a16="http://schemas.microsoft.com/office/drawing/2014/main" id="{66D13585-F291-624A-90F2-AB7D06AFF30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5" name="Flèche gauche 1">
          <a:hlinkClick xmlns:r="http://schemas.openxmlformats.org/officeDocument/2006/relationships" r:id="rId2"/>
          <a:extLst>
            <a:ext uri="{FF2B5EF4-FFF2-40B4-BE49-F238E27FC236}">
              <a16:creationId xmlns:a16="http://schemas.microsoft.com/office/drawing/2014/main" id="{0A17FE86-206C-3943-99BF-90766E55194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12</xdr:col>
      <xdr:colOff>571500</xdr:colOff>
      <xdr:row>19</xdr:row>
      <xdr:rowOff>101600</xdr:rowOff>
    </xdr:from>
    <xdr:to>
      <xdr:col>20</xdr:col>
      <xdr:colOff>787400</xdr:colOff>
      <xdr:row>26</xdr:row>
      <xdr:rowOff>381000</xdr:rowOff>
    </xdr:to>
    <xdr:graphicFrame macro="">
      <xdr:nvGraphicFramePr>
        <xdr:cNvPr id="70" name="Graphique 69">
          <a:extLst>
            <a:ext uri="{FF2B5EF4-FFF2-40B4-BE49-F238E27FC236}">
              <a16:creationId xmlns:a16="http://schemas.microsoft.com/office/drawing/2014/main" id="{F99477AF-9539-2994-0685-5D8A8F674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0</xdr:row>
      <xdr:rowOff>60960</xdr:rowOff>
    </xdr:from>
    <xdr:to>
      <xdr:col>1</xdr:col>
      <xdr:colOff>0</xdr:colOff>
      <xdr:row>1</xdr:row>
      <xdr:rowOff>106680</xdr:rowOff>
    </xdr:to>
    <xdr:sp macro="" textlink="">
      <xdr:nvSpPr>
        <xdr:cNvPr id="2" name="Flèche gauche 1">
          <a:hlinkClick xmlns:r="http://schemas.openxmlformats.org/officeDocument/2006/relationships" r:id="rId1"/>
          <a:extLst>
            <a:ext uri="{FF2B5EF4-FFF2-40B4-BE49-F238E27FC236}">
              <a16:creationId xmlns:a16="http://schemas.microsoft.com/office/drawing/2014/main" id="{3864258C-9820-7D4A-8F66-65F8EF845DA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 name="Flèche gauche 1">
          <a:hlinkClick xmlns:r="http://schemas.openxmlformats.org/officeDocument/2006/relationships" r:id="rId1"/>
          <a:extLst>
            <a:ext uri="{FF2B5EF4-FFF2-40B4-BE49-F238E27FC236}">
              <a16:creationId xmlns:a16="http://schemas.microsoft.com/office/drawing/2014/main" id="{FA45BE2F-D66A-8440-9984-9843AF312E1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 name="Flèche gauche 1">
          <a:hlinkClick xmlns:r="http://schemas.openxmlformats.org/officeDocument/2006/relationships" r:id="rId1"/>
          <a:extLst>
            <a:ext uri="{FF2B5EF4-FFF2-40B4-BE49-F238E27FC236}">
              <a16:creationId xmlns:a16="http://schemas.microsoft.com/office/drawing/2014/main" id="{BEFC12AC-27C3-794E-AEED-C07F291DEB1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 name="Flèche gauche 1">
          <a:hlinkClick xmlns:r="http://schemas.openxmlformats.org/officeDocument/2006/relationships" r:id="rId2"/>
          <a:extLst>
            <a:ext uri="{FF2B5EF4-FFF2-40B4-BE49-F238E27FC236}">
              <a16:creationId xmlns:a16="http://schemas.microsoft.com/office/drawing/2014/main" id="{40136670-193C-CF45-B6EF-13700AA1CBE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 name="Flèche gauche 1">
          <a:hlinkClick xmlns:r="http://schemas.openxmlformats.org/officeDocument/2006/relationships" r:id="rId1"/>
          <a:extLst>
            <a:ext uri="{FF2B5EF4-FFF2-40B4-BE49-F238E27FC236}">
              <a16:creationId xmlns:a16="http://schemas.microsoft.com/office/drawing/2014/main" id="{DEEEE7A0-541B-DB49-A626-332365E7702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 name="Flèche gauche 1">
          <a:hlinkClick xmlns:r="http://schemas.openxmlformats.org/officeDocument/2006/relationships" r:id="rId1"/>
          <a:extLst>
            <a:ext uri="{FF2B5EF4-FFF2-40B4-BE49-F238E27FC236}">
              <a16:creationId xmlns:a16="http://schemas.microsoft.com/office/drawing/2014/main" id="{3F48F610-EE41-6446-A760-7F86DA38988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 name="Flèche gauche 1">
          <a:hlinkClick xmlns:r="http://schemas.openxmlformats.org/officeDocument/2006/relationships" r:id="rId1"/>
          <a:extLst>
            <a:ext uri="{FF2B5EF4-FFF2-40B4-BE49-F238E27FC236}">
              <a16:creationId xmlns:a16="http://schemas.microsoft.com/office/drawing/2014/main" id="{42E0840A-3AD8-9A42-B2E9-EFA4048E08E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 name="Flèche gauche 1">
          <a:hlinkClick xmlns:r="http://schemas.openxmlformats.org/officeDocument/2006/relationships" r:id="rId2"/>
          <a:extLst>
            <a:ext uri="{FF2B5EF4-FFF2-40B4-BE49-F238E27FC236}">
              <a16:creationId xmlns:a16="http://schemas.microsoft.com/office/drawing/2014/main" id="{FBF64892-A375-924F-BD08-60B7BDB82EC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 name="Flèche gauche 1">
          <a:hlinkClick xmlns:r="http://schemas.openxmlformats.org/officeDocument/2006/relationships" r:id="rId1"/>
          <a:extLst>
            <a:ext uri="{FF2B5EF4-FFF2-40B4-BE49-F238E27FC236}">
              <a16:creationId xmlns:a16="http://schemas.microsoft.com/office/drawing/2014/main" id="{81FD6078-166F-3B48-841F-93919117AF3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 name="Flèche gauche 1">
          <a:hlinkClick xmlns:r="http://schemas.openxmlformats.org/officeDocument/2006/relationships" r:id="rId1"/>
          <a:extLst>
            <a:ext uri="{FF2B5EF4-FFF2-40B4-BE49-F238E27FC236}">
              <a16:creationId xmlns:a16="http://schemas.microsoft.com/office/drawing/2014/main" id="{912785AB-65F2-864D-955C-ED3D2397E5E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 name="Flèche gauche 1">
          <a:hlinkClick xmlns:r="http://schemas.openxmlformats.org/officeDocument/2006/relationships" r:id="rId1"/>
          <a:extLst>
            <a:ext uri="{FF2B5EF4-FFF2-40B4-BE49-F238E27FC236}">
              <a16:creationId xmlns:a16="http://schemas.microsoft.com/office/drawing/2014/main" id="{F6E77149-3472-774E-9DF6-A821D3EA2A3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3" name="Flèche gauche 1">
          <a:hlinkClick xmlns:r="http://schemas.openxmlformats.org/officeDocument/2006/relationships" r:id="rId2"/>
          <a:extLst>
            <a:ext uri="{FF2B5EF4-FFF2-40B4-BE49-F238E27FC236}">
              <a16:creationId xmlns:a16="http://schemas.microsoft.com/office/drawing/2014/main" id="{158C0B78-CF1C-2647-B96B-069F5E0686F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4" name="Flèche gauche 1">
          <a:hlinkClick xmlns:r="http://schemas.openxmlformats.org/officeDocument/2006/relationships" r:id="rId1"/>
          <a:extLst>
            <a:ext uri="{FF2B5EF4-FFF2-40B4-BE49-F238E27FC236}">
              <a16:creationId xmlns:a16="http://schemas.microsoft.com/office/drawing/2014/main" id="{2A2467A7-F39E-BC41-BD31-1205ACE1C7A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5" name="Flèche gauche 1">
          <a:hlinkClick xmlns:r="http://schemas.openxmlformats.org/officeDocument/2006/relationships" r:id="rId1"/>
          <a:extLst>
            <a:ext uri="{FF2B5EF4-FFF2-40B4-BE49-F238E27FC236}">
              <a16:creationId xmlns:a16="http://schemas.microsoft.com/office/drawing/2014/main" id="{E23FD2C2-79FA-364B-916F-67DF336F2CA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6" name="Flèche gauche 1">
          <a:hlinkClick xmlns:r="http://schemas.openxmlformats.org/officeDocument/2006/relationships" r:id="rId1"/>
          <a:extLst>
            <a:ext uri="{FF2B5EF4-FFF2-40B4-BE49-F238E27FC236}">
              <a16:creationId xmlns:a16="http://schemas.microsoft.com/office/drawing/2014/main" id="{7A3E87BF-5430-7C43-BAA1-23D9FAE4CE7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7" name="Flèche gauche 1">
          <a:hlinkClick xmlns:r="http://schemas.openxmlformats.org/officeDocument/2006/relationships" r:id="rId2"/>
          <a:extLst>
            <a:ext uri="{FF2B5EF4-FFF2-40B4-BE49-F238E27FC236}">
              <a16:creationId xmlns:a16="http://schemas.microsoft.com/office/drawing/2014/main" id="{D6368296-B327-E848-8C75-B0191BAACDF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8" name="Flèche gauche 1">
          <a:hlinkClick xmlns:r="http://schemas.openxmlformats.org/officeDocument/2006/relationships" r:id="rId1"/>
          <a:extLst>
            <a:ext uri="{FF2B5EF4-FFF2-40B4-BE49-F238E27FC236}">
              <a16:creationId xmlns:a16="http://schemas.microsoft.com/office/drawing/2014/main" id="{3CACF94A-D1C0-BE48-877A-8A2AE1928D1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9" name="Flèche gauche 1">
          <a:hlinkClick xmlns:r="http://schemas.openxmlformats.org/officeDocument/2006/relationships" r:id="rId1"/>
          <a:extLst>
            <a:ext uri="{FF2B5EF4-FFF2-40B4-BE49-F238E27FC236}">
              <a16:creationId xmlns:a16="http://schemas.microsoft.com/office/drawing/2014/main" id="{CDDEE7E0-B971-C746-AC87-9B148B73A03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0" name="Flèche gauche 1">
          <a:hlinkClick xmlns:r="http://schemas.openxmlformats.org/officeDocument/2006/relationships" r:id="rId1"/>
          <a:extLst>
            <a:ext uri="{FF2B5EF4-FFF2-40B4-BE49-F238E27FC236}">
              <a16:creationId xmlns:a16="http://schemas.microsoft.com/office/drawing/2014/main" id="{21BB666B-8D11-4A4A-8D02-290E96B0410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1" name="Flèche gauche 1">
          <a:hlinkClick xmlns:r="http://schemas.openxmlformats.org/officeDocument/2006/relationships" r:id="rId2"/>
          <a:extLst>
            <a:ext uri="{FF2B5EF4-FFF2-40B4-BE49-F238E27FC236}">
              <a16:creationId xmlns:a16="http://schemas.microsoft.com/office/drawing/2014/main" id="{90F21E71-5219-2040-8606-B2A467FC69C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2" name="Flèche gauche 1">
          <a:hlinkClick xmlns:r="http://schemas.openxmlformats.org/officeDocument/2006/relationships" r:id="rId1"/>
          <a:extLst>
            <a:ext uri="{FF2B5EF4-FFF2-40B4-BE49-F238E27FC236}">
              <a16:creationId xmlns:a16="http://schemas.microsoft.com/office/drawing/2014/main" id="{6C0E01B2-D09F-BF41-B4B3-757F921EBA0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3" name="Flèche gauche 1">
          <a:hlinkClick xmlns:r="http://schemas.openxmlformats.org/officeDocument/2006/relationships" r:id="rId1"/>
          <a:extLst>
            <a:ext uri="{FF2B5EF4-FFF2-40B4-BE49-F238E27FC236}">
              <a16:creationId xmlns:a16="http://schemas.microsoft.com/office/drawing/2014/main" id="{C0937E92-867E-4A4F-B7A4-6C952DF5D89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4" name="Flèche gauche 1">
          <a:hlinkClick xmlns:r="http://schemas.openxmlformats.org/officeDocument/2006/relationships" r:id="rId1"/>
          <a:extLst>
            <a:ext uri="{FF2B5EF4-FFF2-40B4-BE49-F238E27FC236}">
              <a16:creationId xmlns:a16="http://schemas.microsoft.com/office/drawing/2014/main" id="{2D390C1A-7B7A-5E42-8DFB-C7D262E2EF0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5" name="Flèche gauche 1">
          <a:hlinkClick xmlns:r="http://schemas.openxmlformats.org/officeDocument/2006/relationships" r:id="rId2"/>
          <a:extLst>
            <a:ext uri="{FF2B5EF4-FFF2-40B4-BE49-F238E27FC236}">
              <a16:creationId xmlns:a16="http://schemas.microsoft.com/office/drawing/2014/main" id="{A062F5E5-16D2-C341-A6CE-04A885BF18A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6" name="Flèche gauche 1">
          <a:hlinkClick xmlns:r="http://schemas.openxmlformats.org/officeDocument/2006/relationships" r:id="rId1"/>
          <a:extLst>
            <a:ext uri="{FF2B5EF4-FFF2-40B4-BE49-F238E27FC236}">
              <a16:creationId xmlns:a16="http://schemas.microsoft.com/office/drawing/2014/main" id="{3A10C43D-F73C-9547-BE50-1F81D2C3CBA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7" name="Flèche gauche 1">
          <a:hlinkClick xmlns:r="http://schemas.openxmlformats.org/officeDocument/2006/relationships" r:id="rId1"/>
          <a:extLst>
            <a:ext uri="{FF2B5EF4-FFF2-40B4-BE49-F238E27FC236}">
              <a16:creationId xmlns:a16="http://schemas.microsoft.com/office/drawing/2014/main" id="{5424C0F7-A2C3-BE41-94E2-48E001086FD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8" name="Flèche gauche 1">
          <a:hlinkClick xmlns:r="http://schemas.openxmlformats.org/officeDocument/2006/relationships" r:id="rId1"/>
          <a:extLst>
            <a:ext uri="{FF2B5EF4-FFF2-40B4-BE49-F238E27FC236}">
              <a16:creationId xmlns:a16="http://schemas.microsoft.com/office/drawing/2014/main" id="{A5F9F9BC-AAB0-E947-8DE7-E01DA6E56AF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9" name="Flèche gauche 1">
          <a:hlinkClick xmlns:r="http://schemas.openxmlformats.org/officeDocument/2006/relationships" r:id="rId2"/>
          <a:extLst>
            <a:ext uri="{FF2B5EF4-FFF2-40B4-BE49-F238E27FC236}">
              <a16:creationId xmlns:a16="http://schemas.microsoft.com/office/drawing/2014/main" id="{C3759D5F-07F4-6042-A3DB-243E3AE6A33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0" name="Flèche gauche 1">
          <a:hlinkClick xmlns:r="http://schemas.openxmlformats.org/officeDocument/2006/relationships" r:id="rId1"/>
          <a:extLst>
            <a:ext uri="{FF2B5EF4-FFF2-40B4-BE49-F238E27FC236}">
              <a16:creationId xmlns:a16="http://schemas.microsoft.com/office/drawing/2014/main" id="{0F1B708D-B3F1-AC45-ADD3-8BBFE0CF619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1" name="Flèche gauche 1">
          <a:hlinkClick xmlns:r="http://schemas.openxmlformats.org/officeDocument/2006/relationships" r:id="rId1"/>
          <a:extLst>
            <a:ext uri="{FF2B5EF4-FFF2-40B4-BE49-F238E27FC236}">
              <a16:creationId xmlns:a16="http://schemas.microsoft.com/office/drawing/2014/main" id="{1E21570E-F0C9-184B-BC61-4FDF5A9CEB6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2" name="Flèche gauche 1">
          <a:hlinkClick xmlns:r="http://schemas.openxmlformats.org/officeDocument/2006/relationships" r:id="rId1"/>
          <a:extLst>
            <a:ext uri="{FF2B5EF4-FFF2-40B4-BE49-F238E27FC236}">
              <a16:creationId xmlns:a16="http://schemas.microsoft.com/office/drawing/2014/main" id="{AA0B2C53-5F15-0841-9086-3B84CA34EE3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3" name="Flèche gauche 1">
          <a:hlinkClick xmlns:r="http://schemas.openxmlformats.org/officeDocument/2006/relationships" r:id="rId2"/>
          <a:extLst>
            <a:ext uri="{FF2B5EF4-FFF2-40B4-BE49-F238E27FC236}">
              <a16:creationId xmlns:a16="http://schemas.microsoft.com/office/drawing/2014/main" id="{05AEACA2-1DE7-E44D-B3F9-72B590033BC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4" name="Flèche gauche 1">
          <a:hlinkClick xmlns:r="http://schemas.openxmlformats.org/officeDocument/2006/relationships" r:id="rId1"/>
          <a:extLst>
            <a:ext uri="{FF2B5EF4-FFF2-40B4-BE49-F238E27FC236}">
              <a16:creationId xmlns:a16="http://schemas.microsoft.com/office/drawing/2014/main" id="{9977C4CE-8F91-E043-93C9-638B9CA3400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5" name="Flèche gauche 1">
          <a:hlinkClick xmlns:r="http://schemas.openxmlformats.org/officeDocument/2006/relationships" r:id="rId1"/>
          <a:extLst>
            <a:ext uri="{FF2B5EF4-FFF2-40B4-BE49-F238E27FC236}">
              <a16:creationId xmlns:a16="http://schemas.microsoft.com/office/drawing/2014/main" id="{D748373D-00AD-6C49-A838-695C32FBF47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6" name="Flèche gauche 1">
          <a:hlinkClick xmlns:r="http://schemas.openxmlformats.org/officeDocument/2006/relationships" r:id="rId1"/>
          <a:extLst>
            <a:ext uri="{FF2B5EF4-FFF2-40B4-BE49-F238E27FC236}">
              <a16:creationId xmlns:a16="http://schemas.microsoft.com/office/drawing/2014/main" id="{A4324097-E7AE-7744-94EA-33AC4F07E23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7" name="Flèche gauche 1">
          <a:hlinkClick xmlns:r="http://schemas.openxmlformats.org/officeDocument/2006/relationships" r:id="rId2"/>
          <a:extLst>
            <a:ext uri="{FF2B5EF4-FFF2-40B4-BE49-F238E27FC236}">
              <a16:creationId xmlns:a16="http://schemas.microsoft.com/office/drawing/2014/main" id="{CD4C410F-7ECC-7C44-BDD2-F618E7205A3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8" name="Flèche gauche 1">
          <a:hlinkClick xmlns:r="http://schemas.openxmlformats.org/officeDocument/2006/relationships" r:id="rId1"/>
          <a:extLst>
            <a:ext uri="{FF2B5EF4-FFF2-40B4-BE49-F238E27FC236}">
              <a16:creationId xmlns:a16="http://schemas.microsoft.com/office/drawing/2014/main" id="{53A9C260-91A8-BD40-B712-C71D58F9CB4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9" name="Flèche gauche 1">
          <a:hlinkClick xmlns:r="http://schemas.openxmlformats.org/officeDocument/2006/relationships" r:id="rId1"/>
          <a:extLst>
            <a:ext uri="{FF2B5EF4-FFF2-40B4-BE49-F238E27FC236}">
              <a16:creationId xmlns:a16="http://schemas.microsoft.com/office/drawing/2014/main" id="{722DB739-47FC-4C4C-87EE-3E518C0DC5B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0" name="Flèche gauche 1">
          <a:hlinkClick xmlns:r="http://schemas.openxmlformats.org/officeDocument/2006/relationships" r:id="rId1"/>
          <a:extLst>
            <a:ext uri="{FF2B5EF4-FFF2-40B4-BE49-F238E27FC236}">
              <a16:creationId xmlns:a16="http://schemas.microsoft.com/office/drawing/2014/main" id="{C1277ED5-94EC-BA47-9411-351AD957BFA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1" name="Flèche gauche 1">
          <a:hlinkClick xmlns:r="http://schemas.openxmlformats.org/officeDocument/2006/relationships" r:id="rId2"/>
          <a:extLst>
            <a:ext uri="{FF2B5EF4-FFF2-40B4-BE49-F238E27FC236}">
              <a16:creationId xmlns:a16="http://schemas.microsoft.com/office/drawing/2014/main" id="{79235543-7701-4945-A4A2-294914406DE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2" name="Flèche gauche 1">
          <a:hlinkClick xmlns:r="http://schemas.openxmlformats.org/officeDocument/2006/relationships" r:id="rId1"/>
          <a:extLst>
            <a:ext uri="{FF2B5EF4-FFF2-40B4-BE49-F238E27FC236}">
              <a16:creationId xmlns:a16="http://schemas.microsoft.com/office/drawing/2014/main" id="{3F13B1C0-7346-7B4F-8A46-534B14A5A93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3" name="Flèche gauche 1">
          <a:hlinkClick xmlns:r="http://schemas.openxmlformats.org/officeDocument/2006/relationships" r:id="rId1"/>
          <a:extLst>
            <a:ext uri="{FF2B5EF4-FFF2-40B4-BE49-F238E27FC236}">
              <a16:creationId xmlns:a16="http://schemas.microsoft.com/office/drawing/2014/main" id="{7D025C81-FE07-3043-B1B0-2B7279A1698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4" name="Flèche gauche 1">
          <a:hlinkClick xmlns:r="http://schemas.openxmlformats.org/officeDocument/2006/relationships" r:id="rId1"/>
          <a:extLst>
            <a:ext uri="{FF2B5EF4-FFF2-40B4-BE49-F238E27FC236}">
              <a16:creationId xmlns:a16="http://schemas.microsoft.com/office/drawing/2014/main" id="{FD8BD5E6-821C-4945-A0DE-85D89881573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5" name="Flèche gauche 1">
          <a:hlinkClick xmlns:r="http://schemas.openxmlformats.org/officeDocument/2006/relationships" r:id="rId2"/>
          <a:extLst>
            <a:ext uri="{FF2B5EF4-FFF2-40B4-BE49-F238E27FC236}">
              <a16:creationId xmlns:a16="http://schemas.microsoft.com/office/drawing/2014/main" id="{C9BFE334-0361-0242-93A2-CC200C8C083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6" name="Flèche gauche 1">
          <a:hlinkClick xmlns:r="http://schemas.openxmlformats.org/officeDocument/2006/relationships" r:id="rId1"/>
          <a:extLst>
            <a:ext uri="{FF2B5EF4-FFF2-40B4-BE49-F238E27FC236}">
              <a16:creationId xmlns:a16="http://schemas.microsoft.com/office/drawing/2014/main" id="{41BFCEAB-EBBB-4942-B0F2-1C82F986869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7" name="Flèche gauche 1">
          <a:hlinkClick xmlns:r="http://schemas.openxmlformats.org/officeDocument/2006/relationships" r:id="rId1"/>
          <a:extLst>
            <a:ext uri="{FF2B5EF4-FFF2-40B4-BE49-F238E27FC236}">
              <a16:creationId xmlns:a16="http://schemas.microsoft.com/office/drawing/2014/main" id="{72FED580-7B7C-E24A-8AD8-040E58057D7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8" name="Flèche gauche 1">
          <a:hlinkClick xmlns:r="http://schemas.openxmlformats.org/officeDocument/2006/relationships" r:id="rId1"/>
          <a:extLst>
            <a:ext uri="{FF2B5EF4-FFF2-40B4-BE49-F238E27FC236}">
              <a16:creationId xmlns:a16="http://schemas.microsoft.com/office/drawing/2014/main" id="{A4197C0A-CDA2-0244-9673-9E0F8DE3259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9" name="Flèche gauche 1">
          <a:hlinkClick xmlns:r="http://schemas.openxmlformats.org/officeDocument/2006/relationships" r:id="rId2"/>
          <a:extLst>
            <a:ext uri="{FF2B5EF4-FFF2-40B4-BE49-F238E27FC236}">
              <a16:creationId xmlns:a16="http://schemas.microsoft.com/office/drawing/2014/main" id="{36260EB1-ADD1-F141-8462-C0FB30B5BEE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0" name="Flèche gauche 1">
          <a:hlinkClick xmlns:r="http://schemas.openxmlformats.org/officeDocument/2006/relationships" r:id="rId1"/>
          <a:extLst>
            <a:ext uri="{FF2B5EF4-FFF2-40B4-BE49-F238E27FC236}">
              <a16:creationId xmlns:a16="http://schemas.microsoft.com/office/drawing/2014/main" id="{993EC585-F72B-8E4A-B0AC-56DD64B05F4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1" name="Flèche gauche 1">
          <a:hlinkClick xmlns:r="http://schemas.openxmlformats.org/officeDocument/2006/relationships" r:id="rId1"/>
          <a:extLst>
            <a:ext uri="{FF2B5EF4-FFF2-40B4-BE49-F238E27FC236}">
              <a16:creationId xmlns:a16="http://schemas.microsoft.com/office/drawing/2014/main" id="{9D65F620-012C-3741-993D-6AC32BF4DA6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2" name="Flèche gauche 1">
          <a:hlinkClick xmlns:r="http://schemas.openxmlformats.org/officeDocument/2006/relationships" r:id="rId1"/>
          <a:extLst>
            <a:ext uri="{FF2B5EF4-FFF2-40B4-BE49-F238E27FC236}">
              <a16:creationId xmlns:a16="http://schemas.microsoft.com/office/drawing/2014/main" id="{7DF7EB39-8BC9-1D4E-B609-64ABD8932BF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3" name="Flèche gauche 1">
          <a:hlinkClick xmlns:r="http://schemas.openxmlformats.org/officeDocument/2006/relationships" r:id="rId2"/>
          <a:extLst>
            <a:ext uri="{FF2B5EF4-FFF2-40B4-BE49-F238E27FC236}">
              <a16:creationId xmlns:a16="http://schemas.microsoft.com/office/drawing/2014/main" id="{B97F7C78-B38E-5548-913A-C5049650B1A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4" name="Flèche gauche 1">
          <a:hlinkClick xmlns:r="http://schemas.openxmlformats.org/officeDocument/2006/relationships" r:id="rId1"/>
          <a:extLst>
            <a:ext uri="{FF2B5EF4-FFF2-40B4-BE49-F238E27FC236}">
              <a16:creationId xmlns:a16="http://schemas.microsoft.com/office/drawing/2014/main" id="{A146E4C4-B7FE-0F4C-B91B-E8000CBC2AE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5" name="Flèche gauche 1">
          <a:hlinkClick xmlns:r="http://schemas.openxmlformats.org/officeDocument/2006/relationships" r:id="rId1"/>
          <a:extLst>
            <a:ext uri="{FF2B5EF4-FFF2-40B4-BE49-F238E27FC236}">
              <a16:creationId xmlns:a16="http://schemas.microsoft.com/office/drawing/2014/main" id="{4494D3DA-5176-B541-95F3-80143046F78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6" name="Flèche gauche 1">
          <a:hlinkClick xmlns:r="http://schemas.openxmlformats.org/officeDocument/2006/relationships" r:id="rId1"/>
          <a:extLst>
            <a:ext uri="{FF2B5EF4-FFF2-40B4-BE49-F238E27FC236}">
              <a16:creationId xmlns:a16="http://schemas.microsoft.com/office/drawing/2014/main" id="{4E099171-6358-F744-9BAD-5C7558E7169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7" name="Flèche gauche 1">
          <a:hlinkClick xmlns:r="http://schemas.openxmlformats.org/officeDocument/2006/relationships" r:id="rId2"/>
          <a:extLst>
            <a:ext uri="{FF2B5EF4-FFF2-40B4-BE49-F238E27FC236}">
              <a16:creationId xmlns:a16="http://schemas.microsoft.com/office/drawing/2014/main" id="{4DC84F02-5A38-A545-912B-145EC8E3E69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8" name="Flèche gauche 1">
          <a:hlinkClick xmlns:r="http://schemas.openxmlformats.org/officeDocument/2006/relationships" r:id="rId1"/>
          <a:extLst>
            <a:ext uri="{FF2B5EF4-FFF2-40B4-BE49-F238E27FC236}">
              <a16:creationId xmlns:a16="http://schemas.microsoft.com/office/drawing/2014/main" id="{67D8B249-F69D-924C-AFA6-1202D3EB10B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9" name="Flèche gauche 1">
          <a:hlinkClick xmlns:r="http://schemas.openxmlformats.org/officeDocument/2006/relationships" r:id="rId1"/>
          <a:extLst>
            <a:ext uri="{FF2B5EF4-FFF2-40B4-BE49-F238E27FC236}">
              <a16:creationId xmlns:a16="http://schemas.microsoft.com/office/drawing/2014/main" id="{4D0BDF9C-C3EF-2946-B070-1B589CA4621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0" name="Flèche gauche 1">
          <a:hlinkClick xmlns:r="http://schemas.openxmlformats.org/officeDocument/2006/relationships" r:id="rId1"/>
          <a:extLst>
            <a:ext uri="{FF2B5EF4-FFF2-40B4-BE49-F238E27FC236}">
              <a16:creationId xmlns:a16="http://schemas.microsoft.com/office/drawing/2014/main" id="{B314993C-114B-5C4D-BE9D-E803452D1A1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1" name="Flèche gauche 1">
          <a:hlinkClick xmlns:r="http://schemas.openxmlformats.org/officeDocument/2006/relationships" r:id="rId2"/>
          <a:extLst>
            <a:ext uri="{FF2B5EF4-FFF2-40B4-BE49-F238E27FC236}">
              <a16:creationId xmlns:a16="http://schemas.microsoft.com/office/drawing/2014/main" id="{7E021F87-5342-6247-BF24-7F6623E4982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2" name="Flèche gauche 1">
          <a:hlinkClick xmlns:r="http://schemas.openxmlformats.org/officeDocument/2006/relationships" r:id="rId1"/>
          <a:extLst>
            <a:ext uri="{FF2B5EF4-FFF2-40B4-BE49-F238E27FC236}">
              <a16:creationId xmlns:a16="http://schemas.microsoft.com/office/drawing/2014/main" id="{D9CBCBE3-1AE9-A047-90E2-02239D3C42D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3" name="Flèche gauche 1">
          <a:hlinkClick xmlns:r="http://schemas.openxmlformats.org/officeDocument/2006/relationships" r:id="rId1"/>
          <a:extLst>
            <a:ext uri="{FF2B5EF4-FFF2-40B4-BE49-F238E27FC236}">
              <a16:creationId xmlns:a16="http://schemas.microsoft.com/office/drawing/2014/main" id="{682A91DE-3C7E-0747-AD19-00205BEA082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4" name="Flèche gauche 1">
          <a:hlinkClick xmlns:r="http://schemas.openxmlformats.org/officeDocument/2006/relationships" r:id="rId1"/>
          <a:extLst>
            <a:ext uri="{FF2B5EF4-FFF2-40B4-BE49-F238E27FC236}">
              <a16:creationId xmlns:a16="http://schemas.microsoft.com/office/drawing/2014/main" id="{01A89F18-71A2-4341-AEDD-3E944F5D67D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5" name="Flèche gauche 1">
          <a:hlinkClick xmlns:r="http://schemas.openxmlformats.org/officeDocument/2006/relationships" r:id="rId2"/>
          <a:extLst>
            <a:ext uri="{FF2B5EF4-FFF2-40B4-BE49-F238E27FC236}">
              <a16:creationId xmlns:a16="http://schemas.microsoft.com/office/drawing/2014/main" id="{38461631-99CC-3F43-B0FB-16022BEF079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0.09645</cdr:x>
      <cdr:y>0.01937</cdr:y>
    </cdr:from>
    <cdr:to>
      <cdr:x>0.16713</cdr:x>
      <cdr:y>0.09864</cdr:y>
    </cdr:to>
    <cdr:sp macro="" textlink="">
      <cdr:nvSpPr>
        <cdr:cNvPr id="2" name="ZoneTexte 1">
          <a:extLst xmlns:a="http://schemas.openxmlformats.org/drawingml/2006/main">
            <a:ext uri="{FF2B5EF4-FFF2-40B4-BE49-F238E27FC236}">
              <a16:creationId xmlns:a16="http://schemas.microsoft.com/office/drawing/2014/main" id="{33DBA501-38A0-EB20-9F45-AA0575EBA16D}"/>
            </a:ext>
          </a:extLst>
        </cdr:cNvPr>
        <cdr:cNvSpPr txBox="1"/>
      </cdr:nvSpPr>
      <cdr:spPr>
        <a:xfrm xmlns:a="http://schemas.openxmlformats.org/drawingml/2006/main">
          <a:off x="1110568" y="93167"/>
          <a:ext cx="813756" cy="38128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kern="1200">
              <a:solidFill>
                <a:schemeClr val="tx2"/>
              </a:solidFill>
              <a:latin typeface="Arial" panose="020B0604020202020204" pitchFamily="34" charset="0"/>
              <a:cs typeface="Arial" panose="020B0604020202020204" pitchFamily="34" charset="0"/>
            </a:rPr>
            <a:t>42%</a:t>
          </a:r>
        </a:p>
      </cdr:txBody>
    </cdr:sp>
  </cdr:relSizeAnchor>
  <cdr:relSizeAnchor xmlns:cdr="http://schemas.openxmlformats.org/drawingml/2006/chartDrawing">
    <cdr:from>
      <cdr:x>0.15411</cdr:x>
      <cdr:y>0.15823</cdr:y>
    </cdr:from>
    <cdr:to>
      <cdr:x>0.17162</cdr:x>
      <cdr:y>0.80145</cdr:y>
    </cdr:to>
    <cdr:sp macro="" textlink="">
      <cdr:nvSpPr>
        <cdr:cNvPr id="3" name="Accolade fermante 2">
          <a:extLst xmlns:a="http://schemas.openxmlformats.org/drawingml/2006/main">
            <a:ext uri="{FF2B5EF4-FFF2-40B4-BE49-F238E27FC236}">
              <a16:creationId xmlns:a16="http://schemas.microsoft.com/office/drawing/2014/main" id="{1DDE0A01-B7E4-BF8B-0C22-8551A8F91D8B}"/>
            </a:ext>
          </a:extLst>
        </cdr:cNvPr>
        <cdr:cNvSpPr/>
      </cdr:nvSpPr>
      <cdr:spPr>
        <a:xfrm xmlns:a="http://schemas.openxmlformats.org/drawingml/2006/main">
          <a:off x="1774441" y="761064"/>
          <a:ext cx="201589" cy="3093790"/>
        </a:xfrm>
        <a:prstGeom xmlns:a="http://schemas.openxmlformats.org/drawingml/2006/main" prst="rightBrace">
          <a:avLst>
            <a:gd name="adj1" fmla="val 8333"/>
            <a:gd name="adj2" fmla="val 52881"/>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kern="1200"/>
        </a:p>
      </cdr:txBody>
    </cdr:sp>
  </cdr:relSizeAnchor>
  <cdr:relSizeAnchor xmlns:cdr="http://schemas.openxmlformats.org/drawingml/2006/chartDrawing">
    <cdr:from>
      <cdr:x>0.17295</cdr:x>
      <cdr:y>0.47474</cdr:y>
    </cdr:from>
    <cdr:to>
      <cdr:x>0.24029</cdr:x>
      <cdr:y>0.55158</cdr:y>
    </cdr:to>
    <cdr:sp macro="" textlink="">
      <cdr:nvSpPr>
        <cdr:cNvPr id="5" name="ZoneTexte 1">
          <a:extLst xmlns:a="http://schemas.openxmlformats.org/drawingml/2006/main">
            <a:ext uri="{FF2B5EF4-FFF2-40B4-BE49-F238E27FC236}">
              <a16:creationId xmlns:a16="http://schemas.microsoft.com/office/drawing/2014/main" id="{DBB04118-2598-B8E3-1C6E-34C8B8B70DC6}"/>
            </a:ext>
          </a:extLst>
        </cdr:cNvPr>
        <cdr:cNvSpPr txBox="1"/>
      </cdr:nvSpPr>
      <cdr:spPr>
        <a:xfrm xmlns:a="http://schemas.openxmlformats.org/drawingml/2006/main">
          <a:off x="1993050" y="2328999"/>
          <a:ext cx="776013" cy="37696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i="1" kern="1200">
              <a:solidFill>
                <a:schemeClr val="tx2"/>
              </a:solidFill>
              <a:latin typeface="Arial" panose="020B0604020202020204" pitchFamily="34" charset="0"/>
              <a:cs typeface="Arial" panose="020B0604020202020204" pitchFamily="34" charset="0"/>
            </a:rPr>
            <a:t>Voiture</a:t>
          </a:r>
        </a:p>
        <a:p xmlns:a="http://schemas.openxmlformats.org/drawingml/2006/main">
          <a:pPr algn="ctr"/>
          <a:r>
            <a:rPr lang="fr-FR" sz="1200" b="1" i="1" kern="1200">
              <a:solidFill>
                <a:schemeClr val="tx2"/>
              </a:solidFill>
              <a:latin typeface="Arial" panose="020B0604020202020204" pitchFamily="34" charset="0"/>
              <a:cs typeface="Arial" panose="020B0604020202020204" pitchFamily="34" charset="0"/>
            </a:rPr>
            <a:t>(94%)</a:t>
          </a:r>
        </a:p>
      </cdr:txBody>
    </cdr:sp>
  </cdr:relSizeAnchor>
  <cdr:relSizeAnchor xmlns:cdr="http://schemas.openxmlformats.org/drawingml/2006/chartDrawing">
    <cdr:from>
      <cdr:x>0.15405</cdr:x>
      <cdr:y>0.08876</cdr:y>
    </cdr:from>
    <cdr:to>
      <cdr:x>0.17277</cdr:x>
      <cdr:y>0.15728</cdr:y>
    </cdr:to>
    <cdr:sp macro="" textlink="">
      <cdr:nvSpPr>
        <cdr:cNvPr id="6" name="Accolade fermante 5">
          <a:extLst xmlns:a="http://schemas.openxmlformats.org/drawingml/2006/main">
            <a:ext uri="{FF2B5EF4-FFF2-40B4-BE49-F238E27FC236}">
              <a16:creationId xmlns:a16="http://schemas.microsoft.com/office/drawing/2014/main" id="{D446BDEF-F110-52C3-6592-88CCEBA063A1}"/>
            </a:ext>
          </a:extLst>
        </cdr:cNvPr>
        <cdr:cNvSpPr/>
      </cdr:nvSpPr>
      <cdr:spPr>
        <a:xfrm xmlns:a="http://schemas.openxmlformats.org/drawingml/2006/main">
          <a:off x="1777082" y="435034"/>
          <a:ext cx="215956" cy="335855"/>
        </a:xfrm>
        <a:prstGeom xmlns:a="http://schemas.openxmlformats.org/drawingml/2006/main" prst="rightBrace">
          <a:avLst>
            <a:gd name="adj1" fmla="val 8333"/>
            <a:gd name="adj2" fmla="val 54318"/>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kern="1200"/>
        </a:p>
      </cdr:txBody>
    </cdr:sp>
  </cdr:relSizeAnchor>
  <cdr:relSizeAnchor xmlns:cdr="http://schemas.openxmlformats.org/drawingml/2006/chartDrawing">
    <cdr:from>
      <cdr:x>0.16021</cdr:x>
      <cdr:y>0.08383</cdr:y>
    </cdr:from>
    <cdr:to>
      <cdr:x>0.33956</cdr:x>
      <cdr:y>0.14692</cdr:y>
    </cdr:to>
    <cdr:sp macro="" textlink="">
      <cdr:nvSpPr>
        <cdr:cNvPr id="7" name="ZoneTexte 1">
          <a:extLst xmlns:a="http://schemas.openxmlformats.org/drawingml/2006/main">
            <a:ext uri="{FF2B5EF4-FFF2-40B4-BE49-F238E27FC236}">
              <a16:creationId xmlns:a16="http://schemas.microsoft.com/office/drawing/2014/main" id="{FA0130BB-6204-81F8-C4C5-6441DBDD7EED}"/>
            </a:ext>
          </a:extLst>
        </cdr:cNvPr>
        <cdr:cNvSpPr txBox="1"/>
      </cdr:nvSpPr>
      <cdr:spPr>
        <a:xfrm xmlns:a="http://schemas.openxmlformats.org/drawingml/2006/main">
          <a:off x="1845752" y="415075"/>
          <a:ext cx="2066292" cy="3123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i="1" kern="1200">
              <a:solidFill>
                <a:schemeClr val="tx2"/>
              </a:solidFill>
              <a:latin typeface="Arial" panose="020B0604020202020204" pitchFamily="34" charset="0"/>
              <a:cs typeface="Arial" panose="020B0604020202020204" pitchFamily="34" charset="0"/>
            </a:rPr>
            <a:t>Transports</a:t>
          </a:r>
          <a:r>
            <a:rPr lang="fr-FR" sz="1200" b="1" i="1" kern="1200" baseline="0">
              <a:solidFill>
                <a:schemeClr val="tx2"/>
              </a:solidFill>
              <a:latin typeface="Arial" panose="020B0604020202020204" pitchFamily="34" charset="0"/>
              <a:cs typeface="Arial" panose="020B0604020202020204" pitchFamily="34" charset="0"/>
            </a:rPr>
            <a:t> en commun</a:t>
          </a:r>
        </a:p>
        <a:p xmlns:a="http://schemas.openxmlformats.org/drawingml/2006/main">
          <a:pPr algn="ctr"/>
          <a:r>
            <a:rPr lang="fr-FR" sz="1200" b="1" i="1" kern="1200" baseline="0">
              <a:solidFill>
                <a:schemeClr val="tx2"/>
              </a:solidFill>
              <a:latin typeface="Arial" panose="020B0604020202020204" pitchFamily="34" charset="0"/>
              <a:cs typeface="Arial" panose="020B0604020202020204" pitchFamily="34" charset="0"/>
            </a:rPr>
            <a:t>(6%)</a:t>
          </a:r>
          <a:endParaRPr lang="fr-FR" sz="1200" b="1" i="1" kern="1200">
            <a:solidFill>
              <a:schemeClr val="tx2"/>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0.10572</cdr:x>
      <cdr:y>0.08633</cdr:y>
    </cdr:from>
    <cdr:to>
      <cdr:x>0.16246</cdr:x>
      <cdr:y>0.13881</cdr:y>
    </cdr:to>
    <cdr:sp macro="" textlink="">
      <cdr:nvSpPr>
        <cdr:cNvPr id="2" name="ZoneTexte 1">
          <a:extLst xmlns:a="http://schemas.openxmlformats.org/drawingml/2006/main">
            <a:ext uri="{FF2B5EF4-FFF2-40B4-BE49-F238E27FC236}">
              <a16:creationId xmlns:a16="http://schemas.microsoft.com/office/drawing/2014/main" id="{20A80995-B693-A535-3716-ACAA9E88EC4D}"/>
            </a:ext>
          </a:extLst>
        </cdr:cNvPr>
        <cdr:cNvSpPr txBox="1"/>
      </cdr:nvSpPr>
      <cdr:spPr>
        <a:xfrm xmlns:a="http://schemas.openxmlformats.org/drawingml/2006/main">
          <a:off x="1204862" y="376610"/>
          <a:ext cx="646639" cy="2289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kern="1200">
              <a:solidFill>
                <a:schemeClr val="tx2"/>
              </a:solidFill>
              <a:latin typeface="Poppins" pitchFamily="2" charset="77"/>
              <a:cs typeface="Poppins" pitchFamily="2" charset="77"/>
            </a:rPr>
            <a:t>50%</a:t>
          </a:r>
        </a:p>
      </cdr:txBody>
    </cdr:sp>
  </cdr:relSizeAnchor>
</c:userShapes>
</file>

<file path=xl/drawings/drawing5.xml><?xml version="1.0" encoding="utf-8"?>
<c:userShapes xmlns:c="http://schemas.openxmlformats.org/drawingml/2006/chart">
  <cdr:relSizeAnchor xmlns:cdr="http://schemas.openxmlformats.org/drawingml/2006/chartDrawing">
    <cdr:from>
      <cdr:x>0.01459</cdr:x>
      <cdr:y>0.90806</cdr:y>
    </cdr:from>
    <cdr:to>
      <cdr:x>0.19615</cdr:x>
      <cdr:y>0.98888</cdr:y>
    </cdr:to>
    <cdr:sp macro="" textlink="">
      <cdr:nvSpPr>
        <cdr:cNvPr id="5" name="ZoneTexte 4">
          <a:extLst xmlns:a="http://schemas.openxmlformats.org/drawingml/2006/main">
            <a:ext uri="{FF2B5EF4-FFF2-40B4-BE49-F238E27FC236}">
              <a16:creationId xmlns:a16="http://schemas.microsoft.com/office/drawing/2014/main" id="{338AE679-1516-2028-F5F9-A57F89D527DD}"/>
            </a:ext>
          </a:extLst>
        </cdr:cNvPr>
        <cdr:cNvSpPr txBox="1"/>
      </cdr:nvSpPr>
      <cdr:spPr bwMode="auto">
        <a:xfrm xmlns:a="http://schemas.openxmlformats.org/drawingml/2006/main">
          <a:off x="204156" y="6913728"/>
          <a:ext cx="2540000" cy="615342"/>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a:t>
          </a:r>
          <a:r>
            <a:rPr lang="fr-FR" sz="1600" baseline="0"/>
            <a:t> </a:t>
          </a:r>
          <a:r>
            <a:rPr lang="fr-FR" sz="2000" b="1"/>
            <a:t>2022</a:t>
          </a:r>
        </a:p>
      </cdr:txBody>
    </cdr:sp>
  </cdr:relSizeAnchor>
  <cdr:relSizeAnchor xmlns:cdr="http://schemas.openxmlformats.org/drawingml/2006/chartDrawing">
    <cdr:from>
      <cdr:x>0.87548</cdr:x>
      <cdr:y>0.9025</cdr:y>
    </cdr:from>
    <cdr:to>
      <cdr:x>0.99658</cdr:x>
      <cdr:y>0.98332</cdr:y>
    </cdr:to>
    <cdr:sp macro="" textlink="">
      <cdr:nvSpPr>
        <cdr:cNvPr id="7" name="ZoneTexte 1">
          <a:extLst xmlns:a="http://schemas.openxmlformats.org/drawingml/2006/main">
            <a:ext uri="{FF2B5EF4-FFF2-40B4-BE49-F238E27FC236}">
              <a16:creationId xmlns:a16="http://schemas.microsoft.com/office/drawing/2014/main" id="{B2B334AD-F97F-681A-8683-A1239901765C}"/>
            </a:ext>
          </a:extLst>
        </cdr:cNvPr>
        <cdr:cNvSpPr txBox="1"/>
      </cdr:nvSpPr>
      <cdr:spPr bwMode="auto">
        <a:xfrm xmlns:a="http://schemas.openxmlformats.org/drawingml/2006/main">
          <a:off x="12247989" y="6871394"/>
          <a:ext cx="1694191" cy="615342"/>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 </a:t>
          </a:r>
          <a:r>
            <a:rPr lang="fr-FR" sz="2000" b="1"/>
            <a:t>2050</a:t>
          </a:r>
        </a:p>
      </cdr:txBody>
    </cdr:sp>
  </cdr:relSizeAnchor>
  <cdr:relSizeAnchor xmlns:cdr="http://schemas.openxmlformats.org/drawingml/2006/chartDrawing">
    <cdr:from>
      <cdr:x>0.26512</cdr:x>
      <cdr:y>0</cdr:y>
    </cdr:from>
    <cdr:to>
      <cdr:x>0.26512</cdr:x>
      <cdr:y>0</cdr:y>
    </cdr:to>
    <cdr:grpSp>
      <cdr:nvGrpSpPr>
        <cdr:cNvPr id="9" name="Groupe 8">
          <a:extLst xmlns:a="http://schemas.openxmlformats.org/drawingml/2006/main">
            <a:ext uri="{FF2B5EF4-FFF2-40B4-BE49-F238E27FC236}">
              <a16:creationId xmlns:a16="http://schemas.microsoft.com/office/drawing/2014/main" id="{015AE65A-0A99-205A-5F9F-1915A4A7FC30}"/>
            </a:ext>
          </a:extLst>
        </cdr:cNvPr>
        <cdr:cNvGrpSpPr>
          <a:grpSpLocks xmlns:a="http://schemas.openxmlformats.org/drawingml/2006/main" noChangeAspect="1"/>
        </cdr:cNvGrpSpPr>
      </cdr:nvGrpSpPr>
      <cdr:grpSpPr>
        <a:xfrm xmlns:a="http://schemas.openxmlformats.org/drawingml/2006/main">
          <a:off x="3695550" y="0"/>
          <a:ext cx="0" cy="0"/>
          <a:chOff x="3695550" y="0"/>
          <a:chExt cx="0" cy="0"/>
        </a:xfrm>
      </cdr:grpSpPr>
    </cdr:grpSp>
  </cdr:relSizeAnchor>
  <cdr:relSizeAnchor xmlns:cdr="http://schemas.openxmlformats.org/drawingml/2006/chartDrawing">
    <cdr:from>
      <cdr:x>0.63222</cdr:x>
      <cdr:y>0.47957</cdr:y>
    </cdr:from>
    <cdr:to>
      <cdr:x>0.69207</cdr:x>
      <cdr:y>0.57746</cdr:y>
    </cdr:to>
    <cdr:pic>
      <cdr:nvPicPr>
        <cdr:cNvPr id="13" name="Graphique 54" descr="Couverts de table">
          <a:extLst xmlns:a="http://schemas.openxmlformats.org/drawingml/2006/main">
            <a:ext uri="{FF2B5EF4-FFF2-40B4-BE49-F238E27FC236}">
              <a16:creationId xmlns:a16="http://schemas.microsoft.com/office/drawing/2014/main" id="{CA488B62-0618-930B-2F13-94E154C95F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8851163" y="3537646"/>
          <a:ext cx="837907" cy="722102"/>
        </a:xfrm>
        <a:prstGeom xmlns:a="http://schemas.openxmlformats.org/drawingml/2006/main" prst="rect">
          <a:avLst/>
        </a:prstGeom>
      </cdr:spPr>
    </cdr:pic>
  </cdr:relSizeAnchor>
  <cdr:relSizeAnchor xmlns:cdr="http://schemas.openxmlformats.org/drawingml/2006/chartDrawing">
    <cdr:from>
      <cdr:x>0.73737</cdr:x>
      <cdr:y>0.50325</cdr:y>
    </cdr:from>
    <cdr:to>
      <cdr:x>0.7902</cdr:x>
      <cdr:y>0.59158</cdr:y>
    </cdr:to>
    <cdr:pic>
      <cdr:nvPicPr>
        <cdr:cNvPr id="14" name="Graphique 85" descr="Ordures">
          <a:extLst xmlns:a="http://schemas.openxmlformats.org/drawingml/2006/main">
            <a:ext uri="{FF2B5EF4-FFF2-40B4-BE49-F238E27FC236}">
              <a16:creationId xmlns:a16="http://schemas.microsoft.com/office/drawing/2014/main" id="{79573B22-E4F1-6CC4-3BBE-8E3FA180F6F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10323255" y="3712277"/>
          <a:ext cx="739626" cy="651581"/>
        </a:xfrm>
        <a:prstGeom xmlns:a="http://schemas.openxmlformats.org/drawingml/2006/main" prst="rect">
          <a:avLst/>
        </a:prstGeom>
      </cdr:spPr>
    </cdr:pic>
  </cdr:relSizeAnchor>
  <cdr:relSizeAnchor xmlns:cdr="http://schemas.openxmlformats.org/drawingml/2006/chartDrawing">
    <cdr:from>
      <cdr:x>0.36065</cdr:x>
      <cdr:y>0.32719</cdr:y>
    </cdr:from>
    <cdr:to>
      <cdr:x>0.4146</cdr:x>
      <cdr:y>0.41553</cdr:y>
    </cdr:to>
    <cdr:pic>
      <cdr:nvPicPr>
        <cdr:cNvPr id="18" name="Graphique 17" descr="Divers avec un remplissage uni">
          <a:extLst xmlns:a="http://schemas.openxmlformats.org/drawingml/2006/main">
            <a:ext uri="{FF2B5EF4-FFF2-40B4-BE49-F238E27FC236}">
              <a16:creationId xmlns:a16="http://schemas.microsoft.com/office/drawing/2014/main" id="{7B815406-DFBE-14E7-1E45-3FB967B026F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xmlns:a="http://schemas.openxmlformats.org/drawingml/2006/main">
          <a:fillRect/>
        </a:stretch>
      </cdr:blipFill>
      <cdr:spPr>
        <a:xfrm xmlns:a="http://schemas.openxmlformats.org/drawingml/2006/main">
          <a:off x="5049207" y="2413555"/>
          <a:ext cx="755306" cy="651655"/>
        </a:xfrm>
        <a:prstGeom xmlns:a="http://schemas.openxmlformats.org/drawingml/2006/main" prst="rect">
          <a:avLst/>
        </a:prstGeom>
      </cdr:spPr>
    </cdr:pic>
  </cdr:relSizeAnchor>
  <cdr:relSizeAnchor xmlns:cdr="http://schemas.openxmlformats.org/drawingml/2006/chartDrawing">
    <cdr:from>
      <cdr:x>0.26893</cdr:x>
      <cdr:y>0.14328</cdr:y>
    </cdr:from>
    <cdr:to>
      <cdr:x>0.32288</cdr:x>
      <cdr:y>0.23161</cdr:y>
    </cdr:to>
    <cdr:pic>
      <cdr:nvPicPr>
        <cdr:cNvPr id="20" name="Graphique 19" descr="Bus avec un remplissage uni">
          <a:extLst xmlns:a="http://schemas.openxmlformats.org/drawingml/2006/main">
            <a:ext uri="{FF2B5EF4-FFF2-40B4-BE49-F238E27FC236}">
              <a16:creationId xmlns:a16="http://schemas.microsoft.com/office/drawing/2014/main" id="{928DCD31-C675-8BD5-9BD0-571D255A7BA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xmlns:a="http://schemas.openxmlformats.org/drawingml/2006/main">
          <a:fillRect/>
        </a:stretch>
      </cdr:blipFill>
      <cdr:spPr>
        <a:xfrm xmlns:a="http://schemas.openxmlformats.org/drawingml/2006/main">
          <a:off x="3765115" y="1056949"/>
          <a:ext cx="755306" cy="651581"/>
        </a:xfrm>
        <a:prstGeom xmlns:a="http://schemas.openxmlformats.org/drawingml/2006/main" prst="rect">
          <a:avLst/>
        </a:prstGeom>
      </cdr:spPr>
    </cdr:pic>
  </cdr:relSizeAnchor>
  <cdr:relSizeAnchor xmlns:cdr="http://schemas.openxmlformats.org/drawingml/2006/chartDrawing">
    <cdr:from>
      <cdr:x>0.17398</cdr:x>
      <cdr:y>0.05795</cdr:y>
    </cdr:from>
    <cdr:to>
      <cdr:x>0.22793</cdr:x>
      <cdr:y>0.14629</cdr:y>
    </cdr:to>
    <cdr:pic>
      <cdr:nvPicPr>
        <cdr:cNvPr id="24" name="Graphique 23" descr="Cyclisme avec un remplissage uni">
          <a:extLst xmlns:a="http://schemas.openxmlformats.org/drawingml/2006/main">
            <a:ext uri="{FF2B5EF4-FFF2-40B4-BE49-F238E27FC236}">
              <a16:creationId xmlns:a16="http://schemas.microsoft.com/office/drawing/2014/main" id="{60109FE7-4E7D-54CB-E04C-14B4C16C13C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xmlns:a="http://schemas.openxmlformats.org/drawingml/2006/main">
          <a:fillRect/>
        </a:stretch>
      </cdr:blipFill>
      <cdr:spPr>
        <a:xfrm xmlns:a="http://schemas.openxmlformats.org/drawingml/2006/main">
          <a:off x="2435722" y="427503"/>
          <a:ext cx="755307" cy="651655"/>
        </a:xfrm>
        <a:prstGeom xmlns:a="http://schemas.openxmlformats.org/drawingml/2006/main" prst="rect">
          <a:avLst/>
        </a:prstGeom>
      </cdr:spPr>
    </cdr:pic>
  </cdr:relSizeAnchor>
  <cdr:relSizeAnchor xmlns:cdr="http://schemas.openxmlformats.org/drawingml/2006/chartDrawing">
    <cdr:from>
      <cdr:x>0.54522</cdr:x>
      <cdr:y>0.43478</cdr:y>
    </cdr:from>
    <cdr:to>
      <cdr:x>0.61608</cdr:x>
      <cdr:y>0.50624</cdr:y>
    </cdr:to>
    <cdr:grpSp>
      <cdr:nvGrpSpPr>
        <cdr:cNvPr id="29" name="Groupe 28">
          <a:extLst xmlns:a="http://schemas.openxmlformats.org/drawingml/2006/main">
            <a:ext uri="{FF2B5EF4-FFF2-40B4-BE49-F238E27FC236}">
              <a16:creationId xmlns:a16="http://schemas.microsoft.com/office/drawing/2014/main" id="{B41FFF08-3153-E8F5-4F23-F461AD42CD3E}"/>
            </a:ext>
          </a:extLst>
        </cdr:cNvPr>
        <cdr:cNvGrpSpPr>
          <a:grpSpLocks xmlns:a="http://schemas.openxmlformats.org/drawingml/2006/main" noChangeAspect="1"/>
        </cdr:cNvGrpSpPr>
      </cdr:nvGrpSpPr>
      <cdr:grpSpPr>
        <a:xfrm xmlns:a="http://schemas.openxmlformats.org/drawingml/2006/main">
          <a:off x="7599908" y="3118881"/>
          <a:ext cx="987728" cy="512616"/>
          <a:chOff x="0" y="0"/>
          <a:chExt cx="1510202" cy="930079"/>
        </a:xfrm>
      </cdr:grpSpPr>
      <cdr:pic>
        <cdr:nvPicPr>
          <cdr:cNvPr id="26" name="Graphique 25" descr="Thermomètre avec un remplissage uni">
            <a:extLst xmlns:a="http://schemas.openxmlformats.org/drawingml/2006/main">
              <a:ext uri="{FF2B5EF4-FFF2-40B4-BE49-F238E27FC236}">
                <a16:creationId xmlns:a16="http://schemas.microsoft.com/office/drawing/2014/main" id="{D8F67C54-93B3-CFAA-DAB7-BEB8525017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xmlns:a="http://schemas.openxmlformats.org/drawingml/2006/main">
            <a:fillRect/>
          </a:stretch>
        </cdr:blipFill>
        <cdr:spPr>
          <a:xfrm xmlns:a="http://schemas.openxmlformats.org/drawingml/2006/main">
            <a:off x="0" y="0"/>
            <a:ext cx="914400" cy="914400"/>
          </a:xfrm>
          <a:prstGeom xmlns:a="http://schemas.openxmlformats.org/drawingml/2006/main" prst="rect">
            <a:avLst/>
          </a:prstGeom>
        </cdr:spPr>
      </cdr:pic>
      <cdr:pic>
        <cdr:nvPicPr>
          <cdr:cNvPr id="28" name="Graphique 27" descr="Éclair avec un remplissage uni">
            <a:extLst xmlns:a="http://schemas.openxmlformats.org/drawingml/2006/main">
              <a:ext uri="{FF2B5EF4-FFF2-40B4-BE49-F238E27FC236}">
                <a16:creationId xmlns:a16="http://schemas.microsoft.com/office/drawing/2014/main" id="{6283C657-970B-D68C-2913-3AED2C13B4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xmlns:a="http://schemas.openxmlformats.org/drawingml/2006/main">
            <a:fillRect/>
          </a:stretch>
        </cdr:blipFill>
        <cdr:spPr>
          <a:xfrm xmlns:a="http://schemas.openxmlformats.org/drawingml/2006/main">
            <a:off x="595802" y="15679"/>
            <a:ext cx="914400" cy="914400"/>
          </a:xfrm>
          <a:prstGeom xmlns:a="http://schemas.openxmlformats.org/drawingml/2006/main" prst="rect">
            <a:avLst/>
          </a:prstGeom>
        </cdr:spPr>
      </cdr:pic>
    </cdr:grpSp>
  </cdr:relSizeAnchor>
  <cdr:relSizeAnchor xmlns:cdr="http://schemas.openxmlformats.org/drawingml/2006/chartDrawing">
    <cdr:from>
      <cdr:x>0.16141</cdr:x>
      <cdr:y>0.86868</cdr:y>
    </cdr:from>
    <cdr:to>
      <cdr:x>0.89103</cdr:x>
      <cdr:y>0.86868</cdr:y>
    </cdr:to>
    <cdr:cxnSp macro="">
      <cdr:nvCxnSpPr>
        <cdr:cNvPr id="31" name="Connecteur droit avec flèche 30">
          <a:extLst xmlns:a="http://schemas.openxmlformats.org/drawingml/2006/main">
            <a:ext uri="{FF2B5EF4-FFF2-40B4-BE49-F238E27FC236}">
              <a16:creationId xmlns:a16="http://schemas.microsoft.com/office/drawing/2014/main" id="{214B0AB5-1936-F2DD-A8B4-B6A010DFB50F}"/>
            </a:ext>
          </a:extLst>
        </cdr:cNvPr>
        <cdr:cNvCxnSpPr/>
      </cdr:nvCxnSpPr>
      <cdr:spPr>
        <a:xfrm xmlns:a="http://schemas.openxmlformats.org/drawingml/2006/main">
          <a:off x="2267100" y="7377627"/>
          <a:ext cx="10247947" cy="0"/>
        </a:xfrm>
        <a:prstGeom xmlns:a="http://schemas.openxmlformats.org/drawingml/2006/main" prst="straightConnector1">
          <a:avLst/>
        </a:prstGeom>
        <a:ln xmlns:a="http://schemas.openxmlformats.org/drawingml/2006/main" w="28575">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0.48236</cdr:x>
      <cdr:y>0.48322</cdr:y>
    </cdr:from>
    <cdr:to>
      <cdr:x>0.48258</cdr:x>
      <cdr:y>0.60767</cdr:y>
    </cdr:to>
    <cdr:cxnSp macro="">
      <cdr:nvCxnSpPr>
        <cdr:cNvPr id="33" name="Connecteur droit avec flèche 32">
          <a:extLst xmlns:a="http://schemas.openxmlformats.org/drawingml/2006/main">
            <a:ext uri="{FF2B5EF4-FFF2-40B4-BE49-F238E27FC236}">
              <a16:creationId xmlns:a16="http://schemas.microsoft.com/office/drawing/2014/main" id="{0C3C8342-6E7F-8941-EB1D-C8AAD4CA199C}"/>
            </a:ext>
          </a:extLst>
        </cdr:cNvPr>
        <cdr:cNvCxnSpPr/>
      </cdr:nvCxnSpPr>
      <cdr:spPr>
        <a:xfrm xmlns:a="http://schemas.openxmlformats.org/drawingml/2006/main">
          <a:off x="6753122" y="3564521"/>
          <a:ext cx="3080" cy="918042"/>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0.20135</cdr:x>
      <cdr:y>0.20981</cdr:y>
    </cdr:from>
    <cdr:to>
      <cdr:x>0.20161</cdr:x>
      <cdr:y>0.25436</cdr:y>
    </cdr:to>
    <cdr:cxnSp macro="">
      <cdr:nvCxnSpPr>
        <cdr:cNvPr id="36" name="Connecteur droit avec flèche 35">
          <a:extLst xmlns:a="http://schemas.openxmlformats.org/drawingml/2006/main">
            <a:ext uri="{FF2B5EF4-FFF2-40B4-BE49-F238E27FC236}">
              <a16:creationId xmlns:a16="http://schemas.microsoft.com/office/drawing/2014/main" id="{A16ED8E5-16FB-F42F-E07E-E29C1A38A789}"/>
            </a:ext>
          </a:extLst>
        </cdr:cNvPr>
        <cdr:cNvCxnSpPr/>
      </cdr:nvCxnSpPr>
      <cdr:spPr>
        <a:xfrm xmlns:a="http://schemas.openxmlformats.org/drawingml/2006/main">
          <a:off x="2818886" y="1547719"/>
          <a:ext cx="3640" cy="328631"/>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0.54557</cdr:x>
      <cdr:y>0.49599</cdr:y>
    </cdr:from>
    <cdr:to>
      <cdr:x>0.6047</cdr:x>
      <cdr:y>0.57681</cdr:y>
    </cdr:to>
    <cdr:sp macro="" textlink="">
      <cdr:nvSpPr>
        <cdr:cNvPr id="37" name="ZoneTexte 1">
          <a:extLst xmlns:a="http://schemas.openxmlformats.org/drawingml/2006/main">
            <a:ext uri="{FF2B5EF4-FFF2-40B4-BE49-F238E27FC236}">
              <a16:creationId xmlns:a16="http://schemas.microsoft.com/office/drawing/2014/main" id="{9EDC49C0-905E-8015-D176-FE5D1903A4A8}"/>
            </a:ext>
          </a:extLst>
        </cdr:cNvPr>
        <cdr:cNvSpPr txBox="1"/>
      </cdr:nvSpPr>
      <cdr:spPr bwMode="auto">
        <a:xfrm xmlns:a="http://schemas.openxmlformats.org/drawingml/2006/main">
          <a:off x="7638011" y="3658791"/>
          <a:ext cx="827827" cy="596182"/>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Consommation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d'énergie</a:t>
          </a:r>
          <a:endParaRPr lang="fr-FR" sz="1800" b="1"/>
        </a:p>
      </cdr:txBody>
    </cdr:sp>
  </cdr:relSizeAnchor>
  <cdr:relSizeAnchor xmlns:cdr="http://schemas.openxmlformats.org/drawingml/2006/chartDrawing">
    <cdr:from>
      <cdr:x>0.63585</cdr:x>
      <cdr:y>0.55429</cdr:y>
    </cdr:from>
    <cdr:to>
      <cdr:x>0.69499</cdr:x>
      <cdr:y>0.63511</cdr:y>
    </cdr:to>
    <cdr:sp macro="" textlink="">
      <cdr:nvSpPr>
        <cdr:cNvPr id="38" name="ZoneTexte 1">
          <a:extLst xmlns:a="http://schemas.openxmlformats.org/drawingml/2006/main">
            <a:ext uri="{FF2B5EF4-FFF2-40B4-BE49-F238E27FC236}">
              <a16:creationId xmlns:a16="http://schemas.microsoft.com/office/drawing/2014/main" id="{F0325A4F-FD76-A203-25AC-67F152A48231}"/>
            </a:ext>
          </a:extLst>
        </cdr:cNvPr>
        <cdr:cNvSpPr txBox="1"/>
      </cdr:nvSpPr>
      <cdr:spPr bwMode="auto">
        <a:xfrm xmlns:a="http://schemas.openxmlformats.org/drawingml/2006/main">
          <a:off x="8901923" y="4088816"/>
          <a:ext cx="827967" cy="596183"/>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Alimentation &amp;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boissons</a:t>
          </a:r>
          <a:endParaRPr lang="fr-FR" sz="1800" b="1"/>
        </a:p>
      </cdr:txBody>
    </cdr:sp>
  </cdr:relSizeAnchor>
  <cdr:relSizeAnchor xmlns:cdr="http://schemas.openxmlformats.org/drawingml/2006/chartDrawing">
    <cdr:from>
      <cdr:x>0.1365</cdr:x>
      <cdr:y>0.13168</cdr:y>
    </cdr:from>
    <cdr:to>
      <cdr:x>0.26535</cdr:x>
      <cdr:y>0.21778</cdr:y>
    </cdr:to>
    <cdr:sp macro="" textlink="">
      <cdr:nvSpPr>
        <cdr:cNvPr id="39" name="ZoneTexte 1">
          <a:extLst xmlns:a="http://schemas.openxmlformats.org/drawingml/2006/main">
            <a:ext uri="{FF2B5EF4-FFF2-40B4-BE49-F238E27FC236}">
              <a16:creationId xmlns:a16="http://schemas.microsoft.com/office/drawing/2014/main" id="{BBDD83AD-8ACF-E741-ACD4-54AC6A7E33C9}"/>
            </a:ext>
          </a:extLst>
        </cdr:cNvPr>
        <cdr:cNvSpPr txBox="1"/>
      </cdr:nvSpPr>
      <cdr:spPr bwMode="auto">
        <a:xfrm xmlns:a="http://schemas.openxmlformats.org/drawingml/2006/main">
          <a:off x="1911018" y="971385"/>
          <a:ext cx="1803915" cy="635131"/>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Déplacements pour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les entrainements</a:t>
          </a:r>
          <a:endParaRPr lang="fr-FR" sz="1800" b="1"/>
        </a:p>
      </cdr:txBody>
    </cdr:sp>
  </cdr:relSizeAnchor>
  <cdr:relSizeAnchor xmlns:cdr="http://schemas.openxmlformats.org/drawingml/2006/chartDrawing">
    <cdr:from>
      <cdr:x>0.27029</cdr:x>
      <cdr:y>0.21163</cdr:y>
    </cdr:from>
    <cdr:to>
      <cdr:x>0.32942</cdr:x>
      <cdr:y>0.29244</cdr:y>
    </cdr:to>
    <cdr:sp macro="" textlink="">
      <cdr:nvSpPr>
        <cdr:cNvPr id="41" name="ZoneTexte 1">
          <a:extLst xmlns:a="http://schemas.openxmlformats.org/drawingml/2006/main">
            <a:ext uri="{FF2B5EF4-FFF2-40B4-BE49-F238E27FC236}">
              <a16:creationId xmlns:a16="http://schemas.microsoft.com/office/drawing/2014/main" id="{D921A652-E151-6364-A99E-EEE611410B81}"/>
            </a:ext>
          </a:extLst>
        </cdr:cNvPr>
        <cdr:cNvSpPr txBox="1"/>
      </cdr:nvSpPr>
      <cdr:spPr bwMode="auto">
        <a:xfrm xmlns:a="http://schemas.openxmlformats.org/drawingml/2006/main">
          <a:off x="3784055" y="1561139"/>
          <a:ext cx="827827" cy="596109"/>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Déplacements pour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les matchs</a:t>
          </a:r>
          <a:endParaRPr lang="fr-FR" sz="1800" b="1"/>
        </a:p>
      </cdr:txBody>
    </cdr:sp>
  </cdr:relSizeAnchor>
  <cdr:relSizeAnchor xmlns:cdr="http://schemas.openxmlformats.org/drawingml/2006/chartDrawing">
    <cdr:from>
      <cdr:x>0.73143</cdr:x>
      <cdr:y>0.57128</cdr:y>
    </cdr:from>
    <cdr:to>
      <cdr:x>0.79056</cdr:x>
      <cdr:y>0.6521</cdr:y>
    </cdr:to>
    <cdr:sp macro="" textlink="">
      <cdr:nvSpPr>
        <cdr:cNvPr id="42" name="ZoneTexte 1">
          <a:extLst xmlns:a="http://schemas.openxmlformats.org/drawingml/2006/main">
            <a:ext uri="{FF2B5EF4-FFF2-40B4-BE49-F238E27FC236}">
              <a16:creationId xmlns:a16="http://schemas.microsoft.com/office/drawing/2014/main" id="{211D8751-AB56-994D-0728-7FB21ABE9440}"/>
            </a:ext>
          </a:extLst>
        </cdr:cNvPr>
        <cdr:cNvSpPr txBox="1"/>
      </cdr:nvSpPr>
      <cdr:spPr bwMode="auto">
        <a:xfrm xmlns:a="http://schemas.openxmlformats.org/drawingml/2006/main">
          <a:off x="10240135" y="4214166"/>
          <a:ext cx="827827" cy="596182"/>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Déchets</a:t>
          </a:r>
          <a:endParaRPr lang="fr-FR" sz="1800" b="1"/>
        </a:p>
      </cdr:txBody>
    </cdr:sp>
  </cdr:relSizeAnchor>
  <cdr:relSizeAnchor xmlns:cdr="http://schemas.openxmlformats.org/drawingml/2006/chartDrawing">
    <cdr:from>
      <cdr:x>0.3604</cdr:x>
      <cdr:y>0.2983</cdr:y>
    </cdr:from>
    <cdr:to>
      <cdr:x>0.41953</cdr:x>
      <cdr:y>0.37912</cdr:y>
    </cdr:to>
    <cdr:sp macro="" textlink="">
      <cdr:nvSpPr>
        <cdr:cNvPr id="44" name="ZoneTexte 1">
          <a:extLst xmlns:a="http://schemas.openxmlformats.org/drawingml/2006/main">
            <a:ext uri="{FF2B5EF4-FFF2-40B4-BE49-F238E27FC236}">
              <a16:creationId xmlns:a16="http://schemas.microsoft.com/office/drawing/2014/main" id="{D919BAAC-C76C-F5C9-F4FD-952654D77033}"/>
            </a:ext>
          </a:extLst>
        </cdr:cNvPr>
        <cdr:cNvSpPr txBox="1"/>
      </cdr:nvSpPr>
      <cdr:spPr bwMode="auto">
        <a:xfrm xmlns:a="http://schemas.openxmlformats.org/drawingml/2006/main">
          <a:off x="5045606" y="2200463"/>
          <a:ext cx="827827" cy="596182"/>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Matériel sportif</a:t>
          </a:r>
          <a:endParaRPr lang="fr-FR" sz="1800" b="1"/>
        </a:p>
      </cdr:txBody>
    </cdr:sp>
  </cdr:relSizeAnchor>
  <cdr:relSizeAnchor xmlns:cdr="http://schemas.openxmlformats.org/drawingml/2006/chartDrawing">
    <cdr:from>
      <cdr:x>0.57464</cdr:x>
      <cdr:y>0.57143</cdr:y>
    </cdr:from>
    <cdr:to>
      <cdr:x>0.57464</cdr:x>
      <cdr:y>0.64834</cdr:y>
    </cdr:to>
    <cdr:cxnSp macro="">
      <cdr:nvCxnSpPr>
        <cdr:cNvPr id="49" name="Connecteur droit avec flèche 48">
          <a:extLst xmlns:a="http://schemas.openxmlformats.org/drawingml/2006/main">
            <a:ext uri="{FF2B5EF4-FFF2-40B4-BE49-F238E27FC236}">
              <a16:creationId xmlns:a16="http://schemas.microsoft.com/office/drawing/2014/main" id="{BDAD0456-83E5-DC5F-C2BF-98CA760B9608}"/>
            </a:ext>
          </a:extLst>
        </cdr:cNvPr>
        <cdr:cNvCxnSpPr/>
      </cdr:nvCxnSpPr>
      <cdr:spPr>
        <a:xfrm xmlns:a="http://schemas.openxmlformats.org/drawingml/2006/main">
          <a:off x="8045054" y="4215233"/>
          <a:ext cx="0" cy="567339"/>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0.38875</cdr:x>
      <cdr:y>0.3992</cdr:y>
    </cdr:from>
    <cdr:to>
      <cdr:x>0.3889</cdr:x>
      <cdr:y>0.47483</cdr:y>
    </cdr:to>
    <cdr:cxnSp macro="">
      <cdr:nvCxnSpPr>
        <cdr:cNvPr id="53" name="Connecteur droit avec flèche 52">
          <a:extLst xmlns:a="http://schemas.openxmlformats.org/drawingml/2006/main">
            <a:ext uri="{FF2B5EF4-FFF2-40B4-BE49-F238E27FC236}">
              <a16:creationId xmlns:a16="http://schemas.microsoft.com/office/drawing/2014/main" id="{F794731E-6E6A-2487-3FFC-C0A77368CC6C}"/>
            </a:ext>
          </a:extLst>
        </cdr:cNvPr>
        <cdr:cNvCxnSpPr/>
      </cdr:nvCxnSpPr>
      <cdr:spPr>
        <a:xfrm xmlns:a="http://schemas.openxmlformats.org/drawingml/2006/main">
          <a:off x="5442482" y="2944761"/>
          <a:ext cx="2188" cy="557891"/>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0.76234</cdr:x>
      <cdr:y>0.63227</cdr:y>
    </cdr:from>
    <cdr:to>
      <cdr:x>0.76236</cdr:x>
      <cdr:y>0.726</cdr:y>
    </cdr:to>
    <cdr:cxnSp macro="">
      <cdr:nvCxnSpPr>
        <cdr:cNvPr id="55" name="Connecteur droit avec flèche 54">
          <a:extLst xmlns:a="http://schemas.openxmlformats.org/drawingml/2006/main">
            <a:ext uri="{FF2B5EF4-FFF2-40B4-BE49-F238E27FC236}">
              <a16:creationId xmlns:a16="http://schemas.microsoft.com/office/drawing/2014/main" id="{14D4D5C2-2E86-069F-5B1F-3F1DF7244771}"/>
            </a:ext>
          </a:extLst>
        </cdr:cNvPr>
        <cdr:cNvCxnSpPr/>
      </cdr:nvCxnSpPr>
      <cdr:spPr>
        <a:xfrm xmlns:a="http://schemas.openxmlformats.org/drawingml/2006/main" flipH="1">
          <a:off x="10672818" y="4664083"/>
          <a:ext cx="280" cy="69141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0.49728</cdr:x>
      <cdr:y>0.87356</cdr:y>
    </cdr:from>
    <cdr:to>
      <cdr:x>0.56472</cdr:x>
      <cdr:y>0.98398</cdr:y>
    </cdr:to>
    <cdr:sp macro="" textlink="Résultat!$F$135">
      <cdr:nvSpPr>
        <cdr:cNvPr id="58" name="ZoneTexte 57">
          <a:extLst xmlns:a="http://schemas.openxmlformats.org/drawingml/2006/main">
            <a:ext uri="{FF2B5EF4-FFF2-40B4-BE49-F238E27FC236}">
              <a16:creationId xmlns:a16="http://schemas.microsoft.com/office/drawing/2014/main" id="{3807C7A6-D42D-6022-8D9B-73BA1D35A82C}"/>
            </a:ext>
          </a:extLst>
        </cdr:cNvPr>
        <cdr:cNvSpPr txBox="1"/>
      </cdr:nvSpPr>
      <cdr:spPr bwMode="auto">
        <a:xfrm xmlns:a="http://schemas.openxmlformats.org/drawingml/2006/main">
          <a:off x="7007450" y="7478271"/>
          <a:ext cx="950335" cy="94526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nchor="ctr"/>
        <a:lstStyle xmlns:a="http://schemas.openxmlformats.org/drawingml/2006/main"/>
        <a:p xmlns:a="http://schemas.openxmlformats.org/drawingml/2006/main">
          <a:pPr algn="ctr"/>
          <a:fld id="{49882F6F-0FC2-3C45-9F23-015066CB11B2}" type="TxLink">
            <a:rPr lang="en-US" sz="2000" b="1" i="0" u="none" strike="noStrike">
              <a:solidFill>
                <a:srgbClr val="000000"/>
              </a:solidFill>
              <a:latin typeface="Arial (Corps)"/>
              <a:cs typeface="Arial"/>
            </a:rPr>
            <a:pPr algn="ctr"/>
            <a:t>-80%</a:t>
          </a:fld>
          <a:endParaRPr lang="fr-FR" sz="13800" b="1">
            <a:solidFill>
              <a:schemeClr val="tx2"/>
            </a:solidFill>
          </a:endParaRPr>
        </a:p>
      </cdr:txBody>
    </cdr:sp>
  </cdr:relSizeAnchor>
  <cdr:relSizeAnchor xmlns:cdr="http://schemas.openxmlformats.org/drawingml/2006/chartDrawing">
    <cdr:from>
      <cdr:x>0.45596</cdr:x>
      <cdr:y>0.33705</cdr:y>
    </cdr:from>
    <cdr:to>
      <cdr:x>0.50229</cdr:x>
      <cdr:y>0.41506</cdr:y>
    </cdr:to>
    <cdr:pic>
      <cdr:nvPicPr>
        <cdr:cNvPr id="8" name="Graphique 10" descr="Accueil">
          <a:extLst xmlns:a="http://schemas.openxmlformats.org/drawingml/2006/main">
            <a:ext uri="{FF2B5EF4-FFF2-40B4-BE49-F238E27FC236}">
              <a16:creationId xmlns:a16="http://schemas.microsoft.com/office/drawing/2014/main" id="{78EF65EE-8397-6DCD-AF96-CB3A67C0C7F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5">
          <a:extLst>
            <a:ext uri="{96DAC541-7B7A-43D3-8B79-37D633B846F1}">
              <asvg:svgBlip xmlns:asvg="http://schemas.microsoft.com/office/drawing/2016/SVG/main" r:embed="rId16"/>
            </a:ext>
          </a:extLst>
        </a:blip>
        <a:stretch xmlns:a="http://schemas.openxmlformats.org/drawingml/2006/main">
          <a:fillRect/>
        </a:stretch>
      </cdr:blipFill>
      <cdr:spPr>
        <a:xfrm xmlns:a="http://schemas.openxmlformats.org/drawingml/2006/main">
          <a:off x="6383439" y="2486303"/>
          <a:ext cx="648626" cy="575454"/>
        </a:xfrm>
        <a:prstGeom xmlns:a="http://schemas.openxmlformats.org/drawingml/2006/main" prst="rect">
          <a:avLst/>
        </a:prstGeom>
      </cdr:spPr>
    </cdr:pic>
  </cdr:relSizeAnchor>
  <cdr:relSizeAnchor xmlns:cdr="http://schemas.openxmlformats.org/drawingml/2006/chartDrawing">
    <cdr:from>
      <cdr:x>0.45513</cdr:x>
      <cdr:y>0.40098</cdr:y>
    </cdr:from>
    <cdr:to>
      <cdr:x>0.51427</cdr:x>
      <cdr:y>0.4818</cdr:y>
    </cdr:to>
    <cdr:sp macro="" textlink="">
      <cdr:nvSpPr>
        <cdr:cNvPr id="15" name="ZoneTexte 1">
          <a:extLst xmlns:a="http://schemas.openxmlformats.org/drawingml/2006/main">
            <a:ext uri="{FF2B5EF4-FFF2-40B4-BE49-F238E27FC236}">
              <a16:creationId xmlns:a16="http://schemas.microsoft.com/office/drawing/2014/main" id="{65C4B176-7ECE-2C46-96DE-FBCFD5176EA8}"/>
            </a:ext>
          </a:extLst>
        </cdr:cNvPr>
        <cdr:cNvSpPr txBox="1"/>
      </cdr:nvSpPr>
      <cdr:spPr bwMode="auto">
        <a:xfrm xmlns:a="http://schemas.openxmlformats.org/drawingml/2006/main">
          <a:off x="6371839" y="2957913"/>
          <a:ext cx="827967" cy="596183"/>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Infrastructures</a:t>
          </a:r>
          <a:r>
            <a:rPr lang="fr-FR" sz="1400" b="1" baseline="0"/>
            <a:t> (club,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t>surface de jeu, etc.)</a:t>
          </a:r>
          <a:endParaRPr lang="fr-FR" sz="1800" b="1"/>
        </a:p>
      </cdr:txBody>
    </cdr:sp>
  </cdr:relSizeAnchor>
  <cdr:relSizeAnchor xmlns:cdr="http://schemas.openxmlformats.org/drawingml/2006/chartDrawing">
    <cdr:from>
      <cdr:x>0.66295</cdr:x>
      <cdr:y>0.62716</cdr:y>
    </cdr:from>
    <cdr:to>
      <cdr:x>0.66322</cdr:x>
      <cdr:y>0.68367</cdr:y>
    </cdr:to>
    <cdr:cxnSp macro="">
      <cdr:nvCxnSpPr>
        <cdr:cNvPr id="12" name="Connecteur droit avec flèche 11">
          <a:extLst xmlns:a="http://schemas.openxmlformats.org/drawingml/2006/main">
            <a:ext uri="{FF2B5EF4-FFF2-40B4-BE49-F238E27FC236}">
              <a16:creationId xmlns:a16="http://schemas.microsoft.com/office/drawing/2014/main" id="{A23B2A71-2681-66A2-90D0-4296E09F3046}"/>
            </a:ext>
          </a:extLst>
        </cdr:cNvPr>
        <cdr:cNvCxnSpPr/>
      </cdr:nvCxnSpPr>
      <cdr:spPr>
        <a:xfrm xmlns:a="http://schemas.openxmlformats.org/drawingml/2006/main" flipH="1">
          <a:off x="9281447" y="4626320"/>
          <a:ext cx="3780" cy="41685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0.29585</cdr:x>
      <cdr:y>0.29315</cdr:y>
    </cdr:from>
    <cdr:to>
      <cdr:x>0.29618</cdr:x>
      <cdr:y>0.37934</cdr:y>
    </cdr:to>
    <cdr:cxnSp macro="">
      <cdr:nvCxnSpPr>
        <cdr:cNvPr id="25" name="Connecteur droit avec flèche 24">
          <a:extLst xmlns:a="http://schemas.openxmlformats.org/drawingml/2006/main">
            <a:ext uri="{FF2B5EF4-FFF2-40B4-BE49-F238E27FC236}">
              <a16:creationId xmlns:a16="http://schemas.microsoft.com/office/drawing/2014/main" id="{723EFCE5-6114-1D1A-A0BC-D8533A14C2A7}"/>
            </a:ext>
          </a:extLst>
        </cdr:cNvPr>
        <cdr:cNvCxnSpPr/>
      </cdr:nvCxnSpPr>
      <cdr:spPr>
        <a:xfrm xmlns:a="http://schemas.openxmlformats.org/drawingml/2006/main">
          <a:off x="4142002" y="2162441"/>
          <a:ext cx="4536" cy="63585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0.85144</cdr:x>
      <cdr:y>0.70221</cdr:y>
    </cdr:from>
    <cdr:to>
      <cdr:x>0.85175</cdr:x>
      <cdr:y>0.72939</cdr:y>
    </cdr:to>
    <cdr:cxnSp macro="">
      <cdr:nvCxnSpPr>
        <cdr:cNvPr id="11" name="Connecteur droit avec flèche 10">
          <a:extLst xmlns:a="http://schemas.openxmlformats.org/drawingml/2006/main">
            <a:ext uri="{FF2B5EF4-FFF2-40B4-BE49-F238E27FC236}">
              <a16:creationId xmlns:a16="http://schemas.microsoft.com/office/drawing/2014/main" id="{DFCC46E0-46E1-CC6D-D1E7-9899873743C3}"/>
            </a:ext>
          </a:extLst>
        </cdr:cNvPr>
        <cdr:cNvCxnSpPr/>
      </cdr:nvCxnSpPr>
      <cdr:spPr>
        <a:xfrm xmlns:a="http://schemas.openxmlformats.org/drawingml/2006/main" flipH="1">
          <a:off x="11920330" y="5179961"/>
          <a:ext cx="4232" cy="200544"/>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0.79141</cdr:x>
      <cdr:y>0.62717</cdr:y>
    </cdr:from>
    <cdr:to>
      <cdr:x>0.9146</cdr:x>
      <cdr:y>0.70799</cdr:y>
    </cdr:to>
    <cdr:sp macro="" textlink="">
      <cdr:nvSpPr>
        <cdr:cNvPr id="16" name="ZoneTexte 1">
          <a:extLst xmlns:a="http://schemas.openxmlformats.org/drawingml/2006/main">
            <a:ext uri="{FF2B5EF4-FFF2-40B4-BE49-F238E27FC236}">
              <a16:creationId xmlns:a16="http://schemas.microsoft.com/office/drawing/2014/main" id="{17E283C7-5E41-DDAC-C30D-16DF08FF2DD3}"/>
            </a:ext>
          </a:extLst>
        </cdr:cNvPr>
        <cdr:cNvSpPr txBox="1"/>
      </cdr:nvSpPr>
      <cdr:spPr bwMode="auto">
        <a:xfrm xmlns:a="http://schemas.openxmlformats.org/drawingml/2006/main">
          <a:off x="11079878" y="4626450"/>
          <a:ext cx="1724688" cy="596183"/>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Optimiser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la</a:t>
          </a:r>
          <a:r>
            <a:rPr lang="fr-FR" sz="1400" b="1" baseline="0"/>
            <a:t> programmation</a:t>
          </a:r>
          <a:endParaRPr lang="fr-FR" sz="1800" b="1"/>
        </a:p>
      </cdr:txBody>
    </cdr:sp>
  </cdr:relSizeAnchor>
</c:userShapes>
</file>

<file path=xl/drawings/drawing6.xml><?xml version="1.0" encoding="utf-8"?>
<c:userShapes xmlns:c="http://schemas.openxmlformats.org/drawingml/2006/chart">
  <cdr:relSizeAnchor xmlns:cdr="http://schemas.openxmlformats.org/drawingml/2006/chartDrawing">
    <cdr:from>
      <cdr:x>0.08122</cdr:x>
      <cdr:y>0.91918</cdr:y>
    </cdr:from>
    <cdr:to>
      <cdr:x>0.14035</cdr:x>
      <cdr:y>1</cdr:y>
    </cdr:to>
    <cdr:sp macro="" textlink="">
      <cdr:nvSpPr>
        <cdr:cNvPr id="5" name="ZoneTexte 4">
          <a:extLst xmlns:a="http://schemas.openxmlformats.org/drawingml/2006/main">
            <a:ext uri="{FF2B5EF4-FFF2-40B4-BE49-F238E27FC236}">
              <a16:creationId xmlns:a16="http://schemas.microsoft.com/office/drawing/2014/main" id="{338AE679-1516-2028-F5F9-A57F89D527DD}"/>
            </a:ext>
          </a:extLst>
        </cdr:cNvPr>
        <cdr:cNvSpPr txBox="1"/>
      </cdr:nvSpPr>
      <cdr:spPr bwMode="auto">
        <a:xfrm xmlns:a="http://schemas.openxmlformats.org/drawingml/2006/main">
          <a:off x="976166" y="6747316"/>
          <a:ext cx="710721" cy="59325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baseline="0"/>
            <a:t> </a:t>
          </a:r>
          <a:r>
            <a:rPr lang="fr-FR" sz="2000" b="1"/>
            <a:t>2022</a:t>
          </a:r>
        </a:p>
      </cdr:txBody>
    </cdr:sp>
  </cdr:relSizeAnchor>
  <cdr:relSizeAnchor xmlns:cdr="http://schemas.openxmlformats.org/drawingml/2006/chartDrawing">
    <cdr:from>
      <cdr:x>0.91475</cdr:x>
      <cdr:y>0.91918</cdr:y>
    </cdr:from>
    <cdr:to>
      <cdr:x>0.97389</cdr:x>
      <cdr:y>1</cdr:y>
    </cdr:to>
    <cdr:sp macro="" textlink="">
      <cdr:nvSpPr>
        <cdr:cNvPr id="7" name="ZoneTexte 1">
          <a:extLst xmlns:a="http://schemas.openxmlformats.org/drawingml/2006/main">
            <a:ext uri="{FF2B5EF4-FFF2-40B4-BE49-F238E27FC236}">
              <a16:creationId xmlns:a16="http://schemas.microsoft.com/office/drawing/2014/main" id="{B2B334AD-F97F-681A-8683-A1239901765C}"/>
            </a:ext>
          </a:extLst>
        </cdr:cNvPr>
        <cdr:cNvSpPr txBox="1"/>
      </cdr:nvSpPr>
      <cdr:spPr bwMode="auto">
        <a:xfrm xmlns:a="http://schemas.openxmlformats.org/drawingml/2006/main">
          <a:off x="10994751" y="6747316"/>
          <a:ext cx="710721" cy="59325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baseline="0"/>
            <a:t> </a:t>
          </a:r>
          <a:r>
            <a:rPr lang="fr-FR" sz="2000" b="1"/>
            <a:t>2050</a:t>
          </a:r>
        </a:p>
      </cdr:txBody>
    </cdr:sp>
  </cdr:relSizeAnchor>
  <cdr:relSizeAnchor xmlns:cdr="http://schemas.openxmlformats.org/drawingml/2006/chartDrawing">
    <cdr:from>
      <cdr:x>0.26512</cdr:x>
      <cdr:y>0</cdr:y>
    </cdr:from>
    <cdr:to>
      <cdr:x>0.26512</cdr:x>
      <cdr:y>0</cdr:y>
    </cdr:to>
    <cdr:grpSp>
      <cdr:nvGrpSpPr>
        <cdr:cNvPr id="9" name="Groupe 8">
          <a:extLst xmlns:a="http://schemas.openxmlformats.org/drawingml/2006/main">
            <a:ext uri="{FF2B5EF4-FFF2-40B4-BE49-F238E27FC236}">
              <a16:creationId xmlns:a16="http://schemas.microsoft.com/office/drawing/2014/main" id="{015AE65A-0A99-205A-5F9F-1915A4A7FC30}"/>
            </a:ext>
          </a:extLst>
        </cdr:cNvPr>
        <cdr:cNvGrpSpPr>
          <a:grpSpLocks xmlns:a="http://schemas.openxmlformats.org/drawingml/2006/main" noChangeAspect="1"/>
        </cdr:cNvGrpSpPr>
      </cdr:nvGrpSpPr>
      <cdr:grpSpPr>
        <a:xfrm xmlns:a="http://schemas.openxmlformats.org/drawingml/2006/main">
          <a:off x="3695550" y="0"/>
          <a:ext cx="0" cy="0"/>
          <a:chOff x="3695550" y="0"/>
          <a:chExt cx="0" cy="0"/>
        </a:xfrm>
      </cdr:grpSpPr>
    </cdr:grpSp>
  </cdr:relSizeAnchor>
  <cdr:relSizeAnchor xmlns:cdr="http://schemas.openxmlformats.org/drawingml/2006/chartDrawing">
    <cdr:from>
      <cdr:x>0.70334</cdr:x>
      <cdr:y>0.4961</cdr:y>
    </cdr:from>
    <cdr:to>
      <cdr:x>0.76319</cdr:x>
      <cdr:y>0.59399</cdr:y>
    </cdr:to>
    <cdr:pic>
      <cdr:nvPicPr>
        <cdr:cNvPr id="13" name="Graphique 54" descr="Couverts de table">
          <a:extLst xmlns:a="http://schemas.openxmlformats.org/drawingml/2006/main">
            <a:ext uri="{FF2B5EF4-FFF2-40B4-BE49-F238E27FC236}">
              <a16:creationId xmlns:a16="http://schemas.microsoft.com/office/drawing/2014/main" id="{CA488B62-0618-930B-2F13-94E154C95F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9854187" y="4077866"/>
          <a:ext cx="838536" cy="804637"/>
        </a:xfrm>
        <a:prstGeom xmlns:a="http://schemas.openxmlformats.org/drawingml/2006/main" prst="rect">
          <a:avLst/>
        </a:prstGeom>
      </cdr:spPr>
    </cdr:pic>
  </cdr:relSizeAnchor>
  <cdr:relSizeAnchor xmlns:cdr="http://schemas.openxmlformats.org/drawingml/2006/chartDrawing">
    <cdr:from>
      <cdr:x>0.80486</cdr:x>
      <cdr:y>0.52666</cdr:y>
    </cdr:from>
    <cdr:to>
      <cdr:x>0.85769</cdr:x>
      <cdr:y>0.61499</cdr:y>
    </cdr:to>
    <cdr:pic>
      <cdr:nvPicPr>
        <cdr:cNvPr id="14" name="Graphique 85" descr="Ordures">
          <a:extLst xmlns:a="http://schemas.openxmlformats.org/drawingml/2006/main">
            <a:ext uri="{FF2B5EF4-FFF2-40B4-BE49-F238E27FC236}">
              <a16:creationId xmlns:a16="http://schemas.microsoft.com/office/drawing/2014/main" id="{79573B22-E4F1-6CC4-3BBE-8E3FA180F6F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11276598" y="4329029"/>
          <a:ext cx="740182" cy="726056"/>
        </a:xfrm>
        <a:prstGeom xmlns:a="http://schemas.openxmlformats.org/drawingml/2006/main" prst="rect">
          <a:avLst/>
        </a:prstGeom>
      </cdr:spPr>
    </cdr:pic>
  </cdr:relSizeAnchor>
  <cdr:relSizeAnchor xmlns:cdr="http://schemas.openxmlformats.org/drawingml/2006/chartDrawing">
    <cdr:from>
      <cdr:x>0.39694</cdr:x>
      <cdr:y>0.34647</cdr:y>
    </cdr:from>
    <cdr:to>
      <cdr:x>0.45089</cdr:x>
      <cdr:y>0.43481</cdr:y>
    </cdr:to>
    <cdr:pic>
      <cdr:nvPicPr>
        <cdr:cNvPr id="18" name="Graphique 17" descr="Divers avec un remplissage uni">
          <a:extLst xmlns:a="http://schemas.openxmlformats.org/drawingml/2006/main">
            <a:ext uri="{FF2B5EF4-FFF2-40B4-BE49-F238E27FC236}">
              <a16:creationId xmlns:a16="http://schemas.microsoft.com/office/drawing/2014/main" id="{7B815406-DFBE-14E7-1E45-3FB967B026F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xmlns:a="http://schemas.openxmlformats.org/drawingml/2006/main">
          <a:fillRect/>
        </a:stretch>
      </cdr:blipFill>
      <cdr:spPr>
        <a:xfrm xmlns:a="http://schemas.openxmlformats.org/drawingml/2006/main">
          <a:off x="5573406" y="2798811"/>
          <a:ext cx="757499" cy="713614"/>
        </a:xfrm>
        <a:prstGeom xmlns:a="http://schemas.openxmlformats.org/drawingml/2006/main" prst="rect">
          <a:avLst/>
        </a:prstGeom>
      </cdr:spPr>
    </cdr:pic>
  </cdr:relSizeAnchor>
  <cdr:relSizeAnchor xmlns:cdr="http://schemas.openxmlformats.org/drawingml/2006/chartDrawing">
    <cdr:from>
      <cdr:x>0.29506</cdr:x>
      <cdr:y>0.14466</cdr:y>
    </cdr:from>
    <cdr:to>
      <cdr:x>0.34901</cdr:x>
      <cdr:y>0.23299</cdr:y>
    </cdr:to>
    <cdr:pic>
      <cdr:nvPicPr>
        <cdr:cNvPr id="20" name="Graphique 19" descr="Bus avec un remplissage uni">
          <a:extLst xmlns:a="http://schemas.openxmlformats.org/drawingml/2006/main">
            <a:ext uri="{FF2B5EF4-FFF2-40B4-BE49-F238E27FC236}">
              <a16:creationId xmlns:a16="http://schemas.microsoft.com/office/drawing/2014/main" id="{928DCD31-C675-8BD5-9BD0-571D255A7BA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xmlns:a="http://schemas.openxmlformats.org/drawingml/2006/main">
          <a:fillRect/>
        </a:stretch>
      </cdr:blipFill>
      <cdr:spPr>
        <a:xfrm xmlns:a="http://schemas.openxmlformats.org/drawingml/2006/main">
          <a:off x="4142831" y="1223689"/>
          <a:ext cx="757499" cy="747187"/>
        </a:xfrm>
        <a:prstGeom xmlns:a="http://schemas.openxmlformats.org/drawingml/2006/main" prst="rect">
          <a:avLst/>
        </a:prstGeom>
      </cdr:spPr>
    </cdr:pic>
  </cdr:relSizeAnchor>
  <cdr:relSizeAnchor xmlns:cdr="http://schemas.openxmlformats.org/drawingml/2006/chartDrawing">
    <cdr:from>
      <cdr:x>0.19067</cdr:x>
      <cdr:y>0.06484</cdr:y>
    </cdr:from>
    <cdr:to>
      <cdr:x>0.24462</cdr:x>
      <cdr:y>0.15318</cdr:y>
    </cdr:to>
    <cdr:pic>
      <cdr:nvPicPr>
        <cdr:cNvPr id="24" name="Graphique 23" descr="Cyclisme avec un remplissage uni">
          <a:extLst xmlns:a="http://schemas.openxmlformats.org/drawingml/2006/main">
            <a:ext uri="{FF2B5EF4-FFF2-40B4-BE49-F238E27FC236}">
              <a16:creationId xmlns:a16="http://schemas.microsoft.com/office/drawing/2014/main" id="{60109FE7-4E7D-54CB-E04C-14B4C16C13C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xmlns:a="http://schemas.openxmlformats.org/drawingml/2006/main">
          <a:fillRect/>
        </a:stretch>
      </cdr:blipFill>
      <cdr:spPr>
        <a:xfrm xmlns:a="http://schemas.openxmlformats.org/drawingml/2006/main">
          <a:off x="2677215" y="548477"/>
          <a:ext cx="757499" cy="747272"/>
        </a:xfrm>
        <a:prstGeom xmlns:a="http://schemas.openxmlformats.org/drawingml/2006/main" prst="rect">
          <a:avLst/>
        </a:prstGeom>
      </cdr:spPr>
    </cdr:pic>
  </cdr:relSizeAnchor>
  <cdr:relSizeAnchor xmlns:cdr="http://schemas.openxmlformats.org/drawingml/2006/chartDrawing">
    <cdr:from>
      <cdr:x>0.59675</cdr:x>
      <cdr:y>0.4458</cdr:y>
    </cdr:from>
    <cdr:to>
      <cdr:x>0.66761</cdr:x>
      <cdr:y>0.51726</cdr:y>
    </cdr:to>
    <cdr:grpSp>
      <cdr:nvGrpSpPr>
        <cdr:cNvPr id="29" name="Groupe 28">
          <a:extLst xmlns:a="http://schemas.openxmlformats.org/drawingml/2006/main">
            <a:ext uri="{FF2B5EF4-FFF2-40B4-BE49-F238E27FC236}">
              <a16:creationId xmlns:a16="http://schemas.microsoft.com/office/drawing/2014/main" id="{B41FFF08-3153-E8F5-4F23-F461AD42CD3E}"/>
            </a:ext>
          </a:extLst>
        </cdr:cNvPr>
        <cdr:cNvGrpSpPr>
          <a:grpSpLocks xmlns:a="http://schemas.openxmlformats.org/drawingml/2006/main" noChangeAspect="1"/>
        </cdr:cNvGrpSpPr>
      </cdr:nvGrpSpPr>
      <cdr:grpSpPr>
        <a:xfrm xmlns:a="http://schemas.openxmlformats.org/drawingml/2006/main">
          <a:off x="8318193" y="3516679"/>
          <a:ext cx="987728" cy="563710"/>
          <a:chOff x="0" y="0"/>
          <a:chExt cx="1510202" cy="930079"/>
        </a:xfrm>
      </cdr:grpSpPr>
      <cdr:pic>
        <cdr:nvPicPr>
          <cdr:cNvPr id="26" name="Graphique 25" descr="Thermomètre avec un remplissage uni">
            <a:extLst xmlns:a="http://schemas.openxmlformats.org/drawingml/2006/main">
              <a:ext uri="{FF2B5EF4-FFF2-40B4-BE49-F238E27FC236}">
                <a16:creationId xmlns:a16="http://schemas.microsoft.com/office/drawing/2014/main" id="{D8F67C54-93B3-CFAA-DAB7-BEB8525017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xmlns:a="http://schemas.openxmlformats.org/drawingml/2006/main">
            <a:fillRect/>
          </a:stretch>
        </cdr:blipFill>
        <cdr:spPr>
          <a:xfrm xmlns:a="http://schemas.openxmlformats.org/drawingml/2006/main">
            <a:off x="0" y="0"/>
            <a:ext cx="914400" cy="914400"/>
          </a:xfrm>
          <a:prstGeom xmlns:a="http://schemas.openxmlformats.org/drawingml/2006/main" prst="rect">
            <a:avLst/>
          </a:prstGeom>
        </cdr:spPr>
      </cdr:pic>
      <cdr:pic>
        <cdr:nvPicPr>
          <cdr:cNvPr id="28" name="Graphique 27" descr="Éclair avec un remplissage uni">
            <a:extLst xmlns:a="http://schemas.openxmlformats.org/drawingml/2006/main">
              <a:ext uri="{FF2B5EF4-FFF2-40B4-BE49-F238E27FC236}">
                <a16:creationId xmlns:a16="http://schemas.microsoft.com/office/drawing/2014/main" id="{6283C657-970B-D68C-2913-3AED2C13B4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xmlns:a="http://schemas.openxmlformats.org/drawingml/2006/main">
            <a:fillRect/>
          </a:stretch>
        </cdr:blipFill>
        <cdr:spPr>
          <a:xfrm xmlns:a="http://schemas.openxmlformats.org/drawingml/2006/main">
            <a:off x="595802" y="15679"/>
            <a:ext cx="914400" cy="914400"/>
          </a:xfrm>
          <a:prstGeom xmlns:a="http://schemas.openxmlformats.org/drawingml/2006/main" prst="rect">
            <a:avLst/>
          </a:prstGeom>
        </cdr:spPr>
      </cdr:pic>
    </cdr:grpSp>
  </cdr:relSizeAnchor>
  <cdr:relSizeAnchor xmlns:cdr="http://schemas.openxmlformats.org/drawingml/2006/chartDrawing">
    <cdr:from>
      <cdr:x>0.16141</cdr:x>
      <cdr:y>0.86868</cdr:y>
    </cdr:from>
    <cdr:to>
      <cdr:x>0.89103</cdr:x>
      <cdr:y>0.86868</cdr:y>
    </cdr:to>
    <cdr:cxnSp macro="">
      <cdr:nvCxnSpPr>
        <cdr:cNvPr id="31" name="Connecteur droit avec flèche 30">
          <a:extLst xmlns:a="http://schemas.openxmlformats.org/drawingml/2006/main">
            <a:ext uri="{FF2B5EF4-FFF2-40B4-BE49-F238E27FC236}">
              <a16:creationId xmlns:a16="http://schemas.microsoft.com/office/drawing/2014/main" id="{214B0AB5-1936-F2DD-A8B4-B6A010DFB50F}"/>
            </a:ext>
          </a:extLst>
        </cdr:cNvPr>
        <cdr:cNvCxnSpPr/>
      </cdr:nvCxnSpPr>
      <cdr:spPr>
        <a:xfrm xmlns:a="http://schemas.openxmlformats.org/drawingml/2006/main">
          <a:off x="2267100" y="7377627"/>
          <a:ext cx="10247947" cy="0"/>
        </a:xfrm>
        <a:prstGeom xmlns:a="http://schemas.openxmlformats.org/drawingml/2006/main" prst="straightConnector1">
          <a:avLst/>
        </a:prstGeom>
        <a:ln xmlns:a="http://schemas.openxmlformats.org/drawingml/2006/main" w="28575">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0.52633</cdr:x>
      <cdr:y>0.49841</cdr:y>
    </cdr:from>
    <cdr:to>
      <cdr:x>0.52685</cdr:x>
      <cdr:y>0.62695</cdr:y>
    </cdr:to>
    <cdr:cxnSp macro="">
      <cdr:nvCxnSpPr>
        <cdr:cNvPr id="33" name="Connecteur droit avec flèche 32">
          <a:extLst xmlns:a="http://schemas.openxmlformats.org/drawingml/2006/main">
            <a:ext uri="{FF2B5EF4-FFF2-40B4-BE49-F238E27FC236}">
              <a16:creationId xmlns:a16="http://schemas.microsoft.com/office/drawing/2014/main" id="{0C3C8342-6E7F-8941-EB1D-C8AAD4CA199C}"/>
            </a:ext>
          </a:extLst>
        </cdr:cNvPr>
        <cdr:cNvCxnSpPr/>
      </cdr:nvCxnSpPr>
      <cdr:spPr>
        <a:xfrm xmlns:a="http://schemas.openxmlformats.org/drawingml/2006/main">
          <a:off x="7416800" y="4114800"/>
          <a:ext cx="7281" cy="1061170"/>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0.21949</cdr:x>
      <cdr:y>0.21119</cdr:y>
    </cdr:from>
    <cdr:to>
      <cdr:x>0.21975</cdr:x>
      <cdr:y>0.25574</cdr:y>
    </cdr:to>
    <cdr:cxnSp macro="">
      <cdr:nvCxnSpPr>
        <cdr:cNvPr id="36" name="Connecteur droit avec flèche 35">
          <a:extLst xmlns:a="http://schemas.openxmlformats.org/drawingml/2006/main">
            <a:ext uri="{FF2B5EF4-FFF2-40B4-BE49-F238E27FC236}">
              <a16:creationId xmlns:a16="http://schemas.microsoft.com/office/drawing/2014/main" id="{A16ED8E5-16FB-F42F-E07E-E29C1A38A789}"/>
            </a:ext>
          </a:extLst>
        </cdr:cNvPr>
        <cdr:cNvCxnSpPr/>
      </cdr:nvCxnSpPr>
      <cdr:spPr>
        <a:xfrm xmlns:a="http://schemas.openxmlformats.org/drawingml/2006/main">
          <a:off x="3077828" y="1706942"/>
          <a:ext cx="3593" cy="360113"/>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0.59927</cdr:x>
      <cdr:y>0.5139</cdr:y>
    </cdr:from>
    <cdr:to>
      <cdr:x>0.6584</cdr:x>
      <cdr:y>0.59472</cdr:y>
    </cdr:to>
    <cdr:sp macro="" textlink="">
      <cdr:nvSpPr>
        <cdr:cNvPr id="37" name="ZoneTexte 1">
          <a:extLst xmlns:a="http://schemas.openxmlformats.org/drawingml/2006/main">
            <a:ext uri="{FF2B5EF4-FFF2-40B4-BE49-F238E27FC236}">
              <a16:creationId xmlns:a16="http://schemas.microsoft.com/office/drawing/2014/main" id="{9EDC49C0-905E-8015-D176-FE5D1903A4A8}"/>
            </a:ext>
          </a:extLst>
        </cdr:cNvPr>
        <cdr:cNvSpPr txBox="1"/>
      </cdr:nvSpPr>
      <cdr:spPr bwMode="auto">
        <a:xfrm xmlns:a="http://schemas.openxmlformats.org/drawingml/2006/main">
          <a:off x="8444681" y="4242716"/>
          <a:ext cx="833234" cy="667237"/>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Consommation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d'énergie</a:t>
          </a:r>
          <a:endParaRPr lang="fr-FR" sz="1800" b="1"/>
        </a:p>
      </cdr:txBody>
    </cdr:sp>
  </cdr:relSizeAnchor>
  <cdr:relSizeAnchor xmlns:cdr="http://schemas.openxmlformats.org/drawingml/2006/chartDrawing">
    <cdr:from>
      <cdr:x>0.70624</cdr:x>
      <cdr:y>0.57495</cdr:y>
    </cdr:from>
    <cdr:to>
      <cdr:x>0.76538</cdr:x>
      <cdr:y>0.65577</cdr:y>
    </cdr:to>
    <cdr:sp macro="" textlink="">
      <cdr:nvSpPr>
        <cdr:cNvPr id="38" name="ZoneTexte 1">
          <a:extLst xmlns:a="http://schemas.openxmlformats.org/drawingml/2006/main">
            <a:ext uri="{FF2B5EF4-FFF2-40B4-BE49-F238E27FC236}">
              <a16:creationId xmlns:a16="http://schemas.microsoft.com/office/drawing/2014/main" id="{F0325A4F-FD76-A203-25AC-67F152A48231}"/>
            </a:ext>
          </a:extLst>
        </cdr:cNvPr>
        <cdr:cNvSpPr txBox="1"/>
      </cdr:nvSpPr>
      <cdr:spPr bwMode="auto">
        <a:xfrm xmlns:a="http://schemas.openxmlformats.org/drawingml/2006/main">
          <a:off x="9894878" y="4725981"/>
          <a:ext cx="828588" cy="66432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Alimentation &amp;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boissons</a:t>
          </a:r>
          <a:endParaRPr lang="fr-FR" sz="1800" b="1"/>
        </a:p>
      </cdr:txBody>
    </cdr:sp>
  </cdr:relSizeAnchor>
  <cdr:relSizeAnchor xmlns:cdr="http://schemas.openxmlformats.org/drawingml/2006/chartDrawing">
    <cdr:from>
      <cdr:x>0.15174</cdr:x>
      <cdr:y>0.13857</cdr:y>
    </cdr:from>
    <cdr:to>
      <cdr:x>0.28059</cdr:x>
      <cdr:y>0.22467</cdr:y>
    </cdr:to>
    <cdr:sp macro="" textlink="">
      <cdr:nvSpPr>
        <cdr:cNvPr id="39" name="ZoneTexte 1">
          <a:extLst xmlns:a="http://schemas.openxmlformats.org/drawingml/2006/main">
            <a:ext uri="{FF2B5EF4-FFF2-40B4-BE49-F238E27FC236}">
              <a16:creationId xmlns:a16="http://schemas.microsoft.com/office/drawing/2014/main" id="{BBDD83AD-8ACF-E741-ACD4-54AC6A7E33C9}"/>
            </a:ext>
          </a:extLst>
        </cdr:cNvPr>
        <cdr:cNvSpPr txBox="1"/>
      </cdr:nvSpPr>
      <cdr:spPr bwMode="auto">
        <a:xfrm xmlns:a="http://schemas.openxmlformats.org/drawingml/2006/main">
          <a:off x="2130561" y="1172131"/>
          <a:ext cx="1809180" cy="728401"/>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Déplacements pour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les entrainements</a:t>
          </a:r>
          <a:endParaRPr lang="fr-FR" sz="1800" b="1"/>
        </a:p>
      </cdr:txBody>
    </cdr:sp>
  </cdr:relSizeAnchor>
  <cdr:relSizeAnchor xmlns:cdr="http://schemas.openxmlformats.org/drawingml/2006/chartDrawing">
    <cdr:from>
      <cdr:x>0.29351</cdr:x>
      <cdr:y>0.2075</cdr:y>
    </cdr:from>
    <cdr:to>
      <cdr:x>0.35264</cdr:x>
      <cdr:y>0.28831</cdr:y>
    </cdr:to>
    <cdr:sp macro="" textlink="">
      <cdr:nvSpPr>
        <cdr:cNvPr id="41" name="ZoneTexte 1">
          <a:extLst xmlns:a="http://schemas.openxmlformats.org/drawingml/2006/main">
            <a:ext uri="{FF2B5EF4-FFF2-40B4-BE49-F238E27FC236}">
              <a16:creationId xmlns:a16="http://schemas.microsoft.com/office/drawing/2014/main" id="{D921A652-E151-6364-A99E-EEE611410B81}"/>
            </a:ext>
          </a:extLst>
        </cdr:cNvPr>
        <cdr:cNvSpPr txBox="1"/>
      </cdr:nvSpPr>
      <cdr:spPr bwMode="auto">
        <a:xfrm xmlns:a="http://schemas.openxmlformats.org/drawingml/2006/main">
          <a:off x="4121055" y="1755247"/>
          <a:ext cx="830230" cy="68357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Déplacements pour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les matchs</a:t>
          </a:r>
          <a:endParaRPr lang="fr-FR" sz="1800" b="1"/>
        </a:p>
      </cdr:txBody>
    </cdr:sp>
  </cdr:relSizeAnchor>
  <cdr:relSizeAnchor xmlns:cdr="http://schemas.openxmlformats.org/drawingml/2006/chartDrawing">
    <cdr:from>
      <cdr:x>0.8011</cdr:x>
      <cdr:y>0.59332</cdr:y>
    </cdr:from>
    <cdr:to>
      <cdr:x>0.86023</cdr:x>
      <cdr:y>0.67414</cdr:y>
    </cdr:to>
    <cdr:sp macro="" textlink="">
      <cdr:nvSpPr>
        <cdr:cNvPr id="42" name="ZoneTexte 1">
          <a:extLst xmlns:a="http://schemas.openxmlformats.org/drawingml/2006/main">
            <a:ext uri="{FF2B5EF4-FFF2-40B4-BE49-F238E27FC236}">
              <a16:creationId xmlns:a16="http://schemas.microsoft.com/office/drawing/2014/main" id="{211D8751-AB56-994D-0728-7FB21ABE9440}"/>
            </a:ext>
          </a:extLst>
        </cdr:cNvPr>
        <cdr:cNvSpPr txBox="1"/>
      </cdr:nvSpPr>
      <cdr:spPr bwMode="auto">
        <a:xfrm xmlns:a="http://schemas.openxmlformats.org/drawingml/2006/main">
          <a:off x="11223918" y="4876992"/>
          <a:ext cx="828449" cy="66432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Déchets</a:t>
          </a:r>
          <a:endParaRPr lang="fr-FR" sz="1800" b="1"/>
        </a:p>
      </cdr:txBody>
    </cdr:sp>
  </cdr:relSizeAnchor>
  <cdr:relSizeAnchor xmlns:cdr="http://schemas.openxmlformats.org/drawingml/2006/chartDrawing">
    <cdr:from>
      <cdr:x>0.39378</cdr:x>
      <cdr:y>0.31896</cdr:y>
    </cdr:from>
    <cdr:to>
      <cdr:x>0.45291</cdr:x>
      <cdr:y>0.39978</cdr:y>
    </cdr:to>
    <cdr:sp macro="" textlink="">
      <cdr:nvSpPr>
        <cdr:cNvPr id="44" name="ZoneTexte 1">
          <a:extLst xmlns:a="http://schemas.openxmlformats.org/drawingml/2006/main">
            <a:ext uri="{FF2B5EF4-FFF2-40B4-BE49-F238E27FC236}">
              <a16:creationId xmlns:a16="http://schemas.microsoft.com/office/drawing/2014/main" id="{D919BAAC-C76C-F5C9-F4FD-952654D77033}"/>
            </a:ext>
          </a:extLst>
        </cdr:cNvPr>
        <cdr:cNvSpPr txBox="1"/>
      </cdr:nvSpPr>
      <cdr:spPr bwMode="auto">
        <a:xfrm xmlns:a="http://schemas.openxmlformats.org/drawingml/2006/main">
          <a:off x="5528953" y="2576553"/>
          <a:ext cx="830230" cy="652867"/>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Matériel sportif</a:t>
          </a:r>
          <a:endParaRPr lang="fr-FR" sz="1800" b="1"/>
        </a:p>
      </cdr:txBody>
    </cdr:sp>
  </cdr:relSizeAnchor>
  <cdr:relSizeAnchor xmlns:cdr="http://schemas.openxmlformats.org/drawingml/2006/chartDrawing">
    <cdr:from>
      <cdr:x>0.62907</cdr:x>
      <cdr:y>0.59071</cdr:y>
    </cdr:from>
    <cdr:to>
      <cdr:x>0.62907</cdr:x>
      <cdr:y>0.66762</cdr:y>
    </cdr:to>
    <cdr:cxnSp macro="">
      <cdr:nvCxnSpPr>
        <cdr:cNvPr id="49" name="Connecteur droit avec flèche 48">
          <a:extLst xmlns:a="http://schemas.openxmlformats.org/drawingml/2006/main">
            <a:ext uri="{FF2B5EF4-FFF2-40B4-BE49-F238E27FC236}">
              <a16:creationId xmlns:a16="http://schemas.microsoft.com/office/drawing/2014/main" id="{BDAD0456-83E5-DC5F-C2BF-98CA760B9608}"/>
            </a:ext>
          </a:extLst>
        </cdr:cNvPr>
        <cdr:cNvCxnSpPr/>
      </cdr:nvCxnSpPr>
      <cdr:spPr>
        <a:xfrm xmlns:a="http://schemas.openxmlformats.org/drawingml/2006/main">
          <a:off x="8864600" y="4876800"/>
          <a:ext cx="0" cy="635000"/>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0.42252</cdr:x>
      <cdr:y>0.40829</cdr:y>
    </cdr:from>
    <cdr:to>
      <cdr:x>0.42301</cdr:x>
      <cdr:y>0.49962</cdr:y>
    </cdr:to>
    <cdr:cxnSp macro="">
      <cdr:nvCxnSpPr>
        <cdr:cNvPr id="53" name="Connecteur droit avec flèche 52">
          <a:extLst xmlns:a="http://schemas.openxmlformats.org/drawingml/2006/main">
            <a:ext uri="{FF2B5EF4-FFF2-40B4-BE49-F238E27FC236}">
              <a16:creationId xmlns:a16="http://schemas.microsoft.com/office/drawing/2014/main" id="{F794731E-6E6A-2487-3FFC-C0A77368CC6C}"/>
            </a:ext>
          </a:extLst>
        </cdr:cNvPr>
        <cdr:cNvCxnSpPr/>
      </cdr:nvCxnSpPr>
      <cdr:spPr>
        <a:xfrm xmlns:a="http://schemas.openxmlformats.org/drawingml/2006/main">
          <a:off x="5932511" y="3298151"/>
          <a:ext cx="6880" cy="737767"/>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0.83128</cdr:x>
      <cdr:y>0.65018</cdr:y>
    </cdr:from>
    <cdr:to>
      <cdr:x>0.8313</cdr:x>
      <cdr:y>0.74391</cdr:y>
    </cdr:to>
    <cdr:cxnSp macro="">
      <cdr:nvCxnSpPr>
        <cdr:cNvPr id="55" name="Connecteur droit avec flèche 54">
          <a:extLst xmlns:a="http://schemas.openxmlformats.org/drawingml/2006/main">
            <a:ext uri="{FF2B5EF4-FFF2-40B4-BE49-F238E27FC236}">
              <a16:creationId xmlns:a16="http://schemas.microsoft.com/office/drawing/2014/main" id="{14D4D5C2-2E86-069F-5B1F-3F1DF7244771}"/>
            </a:ext>
          </a:extLst>
        </cdr:cNvPr>
        <cdr:cNvCxnSpPr/>
      </cdr:nvCxnSpPr>
      <cdr:spPr>
        <a:xfrm xmlns:a="http://schemas.openxmlformats.org/drawingml/2006/main" flipH="1">
          <a:off x="11646786" y="5344346"/>
          <a:ext cx="281" cy="770442"/>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0.49728</cdr:x>
      <cdr:y>0.87356</cdr:y>
    </cdr:from>
    <cdr:to>
      <cdr:x>0.56472</cdr:x>
      <cdr:y>0.98398</cdr:y>
    </cdr:to>
    <cdr:sp macro="" textlink="Résultat!$F$106">
      <cdr:nvSpPr>
        <cdr:cNvPr id="58" name="ZoneTexte 57">
          <a:extLst xmlns:a="http://schemas.openxmlformats.org/drawingml/2006/main">
            <a:ext uri="{FF2B5EF4-FFF2-40B4-BE49-F238E27FC236}">
              <a16:creationId xmlns:a16="http://schemas.microsoft.com/office/drawing/2014/main" id="{3807C7A6-D42D-6022-8D9B-73BA1D35A82C}"/>
            </a:ext>
          </a:extLst>
        </cdr:cNvPr>
        <cdr:cNvSpPr txBox="1"/>
      </cdr:nvSpPr>
      <cdr:spPr bwMode="auto">
        <a:xfrm xmlns:a="http://schemas.openxmlformats.org/drawingml/2006/main">
          <a:off x="7007450" y="7478271"/>
          <a:ext cx="950335" cy="94526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nchor="ctr"/>
        <a:lstStyle xmlns:a="http://schemas.openxmlformats.org/drawingml/2006/main"/>
        <a:p xmlns:a="http://schemas.openxmlformats.org/drawingml/2006/main">
          <a:pPr algn="ctr"/>
          <a:fld id="{8B7EF9CF-B607-874C-B85E-7147EDFDCB38}" type="TxLink">
            <a:rPr lang="en-US" sz="2400" b="1" i="0" u="none" strike="noStrike">
              <a:solidFill>
                <a:srgbClr val="000000"/>
              </a:solidFill>
              <a:latin typeface="Arial (Corps)"/>
              <a:cs typeface="Arial"/>
            </a:rPr>
            <a:pPr algn="ctr"/>
            <a:t>-72%</a:t>
          </a:fld>
          <a:endParaRPr lang="fr-FR" sz="16600" b="1">
            <a:solidFill>
              <a:schemeClr val="tx2"/>
            </a:solidFill>
          </a:endParaRPr>
        </a:p>
      </cdr:txBody>
    </cdr:sp>
  </cdr:relSizeAnchor>
  <cdr:relSizeAnchor xmlns:cdr="http://schemas.openxmlformats.org/drawingml/2006/chartDrawing">
    <cdr:from>
      <cdr:x>0.50095</cdr:x>
      <cdr:y>0.3522</cdr:y>
    </cdr:from>
    <cdr:to>
      <cdr:x>0.54728</cdr:x>
      <cdr:y>0.43021</cdr:y>
    </cdr:to>
    <cdr:pic>
      <cdr:nvPicPr>
        <cdr:cNvPr id="8" name="Graphique 10" descr="Accueil">
          <a:extLst xmlns:a="http://schemas.openxmlformats.org/drawingml/2006/main">
            <a:ext uri="{FF2B5EF4-FFF2-40B4-BE49-F238E27FC236}">
              <a16:creationId xmlns:a16="http://schemas.microsoft.com/office/drawing/2014/main" id="{78EF65EE-8397-6DCD-AF96-CB3A67C0C7F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5">
          <a:extLst>
            <a:ext uri="{96DAC541-7B7A-43D3-8B79-37D633B846F1}">
              <asvg:svgBlip xmlns:asvg="http://schemas.microsoft.com/office/drawing/2016/SVG/main" r:embed="rId16"/>
            </a:ext>
          </a:extLst>
        </a:blip>
        <a:stretch xmlns:a="http://schemas.openxmlformats.org/drawingml/2006/main">
          <a:fillRect/>
        </a:stretch>
      </cdr:blipFill>
      <cdr:spPr>
        <a:xfrm xmlns:a="http://schemas.openxmlformats.org/drawingml/2006/main">
          <a:off x="7059159" y="2907710"/>
          <a:ext cx="652861" cy="644038"/>
        </a:xfrm>
        <a:prstGeom xmlns:a="http://schemas.openxmlformats.org/drawingml/2006/main" prst="rect">
          <a:avLst/>
        </a:prstGeom>
      </cdr:spPr>
    </cdr:pic>
  </cdr:relSizeAnchor>
  <cdr:relSizeAnchor xmlns:cdr="http://schemas.openxmlformats.org/drawingml/2006/chartDrawing">
    <cdr:from>
      <cdr:x>0.50375</cdr:x>
      <cdr:y>0.41751</cdr:y>
    </cdr:from>
    <cdr:to>
      <cdr:x>0.56289</cdr:x>
      <cdr:y>0.49833</cdr:y>
    </cdr:to>
    <cdr:sp macro="" textlink="">
      <cdr:nvSpPr>
        <cdr:cNvPr id="15" name="ZoneTexte 1">
          <a:extLst xmlns:a="http://schemas.openxmlformats.org/drawingml/2006/main">
            <a:ext uri="{FF2B5EF4-FFF2-40B4-BE49-F238E27FC236}">
              <a16:creationId xmlns:a16="http://schemas.microsoft.com/office/drawing/2014/main" id="{65C4B176-7ECE-2C46-96DE-FBCFD5176EA8}"/>
            </a:ext>
          </a:extLst>
        </cdr:cNvPr>
        <cdr:cNvSpPr txBox="1"/>
      </cdr:nvSpPr>
      <cdr:spPr bwMode="auto">
        <a:xfrm xmlns:a="http://schemas.openxmlformats.org/drawingml/2006/main">
          <a:off x="7098688" y="3446924"/>
          <a:ext cx="833374" cy="667237"/>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Infrastructures</a:t>
          </a:r>
          <a:r>
            <a:rPr lang="fr-FR" sz="1400" b="1" baseline="0"/>
            <a:t> (club,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t>surface de jeu, etc.)</a:t>
          </a:r>
          <a:endParaRPr lang="fr-FR" sz="1800" b="1"/>
        </a:p>
      </cdr:txBody>
    </cdr:sp>
  </cdr:relSizeAnchor>
  <cdr:relSizeAnchor xmlns:cdr="http://schemas.openxmlformats.org/drawingml/2006/chartDrawing">
    <cdr:from>
      <cdr:x>0.7348</cdr:x>
      <cdr:y>0.65057</cdr:y>
    </cdr:from>
    <cdr:to>
      <cdr:x>0.73507</cdr:x>
      <cdr:y>0.70708</cdr:y>
    </cdr:to>
    <cdr:cxnSp macro="">
      <cdr:nvCxnSpPr>
        <cdr:cNvPr id="12" name="Connecteur droit avec flèche 11">
          <a:extLst xmlns:a="http://schemas.openxmlformats.org/drawingml/2006/main">
            <a:ext uri="{FF2B5EF4-FFF2-40B4-BE49-F238E27FC236}">
              <a16:creationId xmlns:a16="http://schemas.microsoft.com/office/drawing/2014/main" id="{A23B2A71-2681-66A2-90D0-4296E09F3046}"/>
            </a:ext>
          </a:extLst>
        </cdr:cNvPr>
        <cdr:cNvCxnSpPr/>
      </cdr:nvCxnSpPr>
      <cdr:spPr>
        <a:xfrm xmlns:a="http://schemas.openxmlformats.org/drawingml/2006/main" flipH="1">
          <a:off x="10294976" y="5347586"/>
          <a:ext cx="3838" cy="464470"/>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0.32261</cdr:x>
      <cdr:y>0.27925</cdr:y>
    </cdr:from>
    <cdr:to>
      <cdr:x>0.32303</cdr:x>
      <cdr:y>0.39174</cdr:y>
    </cdr:to>
    <cdr:cxnSp macro="">
      <cdr:nvCxnSpPr>
        <cdr:cNvPr id="25" name="Connecteur droit avec flèche 24">
          <a:extLst xmlns:a="http://schemas.openxmlformats.org/drawingml/2006/main">
            <a:ext uri="{FF2B5EF4-FFF2-40B4-BE49-F238E27FC236}">
              <a16:creationId xmlns:a16="http://schemas.microsoft.com/office/drawing/2014/main" id="{723EFCE5-6114-1D1A-A0BC-D8533A14C2A7}"/>
            </a:ext>
          </a:extLst>
        </cdr:cNvPr>
        <cdr:cNvCxnSpPr/>
      </cdr:nvCxnSpPr>
      <cdr:spPr>
        <a:xfrm xmlns:a="http://schemas.openxmlformats.org/drawingml/2006/main">
          <a:off x="4523843" y="2257036"/>
          <a:ext cx="5823" cy="909200"/>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0.10141</cdr:x>
      <cdr:y>0.01937</cdr:y>
    </cdr:from>
    <cdr:to>
      <cdr:x>0.14815</cdr:x>
      <cdr:y>0.09621</cdr:y>
    </cdr:to>
    <cdr:sp macro="" textlink="">
      <cdr:nvSpPr>
        <cdr:cNvPr id="2" name="ZoneTexte 1">
          <a:extLst xmlns:a="http://schemas.openxmlformats.org/drawingml/2006/main">
            <a:ext uri="{FF2B5EF4-FFF2-40B4-BE49-F238E27FC236}">
              <a16:creationId xmlns:a16="http://schemas.microsoft.com/office/drawing/2014/main" id="{33DBA501-38A0-EB20-9F45-AA0575EBA16D}"/>
            </a:ext>
          </a:extLst>
        </cdr:cNvPr>
        <cdr:cNvSpPr txBox="1"/>
      </cdr:nvSpPr>
      <cdr:spPr>
        <a:xfrm xmlns:a="http://schemas.openxmlformats.org/drawingml/2006/main">
          <a:off x="1170514" y="93991"/>
          <a:ext cx="539469" cy="37285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250" b="1" kern="1200">
              <a:solidFill>
                <a:schemeClr val="tx2"/>
              </a:solidFill>
              <a:latin typeface="Poppins" pitchFamily="2" charset="77"/>
              <a:cs typeface="Poppins" pitchFamily="2" charset="77"/>
            </a:rPr>
            <a:t>42%</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100781</xdr:colOff>
      <xdr:row>139</xdr:row>
      <xdr:rowOff>46703</xdr:rowOff>
    </xdr:from>
    <xdr:to>
      <xdr:col>4</xdr:col>
      <xdr:colOff>589117</xdr:colOff>
      <xdr:row>260</xdr:row>
      <xdr:rowOff>126395</xdr:rowOff>
    </xdr:to>
    <xdr:pic>
      <xdr:nvPicPr>
        <xdr:cNvPr id="2" name="Image 1">
          <a:extLst>
            <a:ext uri="{FF2B5EF4-FFF2-40B4-BE49-F238E27FC236}">
              <a16:creationId xmlns:a16="http://schemas.microsoft.com/office/drawing/2014/main" id="{399DEBEF-7417-FA5C-06BD-DAB0FC1AF380}"/>
            </a:ext>
          </a:extLst>
        </xdr:cNvPr>
        <xdr:cNvPicPr>
          <a:picLocks noChangeAspect="1"/>
        </xdr:cNvPicPr>
      </xdr:nvPicPr>
      <xdr:blipFill>
        <a:blip xmlns:r="http://schemas.openxmlformats.org/officeDocument/2006/relationships" r:embed="rId1"/>
        <a:stretch>
          <a:fillRect/>
        </a:stretch>
      </xdr:blipFill>
      <xdr:spPr>
        <a:xfrm>
          <a:off x="786581" y="27783503"/>
          <a:ext cx="7930536" cy="4890445"/>
        </a:xfrm>
        <a:prstGeom prst="rect">
          <a:avLst/>
        </a:prstGeom>
      </xdr:spPr>
    </xdr:pic>
    <xdr:clientData/>
  </xdr:twoCellAnchor>
  <xdr:twoCellAnchor>
    <xdr:from>
      <xdr:col>1</xdr:col>
      <xdr:colOff>68971</xdr:colOff>
      <xdr:row>202</xdr:row>
      <xdr:rowOff>8180</xdr:rowOff>
    </xdr:from>
    <xdr:to>
      <xdr:col>3</xdr:col>
      <xdr:colOff>1362989</xdr:colOff>
      <xdr:row>223</xdr:row>
      <xdr:rowOff>121218</xdr:rowOff>
    </xdr:to>
    <xdr:graphicFrame macro="">
      <xdr:nvGraphicFramePr>
        <xdr:cNvPr id="6" name="Graphique 5">
          <a:extLst>
            <a:ext uri="{FF2B5EF4-FFF2-40B4-BE49-F238E27FC236}">
              <a16:creationId xmlns:a16="http://schemas.microsoft.com/office/drawing/2014/main" id="{D94C2A3F-D390-ED49-BB7C-982A76AFC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179</xdr:row>
      <xdr:rowOff>0</xdr:rowOff>
    </xdr:from>
    <xdr:to>
      <xdr:col>3</xdr:col>
      <xdr:colOff>531278</xdr:colOff>
      <xdr:row>200</xdr:row>
      <xdr:rowOff>60402</xdr:rowOff>
    </xdr:to>
    <xdr:graphicFrame macro="">
      <xdr:nvGraphicFramePr>
        <xdr:cNvPr id="14" name="Graphique 13">
          <a:extLst>
            <a:ext uri="{FF2B5EF4-FFF2-40B4-BE49-F238E27FC236}">
              <a16:creationId xmlns:a16="http://schemas.microsoft.com/office/drawing/2014/main" id="{FB74C0F8-BDE9-1047-B86B-855186194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1882978</xdr:colOff>
      <xdr:row>178</xdr:row>
      <xdr:rowOff>161471</xdr:rowOff>
    </xdr:from>
    <xdr:to>
      <xdr:col>6</xdr:col>
      <xdr:colOff>1879600</xdr:colOff>
      <xdr:row>195</xdr:row>
      <xdr:rowOff>50800</xdr:rowOff>
    </xdr:to>
    <xdr:graphicFrame macro="">
      <xdr:nvGraphicFramePr>
        <xdr:cNvPr id="16" name="Graphique 15">
          <a:extLst>
            <a:ext uri="{FF2B5EF4-FFF2-40B4-BE49-F238E27FC236}">
              <a16:creationId xmlns:a16="http://schemas.microsoft.com/office/drawing/2014/main" id="{0FC236D5-DBD0-E645-9A5A-384167405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24</xdr:col>
      <xdr:colOff>820628</xdr:colOff>
      <xdr:row>8</xdr:row>
      <xdr:rowOff>0</xdr:rowOff>
    </xdr:from>
    <xdr:to>
      <xdr:col>31</xdr:col>
      <xdr:colOff>537283</xdr:colOff>
      <xdr:row>16</xdr:row>
      <xdr:rowOff>194713</xdr:rowOff>
    </xdr:to>
    <xdr:graphicFrame macro="">
      <xdr:nvGraphicFramePr>
        <xdr:cNvPr id="3" name="Graphique 2">
          <a:extLst>
            <a:ext uri="{FF2B5EF4-FFF2-40B4-BE49-F238E27FC236}">
              <a16:creationId xmlns:a16="http://schemas.microsoft.com/office/drawing/2014/main" id="{7AC0CB68-1FE2-E447-AB30-7AF09406D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60960</xdr:rowOff>
    </xdr:from>
    <xdr:to>
      <xdr:col>1</xdr:col>
      <xdr:colOff>0</xdr:colOff>
      <xdr:row>1</xdr:row>
      <xdr:rowOff>106680</xdr:rowOff>
    </xdr:to>
    <xdr:sp macro="" textlink="">
      <xdr:nvSpPr>
        <xdr:cNvPr id="4" name="Flèche gauche 1">
          <a:hlinkClick xmlns:r="http://schemas.openxmlformats.org/officeDocument/2006/relationships" r:id="rId2"/>
          <a:extLst>
            <a:ext uri="{FF2B5EF4-FFF2-40B4-BE49-F238E27FC236}">
              <a16:creationId xmlns:a16="http://schemas.microsoft.com/office/drawing/2014/main" id="{C35805CE-1DD5-3F47-B699-76EAF0C7FE0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 name="Flèche gauche 1">
          <a:hlinkClick xmlns:r="http://schemas.openxmlformats.org/officeDocument/2006/relationships" r:id="rId2"/>
          <a:extLst>
            <a:ext uri="{FF2B5EF4-FFF2-40B4-BE49-F238E27FC236}">
              <a16:creationId xmlns:a16="http://schemas.microsoft.com/office/drawing/2014/main" id="{8CB6DD69-FA5D-5045-AF0F-0ADF1026D63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 name="Flèche gauche 1">
          <a:hlinkClick xmlns:r="http://schemas.openxmlformats.org/officeDocument/2006/relationships" r:id="rId2"/>
          <a:extLst>
            <a:ext uri="{FF2B5EF4-FFF2-40B4-BE49-F238E27FC236}">
              <a16:creationId xmlns:a16="http://schemas.microsoft.com/office/drawing/2014/main" id="{F2C8C644-39D4-8E46-B5A5-D4EA7DFDCC3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 name="Flèche gauche 1">
          <a:hlinkClick xmlns:r="http://schemas.openxmlformats.org/officeDocument/2006/relationships" r:id="rId3"/>
          <a:extLst>
            <a:ext uri="{FF2B5EF4-FFF2-40B4-BE49-F238E27FC236}">
              <a16:creationId xmlns:a16="http://schemas.microsoft.com/office/drawing/2014/main" id="{B1E0BA01-9F26-C544-9E4B-D12DBFFC770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 name="Flèche gauche 1">
          <a:hlinkClick xmlns:r="http://schemas.openxmlformats.org/officeDocument/2006/relationships" r:id="rId2"/>
          <a:extLst>
            <a:ext uri="{FF2B5EF4-FFF2-40B4-BE49-F238E27FC236}">
              <a16:creationId xmlns:a16="http://schemas.microsoft.com/office/drawing/2014/main" id="{96C44108-FC0E-244A-AA0B-084E899419A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 name="Flèche gauche 1">
          <a:hlinkClick xmlns:r="http://schemas.openxmlformats.org/officeDocument/2006/relationships" r:id="rId2"/>
          <a:extLst>
            <a:ext uri="{FF2B5EF4-FFF2-40B4-BE49-F238E27FC236}">
              <a16:creationId xmlns:a16="http://schemas.microsoft.com/office/drawing/2014/main" id="{7B079BEB-D2F2-374D-9983-39793896D60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 name="Flèche gauche 1">
          <a:hlinkClick xmlns:r="http://schemas.openxmlformats.org/officeDocument/2006/relationships" r:id="rId2"/>
          <a:extLst>
            <a:ext uri="{FF2B5EF4-FFF2-40B4-BE49-F238E27FC236}">
              <a16:creationId xmlns:a16="http://schemas.microsoft.com/office/drawing/2014/main" id="{5A4C10DE-07BE-664C-BCC2-6800B600274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 name="Flèche gauche 1">
          <a:hlinkClick xmlns:r="http://schemas.openxmlformats.org/officeDocument/2006/relationships" r:id="rId3"/>
          <a:extLst>
            <a:ext uri="{FF2B5EF4-FFF2-40B4-BE49-F238E27FC236}">
              <a16:creationId xmlns:a16="http://schemas.microsoft.com/office/drawing/2014/main" id="{A4D99B63-5AC9-134D-85E0-FCAC3ECDD63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 name="Flèche gauche 1">
          <a:hlinkClick xmlns:r="http://schemas.openxmlformats.org/officeDocument/2006/relationships" r:id="rId2"/>
          <a:extLst>
            <a:ext uri="{FF2B5EF4-FFF2-40B4-BE49-F238E27FC236}">
              <a16:creationId xmlns:a16="http://schemas.microsoft.com/office/drawing/2014/main" id="{A1DA61AF-FDCC-AF46-95F1-328E9728C72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3" name="Flèche gauche 1">
          <a:hlinkClick xmlns:r="http://schemas.openxmlformats.org/officeDocument/2006/relationships" r:id="rId2"/>
          <a:extLst>
            <a:ext uri="{FF2B5EF4-FFF2-40B4-BE49-F238E27FC236}">
              <a16:creationId xmlns:a16="http://schemas.microsoft.com/office/drawing/2014/main" id="{FF31E10A-B389-174B-AED5-BD737DB8EDD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4" name="Flèche gauche 1">
          <a:hlinkClick xmlns:r="http://schemas.openxmlformats.org/officeDocument/2006/relationships" r:id="rId2"/>
          <a:extLst>
            <a:ext uri="{FF2B5EF4-FFF2-40B4-BE49-F238E27FC236}">
              <a16:creationId xmlns:a16="http://schemas.microsoft.com/office/drawing/2014/main" id="{310A98A3-0782-B24D-89AB-ABC51D971DC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5" name="Flèche gauche 1">
          <a:hlinkClick xmlns:r="http://schemas.openxmlformats.org/officeDocument/2006/relationships" r:id="rId3"/>
          <a:extLst>
            <a:ext uri="{FF2B5EF4-FFF2-40B4-BE49-F238E27FC236}">
              <a16:creationId xmlns:a16="http://schemas.microsoft.com/office/drawing/2014/main" id="{4BA65596-C324-D342-98D3-18E3CE9BDAC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6" name="Flèche gauche 1">
          <a:hlinkClick xmlns:r="http://schemas.openxmlformats.org/officeDocument/2006/relationships" r:id="rId2"/>
          <a:extLst>
            <a:ext uri="{FF2B5EF4-FFF2-40B4-BE49-F238E27FC236}">
              <a16:creationId xmlns:a16="http://schemas.microsoft.com/office/drawing/2014/main" id="{B907FEEF-E3BD-894B-B3F3-EECF6F434A4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7" name="Flèche gauche 1">
          <a:hlinkClick xmlns:r="http://schemas.openxmlformats.org/officeDocument/2006/relationships" r:id="rId2"/>
          <a:extLst>
            <a:ext uri="{FF2B5EF4-FFF2-40B4-BE49-F238E27FC236}">
              <a16:creationId xmlns:a16="http://schemas.microsoft.com/office/drawing/2014/main" id="{8A73E4DB-3842-7740-85F2-97CBD6DE266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8" name="Flèche gauche 1">
          <a:hlinkClick xmlns:r="http://schemas.openxmlformats.org/officeDocument/2006/relationships" r:id="rId2"/>
          <a:extLst>
            <a:ext uri="{FF2B5EF4-FFF2-40B4-BE49-F238E27FC236}">
              <a16:creationId xmlns:a16="http://schemas.microsoft.com/office/drawing/2014/main" id="{AFF3EDA3-58C1-C440-8540-737BD88A9C9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9" name="Flèche gauche 1">
          <a:hlinkClick xmlns:r="http://schemas.openxmlformats.org/officeDocument/2006/relationships" r:id="rId3"/>
          <a:extLst>
            <a:ext uri="{FF2B5EF4-FFF2-40B4-BE49-F238E27FC236}">
              <a16:creationId xmlns:a16="http://schemas.microsoft.com/office/drawing/2014/main" id="{137397B9-BB72-F840-A671-E6C93CACB74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0" name="Flèche gauche 1">
          <a:hlinkClick xmlns:r="http://schemas.openxmlformats.org/officeDocument/2006/relationships" r:id="rId2"/>
          <a:extLst>
            <a:ext uri="{FF2B5EF4-FFF2-40B4-BE49-F238E27FC236}">
              <a16:creationId xmlns:a16="http://schemas.microsoft.com/office/drawing/2014/main" id="{57A284A9-316E-2547-BD8A-A454ABC0785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1" name="Flèche gauche 1">
          <a:hlinkClick xmlns:r="http://schemas.openxmlformats.org/officeDocument/2006/relationships" r:id="rId2"/>
          <a:extLst>
            <a:ext uri="{FF2B5EF4-FFF2-40B4-BE49-F238E27FC236}">
              <a16:creationId xmlns:a16="http://schemas.microsoft.com/office/drawing/2014/main" id="{854D0007-A947-F040-9F6B-A238CDCF712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2" name="Flèche gauche 1">
          <a:hlinkClick xmlns:r="http://schemas.openxmlformats.org/officeDocument/2006/relationships" r:id="rId2"/>
          <a:extLst>
            <a:ext uri="{FF2B5EF4-FFF2-40B4-BE49-F238E27FC236}">
              <a16:creationId xmlns:a16="http://schemas.microsoft.com/office/drawing/2014/main" id="{DE3FCB86-DF3A-B44C-A658-51108CA71C5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3" name="Flèche gauche 1">
          <a:hlinkClick xmlns:r="http://schemas.openxmlformats.org/officeDocument/2006/relationships" r:id="rId3"/>
          <a:extLst>
            <a:ext uri="{FF2B5EF4-FFF2-40B4-BE49-F238E27FC236}">
              <a16:creationId xmlns:a16="http://schemas.microsoft.com/office/drawing/2014/main" id="{17A6A76A-6447-6A41-9CDB-20DAC871CC4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4" name="Flèche gauche 1">
          <a:hlinkClick xmlns:r="http://schemas.openxmlformats.org/officeDocument/2006/relationships" r:id="rId2"/>
          <a:extLst>
            <a:ext uri="{FF2B5EF4-FFF2-40B4-BE49-F238E27FC236}">
              <a16:creationId xmlns:a16="http://schemas.microsoft.com/office/drawing/2014/main" id="{B3E849B4-72DA-EF49-A6F0-C59EE808FDA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5" name="Flèche gauche 1">
          <a:hlinkClick xmlns:r="http://schemas.openxmlformats.org/officeDocument/2006/relationships" r:id="rId2"/>
          <a:extLst>
            <a:ext uri="{FF2B5EF4-FFF2-40B4-BE49-F238E27FC236}">
              <a16:creationId xmlns:a16="http://schemas.microsoft.com/office/drawing/2014/main" id="{B40AF419-6910-9240-8F97-B33FF61489B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6" name="Flèche gauche 1">
          <a:hlinkClick xmlns:r="http://schemas.openxmlformats.org/officeDocument/2006/relationships" r:id="rId2"/>
          <a:extLst>
            <a:ext uri="{FF2B5EF4-FFF2-40B4-BE49-F238E27FC236}">
              <a16:creationId xmlns:a16="http://schemas.microsoft.com/office/drawing/2014/main" id="{4C56A71E-5266-504C-BBCB-FA22AE4E139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7" name="Flèche gauche 1">
          <a:hlinkClick xmlns:r="http://schemas.openxmlformats.org/officeDocument/2006/relationships" r:id="rId3"/>
          <a:extLst>
            <a:ext uri="{FF2B5EF4-FFF2-40B4-BE49-F238E27FC236}">
              <a16:creationId xmlns:a16="http://schemas.microsoft.com/office/drawing/2014/main" id="{6A51A3F8-34EF-6E49-AE78-E5AD851FD77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8" name="Flèche gauche 1">
          <a:hlinkClick xmlns:r="http://schemas.openxmlformats.org/officeDocument/2006/relationships" r:id="rId2"/>
          <a:extLst>
            <a:ext uri="{FF2B5EF4-FFF2-40B4-BE49-F238E27FC236}">
              <a16:creationId xmlns:a16="http://schemas.microsoft.com/office/drawing/2014/main" id="{CCF84218-62AA-D542-8A2E-D7A4F003B0C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9" name="Flèche gauche 1">
          <a:hlinkClick xmlns:r="http://schemas.openxmlformats.org/officeDocument/2006/relationships" r:id="rId2"/>
          <a:extLst>
            <a:ext uri="{FF2B5EF4-FFF2-40B4-BE49-F238E27FC236}">
              <a16:creationId xmlns:a16="http://schemas.microsoft.com/office/drawing/2014/main" id="{9905D09C-F410-234C-970A-73609743DC1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0" name="Flèche gauche 1">
          <a:hlinkClick xmlns:r="http://schemas.openxmlformats.org/officeDocument/2006/relationships" r:id="rId2"/>
          <a:extLst>
            <a:ext uri="{FF2B5EF4-FFF2-40B4-BE49-F238E27FC236}">
              <a16:creationId xmlns:a16="http://schemas.microsoft.com/office/drawing/2014/main" id="{11C8349A-D28A-9345-8C0F-7CA41C424B1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1" name="Flèche gauche 1">
          <a:hlinkClick xmlns:r="http://schemas.openxmlformats.org/officeDocument/2006/relationships" r:id="rId3"/>
          <a:extLst>
            <a:ext uri="{FF2B5EF4-FFF2-40B4-BE49-F238E27FC236}">
              <a16:creationId xmlns:a16="http://schemas.microsoft.com/office/drawing/2014/main" id="{7F5783EF-6522-F044-AD54-7749FC642CB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2" name="Flèche gauche 1">
          <a:hlinkClick xmlns:r="http://schemas.openxmlformats.org/officeDocument/2006/relationships" r:id="rId2"/>
          <a:extLst>
            <a:ext uri="{FF2B5EF4-FFF2-40B4-BE49-F238E27FC236}">
              <a16:creationId xmlns:a16="http://schemas.microsoft.com/office/drawing/2014/main" id="{5534CB80-8469-4640-9974-9A4B628DE3B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3" name="Flèche gauche 1">
          <a:hlinkClick xmlns:r="http://schemas.openxmlformats.org/officeDocument/2006/relationships" r:id="rId2"/>
          <a:extLst>
            <a:ext uri="{FF2B5EF4-FFF2-40B4-BE49-F238E27FC236}">
              <a16:creationId xmlns:a16="http://schemas.microsoft.com/office/drawing/2014/main" id="{09F0FFDD-8010-4847-9F57-6C5A2DF54A2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4" name="Flèche gauche 1">
          <a:hlinkClick xmlns:r="http://schemas.openxmlformats.org/officeDocument/2006/relationships" r:id="rId2"/>
          <a:extLst>
            <a:ext uri="{FF2B5EF4-FFF2-40B4-BE49-F238E27FC236}">
              <a16:creationId xmlns:a16="http://schemas.microsoft.com/office/drawing/2014/main" id="{1CC021AB-21BB-3F4C-AA6B-34120B12D56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5" name="Flèche gauche 1">
          <a:hlinkClick xmlns:r="http://schemas.openxmlformats.org/officeDocument/2006/relationships" r:id="rId3"/>
          <a:extLst>
            <a:ext uri="{FF2B5EF4-FFF2-40B4-BE49-F238E27FC236}">
              <a16:creationId xmlns:a16="http://schemas.microsoft.com/office/drawing/2014/main" id="{FACE8D9D-B2FC-4847-BDB0-552F3D9ACD1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6" name="Flèche gauche 1">
          <a:hlinkClick xmlns:r="http://schemas.openxmlformats.org/officeDocument/2006/relationships" r:id="rId2"/>
          <a:extLst>
            <a:ext uri="{FF2B5EF4-FFF2-40B4-BE49-F238E27FC236}">
              <a16:creationId xmlns:a16="http://schemas.microsoft.com/office/drawing/2014/main" id="{47814CB3-07A5-2A45-922C-61E9F0F8A31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7" name="Flèche gauche 1">
          <a:hlinkClick xmlns:r="http://schemas.openxmlformats.org/officeDocument/2006/relationships" r:id="rId2"/>
          <a:extLst>
            <a:ext uri="{FF2B5EF4-FFF2-40B4-BE49-F238E27FC236}">
              <a16:creationId xmlns:a16="http://schemas.microsoft.com/office/drawing/2014/main" id="{007C4B20-B858-3644-848D-A0838F8E111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8" name="Flèche gauche 1">
          <a:hlinkClick xmlns:r="http://schemas.openxmlformats.org/officeDocument/2006/relationships" r:id="rId2"/>
          <a:extLst>
            <a:ext uri="{FF2B5EF4-FFF2-40B4-BE49-F238E27FC236}">
              <a16:creationId xmlns:a16="http://schemas.microsoft.com/office/drawing/2014/main" id="{ECE08BE0-99D9-7445-BEA5-F1EFA361DB0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9" name="Flèche gauche 1">
          <a:hlinkClick xmlns:r="http://schemas.openxmlformats.org/officeDocument/2006/relationships" r:id="rId3"/>
          <a:extLst>
            <a:ext uri="{FF2B5EF4-FFF2-40B4-BE49-F238E27FC236}">
              <a16:creationId xmlns:a16="http://schemas.microsoft.com/office/drawing/2014/main" id="{CDF7AC02-3FEF-D14F-806F-B889C698CA3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0" name="Flèche gauche 1">
          <a:hlinkClick xmlns:r="http://schemas.openxmlformats.org/officeDocument/2006/relationships" r:id="rId2"/>
          <a:extLst>
            <a:ext uri="{FF2B5EF4-FFF2-40B4-BE49-F238E27FC236}">
              <a16:creationId xmlns:a16="http://schemas.microsoft.com/office/drawing/2014/main" id="{759A8B84-B113-814B-8A1D-9D045CC33FF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1" name="Flèche gauche 1">
          <a:hlinkClick xmlns:r="http://schemas.openxmlformats.org/officeDocument/2006/relationships" r:id="rId2"/>
          <a:extLst>
            <a:ext uri="{FF2B5EF4-FFF2-40B4-BE49-F238E27FC236}">
              <a16:creationId xmlns:a16="http://schemas.microsoft.com/office/drawing/2014/main" id="{E7817793-71BD-D04C-BA0D-32E6BB8E021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2" name="Flèche gauche 1">
          <a:hlinkClick xmlns:r="http://schemas.openxmlformats.org/officeDocument/2006/relationships" r:id="rId2"/>
          <a:extLst>
            <a:ext uri="{FF2B5EF4-FFF2-40B4-BE49-F238E27FC236}">
              <a16:creationId xmlns:a16="http://schemas.microsoft.com/office/drawing/2014/main" id="{9E599B37-9753-6A43-8DD9-FE26185CF50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3" name="Flèche gauche 1">
          <a:hlinkClick xmlns:r="http://schemas.openxmlformats.org/officeDocument/2006/relationships" r:id="rId3"/>
          <a:extLst>
            <a:ext uri="{FF2B5EF4-FFF2-40B4-BE49-F238E27FC236}">
              <a16:creationId xmlns:a16="http://schemas.microsoft.com/office/drawing/2014/main" id="{1DF5D114-BE5C-9645-9D62-5AB0DC6227F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4" name="Flèche gauche 1">
          <a:hlinkClick xmlns:r="http://schemas.openxmlformats.org/officeDocument/2006/relationships" r:id="rId2"/>
          <a:extLst>
            <a:ext uri="{FF2B5EF4-FFF2-40B4-BE49-F238E27FC236}">
              <a16:creationId xmlns:a16="http://schemas.microsoft.com/office/drawing/2014/main" id="{309AFCB2-D3A8-764C-9E78-04DE8511B63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5" name="Flèche gauche 1">
          <a:hlinkClick xmlns:r="http://schemas.openxmlformats.org/officeDocument/2006/relationships" r:id="rId2"/>
          <a:extLst>
            <a:ext uri="{FF2B5EF4-FFF2-40B4-BE49-F238E27FC236}">
              <a16:creationId xmlns:a16="http://schemas.microsoft.com/office/drawing/2014/main" id="{97B3894A-6B8B-2E43-AF00-2600EAF6509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6" name="Flèche gauche 1">
          <a:hlinkClick xmlns:r="http://schemas.openxmlformats.org/officeDocument/2006/relationships" r:id="rId2"/>
          <a:extLst>
            <a:ext uri="{FF2B5EF4-FFF2-40B4-BE49-F238E27FC236}">
              <a16:creationId xmlns:a16="http://schemas.microsoft.com/office/drawing/2014/main" id="{6D2E32EB-9DED-EB45-90CE-33AB106C93E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7" name="Flèche gauche 1">
          <a:hlinkClick xmlns:r="http://schemas.openxmlformats.org/officeDocument/2006/relationships" r:id="rId3"/>
          <a:extLst>
            <a:ext uri="{FF2B5EF4-FFF2-40B4-BE49-F238E27FC236}">
              <a16:creationId xmlns:a16="http://schemas.microsoft.com/office/drawing/2014/main" id="{FFFFAAA2-C455-3346-8708-5D4E37159F9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8" name="Flèche gauche 1">
          <a:hlinkClick xmlns:r="http://schemas.openxmlformats.org/officeDocument/2006/relationships" r:id="rId2"/>
          <a:extLst>
            <a:ext uri="{FF2B5EF4-FFF2-40B4-BE49-F238E27FC236}">
              <a16:creationId xmlns:a16="http://schemas.microsoft.com/office/drawing/2014/main" id="{E7B55E15-18BB-144A-8061-540B9A08178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9" name="Flèche gauche 1">
          <a:hlinkClick xmlns:r="http://schemas.openxmlformats.org/officeDocument/2006/relationships" r:id="rId2"/>
          <a:extLst>
            <a:ext uri="{FF2B5EF4-FFF2-40B4-BE49-F238E27FC236}">
              <a16:creationId xmlns:a16="http://schemas.microsoft.com/office/drawing/2014/main" id="{A8070F6C-7350-824F-AABD-9E10FE71331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0" name="Flèche gauche 1">
          <a:hlinkClick xmlns:r="http://schemas.openxmlformats.org/officeDocument/2006/relationships" r:id="rId2"/>
          <a:extLst>
            <a:ext uri="{FF2B5EF4-FFF2-40B4-BE49-F238E27FC236}">
              <a16:creationId xmlns:a16="http://schemas.microsoft.com/office/drawing/2014/main" id="{438ACB98-A60E-3842-89FF-C1504B9ABF4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1" name="Flèche gauche 1">
          <a:hlinkClick xmlns:r="http://schemas.openxmlformats.org/officeDocument/2006/relationships" r:id="rId3"/>
          <a:extLst>
            <a:ext uri="{FF2B5EF4-FFF2-40B4-BE49-F238E27FC236}">
              <a16:creationId xmlns:a16="http://schemas.microsoft.com/office/drawing/2014/main" id="{DD6D2E75-489A-EF46-A052-3E746817755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2" name="Flèche gauche 1">
          <a:hlinkClick xmlns:r="http://schemas.openxmlformats.org/officeDocument/2006/relationships" r:id="rId2"/>
          <a:extLst>
            <a:ext uri="{FF2B5EF4-FFF2-40B4-BE49-F238E27FC236}">
              <a16:creationId xmlns:a16="http://schemas.microsoft.com/office/drawing/2014/main" id="{B2FFB854-18A9-A44A-A6E6-B83C3D1E467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3" name="Flèche gauche 1">
          <a:hlinkClick xmlns:r="http://schemas.openxmlformats.org/officeDocument/2006/relationships" r:id="rId2"/>
          <a:extLst>
            <a:ext uri="{FF2B5EF4-FFF2-40B4-BE49-F238E27FC236}">
              <a16:creationId xmlns:a16="http://schemas.microsoft.com/office/drawing/2014/main" id="{3F1AE479-3269-9D42-B909-BD8C4DD2185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4" name="Flèche gauche 1">
          <a:hlinkClick xmlns:r="http://schemas.openxmlformats.org/officeDocument/2006/relationships" r:id="rId2"/>
          <a:extLst>
            <a:ext uri="{FF2B5EF4-FFF2-40B4-BE49-F238E27FC236}">
              <a16:creationId xmlns:a16="http://schemas.microsoft.com/office/drawing/2014/main" id="{62A975E3-7305-1A49-9000-7FDECE5DF4A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5" name="Flèche gauche 1">
          <a:hlinkClick xmlns:r="http://schemas.openxmlformats.org/officeDocument/2006/relationships" r:id="rId3"/>
          <a:extLst>
            <a:ext uri="{FF2B5EF4-FFF2-40B4-BE49-F238E27FC236}">
              <a16:creationId xmlns:a16="http://schemas.microsoft.com/office/drawing/2014/main" id="{8CD919B9-2149-9148-8E49-0BF19637068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6" name="Flèche gauche 1">
          <a:hlinkClick xmlns:r="http://schemas.openxmlformats.org/officeDocument/2006/relationships" r:id="rId2"/>
          <a:extLst>
            <a:ext uri="{FF2B5EF4-FFF2-40B4-BE49-F238E27FC236}">
              <a16:creationId xmlns:a16="http://schemas.microsoft.com/office/drawing/2014/main" id="{87E9A6DF-9D8C-E047-80CA-C63E402279C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7" name="Flèche gauche 1">
          <a:hlinkClick xmlns:r="http://schemas.openxmlformats.org/officeDocument/2006/relationships" r:id="rId2"/>
          <a:extLst>
            <a:ext uri="{FF2B5EF4-FFF2-40B4-BE49-F238E27FC236}">
              <a16:creationId xmlns:a16="http://schemas.microsoft.com/office/drawing/2014/main" id="{8133A00D-9C9A-C34E-AB70-61880224086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8" name="Flèche gauche 1">
          <a:hlinkClick xmlns:r="http://schemas.openxmlformats.org/officeDocument/2006/relationships" r:id="rId2"/>
          <a:extLst>
            <a:ext uri="{FF2B5EF4-FFF2-40B4-BE49-F238E27FC236}">
              <a16:creationId xmlns:a16="http://schemas.microsoft.com/office/drawing/2014/main" id="{2E80C461-5F9F-CD4F-B591-FA34D2CE91D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9" name="Flèche gauche 1">
          <a:hlinkClick xmlns:r="http://schemas.openxmlformats.org/officeDocument/2006/relationships" r:id="rId3"/>
          <a:extLst>
            <a:ext uri="{FF2B5EF4-FFF2-40B4-BE49-F238E27FC236}">
              <a16:creationId xmlns:a16="http://schemas.microsoft.com/office/drawing/2014/main" id="{0D8A0501-A568-D84F-BE19-22537A1072A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0" name="Flèche gauche 1">
          <a:hlinkClick xmlns:r="http://schemas.openxmlformats.org/officeDocument/2006/relationships" r:id="rId2"/>
          <a:extLst>
            <a:ext uri="{FF2B5EF4-FFF2-40B4-BE49-F238E27FC236}">
              <a16:creationId xmlns:a16="http://schemas.microsoft.com/office/drawing/2014/main" id="{7DE3E91B-B93D-5545-99A6-DB64B89C4CE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1" name="Flèche gauche 1">
          <a:hlinkClick xmlns:r="http://schemas.openxmlformats.org/officeDocument/2006/relationships" r:id="rId2"/>
          <a:extLst>
            <a:ext uri="{FF2B5EF4-FFF2-40B4-BE49-F238E27FC236}">
              <a16:creationId xmlns:a16="http://schemas.microsoft.com/office/drawing/2014/main" id="{D8836403-17CA-1349-8095-0E77FBE7521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2" name="Flèche gauche 1">
          <a:hlinkClick xmlns:r="http://schemas.openxmlformats.org/officeDocument/2006/relationships" r:id="rId2"/>
          <a:extLst>
            <a:ext uri="{FF2B5EF4-FFF2-40B4-BE49-F238E27FC236}">
              <a16:creationId xmlns:a16="http://schemas.microsoft.com/office/drawing/2014/main" id="{52D6CCB1-40B8-DD4C-9E4A-F6C008A8C90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3" name="Flèche gauche 1">
          <a:hlinkClick xmlns:r="http://schemas.openxmlformats.org/officeDocument/2006/relationships" r:id="rId3"/>
          <a:extLst>
            <a:ext uri="{FF2B5EF4-FFF2-40B4-BE49-F238E27FC236}">
              <a16:creationId xmlns:a16="http://schemas.microsoft.com/office/drawing/2014/main" id="{3C5586D0-BFC1-DC4F-9549-A320203123C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4" name="Flèche gauche 1">
          <a:hlinkClick xmlns:r="http://schemas.openxmlformats.org/officeDocument/2006/relationships" r:id="rId2"/>
          <a:extLst>
            <a:ext uri="{FF2B5EF4-FFF2-40B4-BE49-F238E27FC236}">
              <a16:creationId xmlns:a16="http://schemas.microsoft.com/office/drawing/2014/main" id="{33E16D2C-B301-3743-A82D-17FDBB6CC4B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5" name="Flèche gauche 1">
          <a:hlinkClick xmlns:r="http://schemas.openxmlformats.org/officeDocument/2006/relationships" r:id="rId2"/>
          <a:extLst>
            <a:ext uri="{FF2B5EF4-FFF2-40B4-BE49-F238E27FC236}">
              <a16:creationId xmlns:a16="http://schemas.microsoft.com/office/drawing/2014/main" id="{7253910E-3A15-EC43-B73A-0E964AB37DE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6" name="Flèche gauche 1">
          <a:hlinkClick xmlns:r="http://schemas.openxmlformats.org/officeDocument/2006/relationships" r:id="rId2"/>
          <a:extLst>
            <a:ext uri="{FF2B5EF4-FFF2-40B4-BE49-F238E27FC236}">
              <a16:creationId xmlns:a16="http://schemas.microsoft.com/office/drawing/2014/main" id="{C9DE0008-023A-C743-8C17-8DF999CCCEB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7" name="Flèche gauche 1">
          <a:hlinkClick xmlns:r="http://schemas.openxmlformats.org/officeDocument/2006/relationships" r:id="rId3"/>
          <a:extLst>
            <a:ext uri="{FF2B5EF4-FFF2-40B4-BE49-F238E27FC236}">
              <a16:creationId xmlns:a16="http://schemas.microsoft.com/office/drawing/2014/main" id="{518D1614-FA03-2241-8475-9D9B479D6E7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editAs="oneCell">
    <xdr:from>
      <xdr:col>1</xdr:col>
      <xdr:colOff>32124</xdr:colOff>
      <xdr:row>116</xdr:row>
      <xdr:rowOff>5442</xdr:rowOff>
    </xdr:from>
    <xdr:to>
      <xdr:col>3</xdr:col>
      <xdr:colOff>1108771</xdr:colOff>
      <xdr:row>138</xdr:row>
      <xdr:rowOff>69386</xdr:rowOff>
    </xdr:to>
    <xdr:pic>
      <xdr:nvPicPr>
        <xdr:cNvPr id="68" name="Image 67">
          <a:extLst>
            <a:ext uri="{FF2B5EF4-FFF2-40B4-BE49-F238E27FC236}">
              <a16:creationId xmlns:a16="http://schemas.microsoft.com/office/drawing/2014/main" id="{7998A53A-36E8-F54E-A803-449830236B9A}"/>
            </a:ext>
          </a:extLst>
        </xdr:cNvPr>
        <xdr:cNvPicPr>
          <a:picLocks noChangeAspect="1"/>
        </xdr:cNvPicPr>
      </xdr:nvPicPr>
      <xdr:blipFill>
        <a:blip xmlns:r="http://schemas.openxmlformats.org/officeDocument/2006/relationships" r:embed="rId4"/>
        <a:stretch>
          <a:fillRect/>
        </a:stretch>
      </xdr:blipFill>
      <xdr:spPr>
        <a:xfrm>
          <a:off x="916588" y="42028835"/>
          <a:ext cx="7744147" cy="4055372"/>
        </a:xfrm>
        <a:prstGeom prst="rect">
          <a:avLst/>
        </a:prstGeom>
      </xdr:spPr>
    </xdr:pic>
    <xdr:clientData/>
  </xdr:twoCellAnchor>
  <xdr:twoCellAnchor>
    <xdr:from>
      <xdr:col>1</xdr:col>
      <xdr:colOff>0</xdr:colOff>
      <xdr:row>0</xdr:row>
      <xdr:rowOff>60960</xdr:rowOff>
    </xdr:from>
    <xdr:to>
      <xdr:col>1</xdr:col>
      <xdr:colOff>0</xdr:colOff>
      <xdr:row>1</xdr:row>
      <xdr:rowOff>106680</xdr:rowOff>
    </xdr:to>
    <xdr:sp macro="" textlink="">
      <xdr:nvSpPr>
        <xdr:cNvPr id="69" name="Flèche gauche 1">
          <a:hlinkClick xmlns:r="http://schemas.openxmlformats.org/officeDocument/2006/relationships" r:id="rId2"/>
          <a:extLst>
            <a:ext uri="{FF2B5EF4-FFF2-40B4-BE49-F238E27FC236}">
              <a16:creationId xmlns:a16="http://schemas.microsoft.com/office/drawing/2014/main" id="{FDA4989E-8C3A-E343-ACAA-4E0379EE7ED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0" name="Flèche gauche 1">
          <a:hlinkClick xmlns:r="http://schemas.openxmlformats.org/officeDocument/2006/relationships" r:id="rId2"/>
          <a:extLst>
            <a:ext uri="{FF2B5EF4-FFF2-40B4-BE49-F238E27FC236}">
              <a16:creationId xmlns:a16="http://schemas.microsoft.com/office/drawing/2014/main" id="{4969BC6C-658C-0643-979A-A55B98D28DA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1" name="Flèche gauche 1">
          <a:hlinkClick xmlns:r="http://schemas.openxmlformats.org/officeDocument/2006/relationships" r:id="rId2"/>
          <a:extLst>
            <a:ext uri="{FF2B5EF4-FFF2-40B4-BE49-F238E27FC236}">
              <a16:creationId xmlns:a16="http://schemas.microsoft.com/office/drawing/2014/main" id="{39FC0EF2-0F34-974B-A872-0F84506F905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2" name="Flèche gauche 1">
          <a:hlinkClick xmlns:r="http://schemas.openxmlformats.org/officeDocument/2006/relationships" r:id="rId3"/>
          <a:extLst>
            <a:ext uri="{FF2B5EF4-FFF2-40B4-BE49-F238E27FC236}">
              <a16:creationId xmlns:a16="http://schemas.microsoft.com/office/drawing/2014/main" id="{024030B6-3800-794D-B186-012833617F8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3" name="Flèche gauche 1">
          <a:hlinkClick xmlns:r="http://schemas.openxmlformats.org/officeDocument/2006/relationships" r:id="rId2"/>
          <a:extLst>
            <a:ext uri="{FF2B5EF4-FFF2-40B4-BE49-F238E27FC236}">
              <a16:creationId xmlns:a16="http://schemas.microsoft.com/office/drawing/2014/main" id="{D04ACBE2-E1A7-A844-9155-3814892F52A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4" name="Flèche gauche 1">
          <a:hlinkClick xmlns:r="http://schemas.openxmlformats.org/officeDocument/2006/relationships" r:id="rId2"/>
          <a:extLst>
            <a:ext uri="{FF2B5EF4-FFF2-40B4-BE49-F238E27FC236}">
              <a16:creationId xmlns:a16="http://schemas.microsoft.com/office/drawing/2014/main" id="{DE933BCE-DDDF-E440-ADE3-ED694147EB1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5" name="Flèche gauche 1">
          <a:hlinkClick xmlns:r="http://schemas.openxmlformats.org/officeDocument/2006/relationships" r:id="rId2"/>
          <a:extLst>
            <a:ext uri="{FF2B5EF4-FFF2-40B4-BE49-F238E27FC236}">
              <a16:creationId xmlns:a16="http://schemas.microsoft.com/office/drawing/2014/main" id="{B16314BD-A578-594F-921A-46E9CD166B8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6" name="Flèche gauche 1">
          <a:hlinkClick xmlns:r="http://schemas.openxmlformats.org/officeDocument/2006/relationships" r:id="rId3"/>
          <a:extLst>
            <a:ext uri="{FF2B5EF4-FFF2-40B4-BE49-F238E27FC236}">
              <a16:creationId xmlns:a16="http://schemas.microsoft.com/office/drawing/2014/main" id="{86CD7DEC-F57E-FD4E-A10F-6E3F9B9795C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7" name="Flèche gauche 1">
          <a:hlinkClick xmlns:r="http://schemas.openxmlformats.org/officeDocument/2006/relationships" r:id="rId2"/>
          <a:extLst>
            <a:ext uri="{FF2B5EF4-FFF2-40B4-BE49-F238E27FC236}">
              <a16:creationId xmlns:a16="http://schemas.microsoft.com/office/drawing/2014/main" id="{6F5ED2EF-627D-714F-8708-536FE903B03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8" name="Flèche gauche 1">
          <a:hlinkClick xmlns:r="http://schemas.openxmlformats.org/officeDocument/2006/relationships" r:id="rId2"/>
          <a:extLst>
            <a:ext uri="{FF2B5EF4-FFF2-40B4-BE49-F238E27FC236}">
              <a16:creationId xmlns:a16="http://schemas.microsoft.com/office/drawing/2014/main" id="{05AA62A1-96CF-9B44-894A-E96273E0C93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9" name="Flèche gauche 1">
          <a:hlinkClick xmlns:r="http://schemas.openxmlformats.org/officeDocument/2006/relationships" r:id="rId2"/>
          <a:extLst>
            <a:ext uri="{FF2B5EF4-FFF2-40B4-BE49-F238E27FC236}">
              <a16:creationId xmlns:a16="http://schemas.microsoft.com/office/drawing/2014/main" id="{8973F3A1-94BB-7F4A-B92D-5304479DB53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0" name="Flèche gauche 1">
          <a:hlinkClick xmlns:r="http://schemas.openxmlformats.org/officeDocument/2006/relationships" r:id="rId3"/>
          <a:extLst>
            <a:ext uri="{FF2B5EF4-FFF2-40B4-BE49-F238E27FC236}">
              <a16:creationId xmlns:a16="http://schemas.microsoft.com/office/drawing/2014/main" id="{2BE0586F-FEC2-BA46-9DCB-E6796A26432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1" name="Flèche gauche 1">
          <a:hlinkClick xmlns:r="http://schemas.openxmlformats.org/officeDocument/2006/relationships" r:id="rId2"/>
          <a:extLst>
            <a:ext uri="{FF2B5EF4-FFF2-40B4-BE49-F238E27FC236}">
              <a16:creationId xmlns:a16="http://schemas.microsoft.com/office/drawing/2014/main" id="{A688B128-B5C2-D241-AD58-571261EAA13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2" name="Flèche gauche 1">
          <a:hlinkClick xmlns:r="http://schemas.openxmlformats.org/officeDocument/2006/relationships" r:id="rId2"/>
          <a:extLst>
            <a:ext uri="{FF2B5EF4-FFF2-40B4-BE49-F238E27FC236}">
              <a16:creationId xmlns:a16="http://schemas.microsoft.com/office/drawing/2014/main" id="{3F931878-8BF5-004F-B7FB-0842566A8DC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3" name="Flèche gauche 1">
          <a:hlinkClick xmlns:r="http://schemas.openxmlformats.org/officeDocument/2006/relationships" r:id="rId2"/>
          <a:extLst>
            <a:ext uri="{FF2B5EF4-FFF2-40B4-BE49-F238E27FC236}">
              <a16:creationId xmlns:a16="http://schemas.microsoft.com/office/drawing/2014/main" id="{53025BDA-2840-FE4D-8F49-DD6BC1D6AF5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4" name="Flèche gauche 1">
          <a:hlinkClick xmlns:r="http://schemas.openxmlformats.org/officeDocument/2006/relationships" r:id="rId3"/>
          <a:extLst>
            <a:ext uri="{FF2B5EF4-FFF2-40B4-BE49-F238E27FC236}">
              <a16:creationId xmlns:a16="http://schemas.microsoft.com/office/drawing/2014/main" id="{021CF22E-81A7-B34E-B4E6-B0C589AC7E5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5" name="Flèche gauche 1">
          <a:hlinkClick xmlns:r="http://schemas.openxmlformats.org/officeDocument/2006/relationships" r:id="rId2"/>
          <a:extLst>
            <a:ext uri="{FF2B5EF4-FFF2-40B4-BE49-F238E27FC236}">
              <a16:creationId xmlns:a16="http://schemas.microsoft.com/office/drawing/2014/main" id="{B6A63978-EA43-6240-A181-D5A54E5FCE0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6" name="Flèche gauche 1">
          <a:hlinkClick xmlns:r="http://schemas.openxmlformats.org/officeDocument/2006/relationships" r:id="rId2"/>
          <a:extLst>
            <a:ext uri="{FF2B5EF4-FFF2-40B4-BE49-F238E27FC236}">
              <a16:creationId xmlns:a16="http://schemas.microsoft.com/office/drawing/2014/main" id="{DEB98E19-0907-8041-AAC9-05E0DE05B47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7" name="Flèche gauche 1">
          <a:hlinkClick xmlns:r="http://schemas.openxmlformats.org/officeDocument/2006/relationships" r:id="rId2"/>
          <a:extLst>
            <a:ext uri="{FF2B5EF4-FFF2-40B4-BE49-F238E27FC236}">
              <a16:creationId xmlns:a16="http://schemas.microsoft.com/office/drawing/2014/main" id="{E6D48347-A0B8-8F43-8A28-6DB9C386AF1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8" name="Flèche gauche 1">
          <a:hlinkClick xmlns:r="http://schemas.openxmlformats.org/officeDocument/2006/relationships" r:id="rId3"/>
          <a:extLst>
            <a:ext uri="{FF2B5EF4-FFF2-40B4-BE49-F238E27FC236}">
              <a16:creationId xmlns:a16="http://schemas.microsoft.com/office/drawing/2014/main" id="{08FE1181-9B11-D347-818F-A544FB0240D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9" name="Flèche gauche 1">
          <a:hlinkClick xmlns:r="http://schemas.openxmlformats.org/officeDocument/2006/relationships" r:id="rId2"/>
          <a:extLst>
            <a:ext uri="{FF2B5EF4-FFF2-40B4-BE49-F238E27FC236}">
              <a16:creationId xmlns:a16="http://schemas.microsoft.com/office/drawing/2014/main" id="{F06CE97F-26D5-7345-98BC-3CA6161E9B5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0" name="Flèche gauche 1">
          <a:hlinkClick xmlns:r="http://schemas.openxmlformats.org/officeDocument/2006/relationships" r:id="rId2"/>
          <a:extLst>
            <a:ext uri="{FF2B5EF4-FFF2-40B4-BE49-F238E27FC236}">
              <a16:creationId xmlns:a16="http://schemas.microsoft.com/office/drawing/2014/main" id="{2544FAC9-83E6-4248-A55C-BD3C25FDC3D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1" name="Flèche gauche 1">
          <a:hlinkClick xmlns:r="http://schemas.openxmlformats.org/officeDocument/2006/relationships" r:id="rId2"/>
          <a:extLst>
            <a:ext uri="{FF2B5EF4-FFF2-40B4-BE49-F238E27FC236}">
              <a16:creationId xmlns:a16="http://schemas.microsoft.com/office/drawing/2014/main" id="{65515ABA-0EE8-1C40-AB85-A98BB14DC78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2" name="Flèche gauche 1">
          <a:hlinkClick xmlns:r="http://schemas.openxmlformats.org/officeDocument/2006/relationships" r:id="rId3"/>
          <a:extLst>
            <a:ext uri="{FF2B5EF4-FFF2-40B4-BE49-F238E27FC236}">
              <a16:creationId xmlns:a16="http://schemas.microsoft.com/office/drawing/2014/main" id="{3B37C72A-0179-154B-BA46-C552156DD22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3" name="Flèche gauche 1">
          <a:hlinkClick xmlns:r="http://schemas.openxmlformats.org/officeDocument/2006/relationships" r:id="rId2"/>
          <a:extLst>
            <a:ext uri="{FF2B5EF4-FFF2-40B4-BE49-F238E27FC236}">
              <a16:creationId xmlns:a16="http://schemas.microsoft.com/office/drawing/2014/main" id="{86BABFAE-8617-9043-9CEE-8B990DD7AFF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4" name="Flèche gauche 1">
          <a:hlinkClick xmlns:r="http://schemas.openxmlformats.org/officeDocument/2006/relationships" r:id="rId2"/>
          <a:extLst>
            <a:ext uri="{FF2B5EF4-FFF2-40B4-BE49-F238E27FC236}">
              <a16:creationId xmlns:a16="http://schemas.microsoft.com/office/drawing/2014/main" id="{1AC7B6E4-D685-B24C-ADB4-52D41B63C24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5" name="Flèche gauche 1">
          <a:hlinkClick xmlns:r="http://schemas.openxmlformats.org/officeDocument/2006/relationships" r:id="rId2"/>
          <a:extLst>
            <a:ext uri="{FF2B5EF4-FFF2-40B4-BE49-F238E27FC236}">
              <a16:creationId xmlns:a16="http://schemas.microsoft.com/office/drawing/2014/main" id="{612B3F24-5698-5543-99D1-978380BCEE4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6" name="Flèche gauche 1">
          <a:hlinkClick xmlns:r="http://schemas.openxmlformats.org/officeDocument/2006/relationships" r:id="rId3"/>
          <a:extLst>
            <a:ext uri="{FF2B5EF4-FFF2-40B4-BE49-F238E27FC236}">
              <a16:creationId xmlns:a16="http://schemas.microsoft.com/office/drawing/2014/main" id="{DE3AAFE2-9BB8-2D47-BA9B-C50221F1B0E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7" name="Flèche gauche 1">
          <a:hlinkClick xmlns:r="http://schemas.openxmlformats.org/officeDocument/2006/relationships" r:id="rId2"/>
          <a:extLst>
            <a:ext uri="{FF2B5EF4-FFF2-40B4-BE49-F238E27FC236}">
              <a16:creationId xmlns:a16="http://schemas.microsoft.com/office/drawing/2014/main" id="{B1D77399-0498-104E-878A-78C19445CA1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8" name="Flèche gauche 1">
          <a:hlinkClick xmlns:r="http://schemas.openxmlformats.org/officeDocument/2006/relationships" r:id="rId2"/>
          <a:extLst>
            <a:ext uri="{FF2B5EF4-FFF2-40B4-BE49-F238E27FC236}">
              <a16:creationId xmlns:a16="http://schemas.microsoft.com/office/drawing/2014/main" id="{A9DD4981-A89A-E543-AFEC-AFFC93021AD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9" name="Flèche gauche 1">
          <a:hlinkClick xmlns:r="http://schemas.openxmlformats.org/officeDocument/2006/relationships" r:id="rId2"/>
          <a:extLst>
            <a:ext uri="{FF2B5EF4-FFF2-40B4-BE49-F238E27FC236}">
              <a16:creationId xmlns:a16="http://schemas.microsoft.com/office/drawing/2014/main" id="{282FA68A-5289-F84E-8E2E-DD788F1FED8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0" name="Flèche gauche 1">
          <a:hlinkClick xmlns:r="http://schemas.openxmlformats.org/officeDocument/2006/relationships" r:id="rId3"/>
          <a:extLst>
            <a:ext uri="{FF2B5EF4-FFF2-40B4-BE49-F238E27FC236}">
              <a16:creationId xmlns:a16="http://schemas.microsoft.com/office/drawing/2014/main" id="{5B8BCFFF-EE92-E74C-93AE-2716AB13D25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1" name="Flèche gauche 1">
          <a:hlinkClick xmlns:r="http://schemas.openxmlformats.org/officeDocument/2006/relationships" r:id="rId2"/>
          <a:extLst>
            <a:ext uri="{FF2B5EF4-FFF2-40B4-BE49-F238E27FC236}">
              <a16:creationId xmlns:a16="http://schemas.microsoft.com/office/drawing/2014/main" id="{B683048B-67BD-344C-843D-22F978C852E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2" name="Flèche gauche 1">
          <a:hlinkClick xmlns:r="http://schemas.openxmlformats.org/officeDocument/2006/relationships" r:id="rId2"/>
          <a:extLst>
            <a:ext uri="{FF2B5EF4-FFF2-40B4-BE49-F238E27FC236}">
              <a16:creationId xmlns:a16="http://schemas.microsoft.com/office/drawing/2014/main" id="{688E336A-800E-1A45-84BA-07ECBD320DB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3" name="Flèche gauche 1">
          <a:hlinkClick xmlns:r="http://schemas.openxmlformats.org/officeDocument/2006/relationships" r:id="rId2"/>
          <a:extLst>
            <a:ext uri="{FF2B5EF4-FFF2-40B4-BE49-F238E27FC236}">
              <a16:creationId xmlns:a16="http://schemas.microsoft.com/office/drawing/2014/main" id="{6B53EC1A-E0F1-6944-8F6A-3DEE0A5EDAC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4" name="Flèche gauche 1">
          <a:hlinkClick xmlns:r="http://schemas.openxmlformats.org/officeDocument/2006/relationships" r:id="rId3"/>
          <a:extLst>
            <a:ext uri="{FF2B5EF4-FFF2-40B4-BE49-F238E27FC236}">
              <a16:creationId xmlns:a16="http://schemas.microsoft.com/office/drawing/2014/main" id="{3DF90B88-6620-0E40-A9F8-623AD93D1F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5" name="Flèche gauche 1">
          <a:hlinkClick xmlns:r="http://schemas.openxmlformats.org/officeDocument/2006/relationships" r:id="rId2"/>
          <a:extLst>
            <a:ext uri="{FF2B5EF4-FFF2-40B4-BE49-F238E27FC236}">
              <a16:creationId xmlns:a16="http://schemas.microsoft.com/office/drawing/2014/main" id="{1ECBEEB1-2EA6-6845-B227-148DE75096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6" name="Flèche gauche 1">
          <a:hlinkClick xmlns:r="http://schemas.openxmlformats.org/officeDocument/2006/relationships" r:id="rId2"/>
          <a:extLst>
            <a:ext uri="{FF2B5EF4-FFF2-40B4-BE49-F238E27FC236}">
              <a16:creationId xmlns:a16="http://schemas.microsoft.com/office/drawing/2014/main" id="{D96C2A2A-7981-AD4F-9FDD-679F7683552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7" name="Flèche gauche 1">
          <a:hlinkClick xmlns:r="http://schemas.openxmlformats.org/officeDocument/2006/relationships" r:id="rId2"/>
          <a:extLst>
            <a:ext uri="{FF2B5EF4-FFF2-40B4-BE49-F238E27FC236}">
              <a16:creationId xmlns:a16="http://schemas.microsoft.com/office/drawing/2014/main" id="{49C36717-5352-B045-974F-EF1038AD7E7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8" name="Flèche gauche 1">
          <a:hlinkClick xmlns:r="http://schemas.openxmlformats.org/officeDocument/2006/relationships" r:id="rId3"/>
          <a:extLst>
            <a:ext uri="{FF2B5EF4-FFF2-40B4-BE49-F238E27FC236}">
              <a16:creationId xmlns:a16="http://schemas.microsoft.com/office/drawing/2014/main" id="{0D6FBE6E-60F6-9E48-AA5F-78DEFE381F5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9" name="Flèche gauche 1">
          <a:hlinkClick xmlns:r="http://schemas.openxmlformats.org/officeDocument/2006/relationships" r:id="rId2"/>
          <a:extLst>
            <a:ext uri="{FF2B5EF4-FFF2-40B4-BE49-F238E27FC236}">
              <a16:creationId xmlns:a16="http://schemas.microsoft.com/office/drawing/2014/main" id="{6894B72C-4B37-F64A-94D6-8F7CC7A89CD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0" name="Flèche gauche 1">
          <a:hlinkClick xmlns:r="http://schemas.openxmlformats.org/officeDocument/2006/relationships" r:id="rId2"/>
          <a:extLst>
            <a:ext uri="{FF2B5EF4-FFF2-40B4-BE49-F238E27FC236}">
              <a16:creationId xmlns:a16="http://schemas.microsoft.com/office/drawing/2014/main" id="{20465657-AB64-B942-BED2-B5787641509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1" name="Flèche gauche 1">
          <a:hlinkClick xmlns:r="http://schemas.openxmlformats.org/officeDocument/2006/relationships" r:id="rId2"/>
          <a:extLst>
            <a:ext uri="{FF2B5EF4-FFF2-40B4-BE49-F238E27FC236}">
              <a16:creationId xmlns:a16="http://schemas.microsoft.com/office/drawing/2014/main" id="{3767089E-8043-9C4D-8424-F4B47ADE249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2" name="Flèche gauche 1">
          <a:hlinkClick xmlns:r="http://schemas.openxmlformats.org/officeDocument/2006/relationships" r:id="rId3"/>
          <a:extLst>
            <a:ext uri="{FF2B5EF4-FFF2-40B4-BE49-F238E27FC236}">
              <a16:creationId xmlns:a16="http://schemas.microsoft.com/office/drawing/2014/main" id="{2FC8F33A-2807-D849-BB37-CE9E6806B78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3" name="Flèche gauche 1">
          <a:hlinkClick xmlns:r="http://schemas.openxmlformats.org/officeDocument/2006/relationships" r:id="rId2"/>
          <a:extLst>
            <a:ext uri="{FF2B5EF4-FFF2-40B4-BE49-F238E27FC236}">
              <a16:creationId xmlns:a16="http://schemas.microsoft.com/office/drawing/2014/main" id="{5F615ECE-4669-E64B-96BB-192CA4651D8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4" name="Flèche gauche 1">
          <a:hlinkClick xmlns:r="http://schemas.openxmlformats.org/officeDocument/2006/relationships" r:id="rId2"/>
          <a:extLst>
            <a:ext uri="{FF2B5EF4-FFF2-40B4-BE49-F238E27FC236}">
              <a16:creationId xmlns:a16="http://schemas.microsoft.com/office/drawing/2014/main" id="{F638BEEB-E0B9-8C47-9DD2-54D5771A996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5" name="Flèche gauche 1">
          <a:hlinkClick xmlns:r="http://schemas.openxmlformats.org/officeDocument/2006/relationships" r:id="rId2"/>
          <a:extLst>
            <a:ext uri="{FF2B5EF4-FFF2-40B4-BE49-F238E27FC236}">
              <a16:creationId xmlns:a16="http://schemas.microsoft.com/office/drawing/2014/main" id="{6444328A-D727-AC4F-9E29-28C2BEB817E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6" name="Flèche gauche 1">
          <a:hlinkClick xmlns:r="http://schemas.openxmlformats.org/officeDocument/2006/relationships" r:id="rId3"/>
          <a:extLst>
            <a:ext uri="{FF2B5EF4-FFF2-40B4-BE49-F238E27FC236}">
              <a16:creationId xmlns:a16="http://schemas.microsoft.com/office/drawing/2014/main" id="{9D86959B-8A70-D045-A011-11497AA0CED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7" name="Flèche gauche 1">
          <a:hlinkClick xmlns:r="http://schemas.openxmlformats.org/officeDocument/2006/relationships" r:id="rId2"/>
          <a:extLst>
            <a:ext uri="{FF2B5EF4-FFF2-40B4-BE49-F238E27FC236}">
              <a16:creationId xmlns:a16="http://schemas.microsoft.com/office/drawing/2014/main" id="{67C11181-9472-3D4C-9AB7-F32D2B765C6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8" name="Flèche gauche 1">
          <a:hlinkClick xmlns:r="http://schemas.openxmlformats.org/officeDocument/2006/relationships" r:id="rId2"/>
          <a:extLst>
            <a:ext uri="{FF2B5EF4-FFF2-40B4-BE49-F238E27FC236}">
              <a16:creationId xmlns:a16="http://schemas.microsoft.com/office/drawing/2014/main" id="{C092B134-835A-B44A-B550-174DA5C3829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9" name="Flèche gauche 1">
          <a:hlinkClick xmlns:r="http://schemas.openxmlformats.org/officeDocument/2006/relationships" r:id="rId2"/>
          <a:extLst>
            <a:ext uri="{FF2B5EF4-FFF2-40B4-BE49-F238E27FC236}">
              <a16:creationId xmlns:a16="http://schemas.microsoft.com/office/drawing/2014/main" id="{B48AD03C-FCFA-AE48-9557-7059AF1A9E5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0" name="Flèche gauche 1">
          <a:hlinkClick xmlns:r="http://schemas.openxmlformats.org/officeDocument/2006/relationships" r:id="rId3"/>
          <a:extLst>
            <a:ext uri="{FF2B5EF4-FFF2-40B4-BE49-F238E27FC236}">
              <a16:creationId xmlns:a16="http://schemas.microsoft.com/office/drawing/2014/main" id="{5DC6DBFE-636E-794C-A0AB-8BF7B45714C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1" name="Flèche gauche 1">
          <a:hlinkClick xmlns:r="http://schemas.openxmlformats.org/officeDocument/2006/relationships" r:id="rId2"/>
          <a:extLst>
            <a:ext uri="{FF2B5EF4-FFF2-40B4-BE49-F238E27FC236}">
              <a16:creationId xmlns:a16="http://schemas.microsoft.com/office/drawing/2014/main" id="{2891660F-0DEA-4D4C-95B0-E475FCF50AC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2" name="Flèche gauche 1">
          <a:hlinkClick xmlns:r="http://schemas.openxmlformats.org/officeDocument/2006/relationships" r:id="rId2"/>
          <a:extLst>
            <a:ext uri="{FF2B5EF4-FFF2-40B4-BE49-F238E27FC236}">
              <a16:creationId xmlns:a16="http://schemas.microsoft.com/office/drawing/2014/main" id="{D0AA0A94-4CD5-674B-B31A-1B876C60F98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3" name="Flèche gauche 1">
          <a:hlinkClick xmlns:r="http://schemas.openxmlformats.org/officeDocument/2006/relationships" r:id="rId2"/>
          <a:extLst>
            <a:ext uri="{FF2B5EF4-FFF2-40B4-BE49-F238E27FC236}">
              <a16:creationId xmlns:a16="http://schemas.microsoft.com/office/drawing/2014/main" id="{B9B9829C-A19A-6E4B-A450-2F622D339D2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4" name="Flèche gauche 1">
          <a:hlinkClick xmlns:r="http://schemas.openxmlformats.org/officeDocument/2006/relationships" r:id="rId3"/>
          <a:extLst>
            <a:ext uri="{FF2B5EF4-FFF2-40B4-BE49-F238E27FC236}">
              <a16:creationId xmlns:a16="http://schemas.microsoft.com/office/drawing/2014/main" id="{FB0E886A-2DB8-7A4F-8FC1-C41237AF48E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5" name="Flèche gauche 1">
          <a:hlinkClick xmlns:r="http://schemas.openxmlformats.org/officeDocument/2006/relationships" r:id="rId2"/>
          <a:extLst>
            <a:ext uri="{FF2B5EF4-FFF2-40B4-BE49-F238E27FC236}">
              <a16:creationId xmlns:a16="http://schemas.microsoft.com/office/drawing/2014/main" id="{844EBBAF-71D5-E447-91CF-DCD56A95725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6" name="Flèche gauche 1">
          <a:hlinkClick xmlns:r="http://schemas.openxmlformats.org/officeDocument/2006/relationships" r:id="rId2"/>
          <a:extLst>
            <a:ext uri="{FF2B5EF4-FFF2-40B4-BE49-F238E27FC236}">
              <a16:creationId xmlns:a16="http://schemas.microsoft.com/office/drawing/2014/main" id="{41A8C855-61D4-4644-8C79-CCB1F41921A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7" name="Flèche gauche 1">
          <a:hlinkClick xmlns:r="http://schemas.openxmlformats.org/officeDocument/2006/relationships" r:id="rId2"/>
          <a:extLst>
            <a:ext uri="{FF2B5EF4-FFF2-40B4-BE49-F238E27FC236}">
              <a16:creationId xmlns:a16="http://schemas.microsoft.com/office/drawing/2014/main" id="{F3BAC863-0E14-1743-A75D-5A839D93AE8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8" name="Flèche gauche 1">
          <a:hlinkClick xmlns:r="http://schemas.openxmlformats.org/officeDocument/2006/relationships" r:id="rId3"/>
          <a:extLst>
            <a:ext uri="{FF2B5EF4-FFF2-40B4-BE49-F238E27FC236}">
              <a16:creationId xmlns:a16="http://schemas.microsoft.com/office/drawing/2014/main" id="{8C60BC60-751B-0B4A-9E5C-032B513FE5F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9" name="Flèche gauche 1">
          <a:hlinkClick xmlns:r="http://schemas.openxmlformats.org/officeDocument/2006/relationships" r:id="rId2"/>
          <a:extLst>
            <a:ext uri="{FF2B5EF4-FFF2-40B4-BE49-F238E27FC236}">
              <a16:creationId xmlns:a16="http://schemas.microsoft.com/office/drawing/2014/main" id="{68EC29CD-2052-9947-83B5-BBCCBF107CB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30" name="Flèche gauche 1">
          <a:hlinkClick xmlns:r="http://schemas.openxmlformats.org/officeDocument/2006/relationships" r:id="rId2"/>
          <a:extLst>
            <a:ext uri="{FF2B5EF4-FFF2-40B4-BE49-F238E27FC236}">
              <a16:creationId xmlns:a16="http://schemas.microsoft.com/office/drawing/2014/main" id="{2A603087-9F63-3743-8117-91D934C1797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31" name="Flèche gauche 1">
          <a:hlinkClick xmlns:r="http://schemas.openxmlformats.org/officeDocument/2006/relationships" r:id="rId2"/>
          <a:extLst>
            <a:ext uri="{FF2B5EF4-FFF2-40B4-BE49-F238E27FC236}">
              <a16:creationId xmlns:a16="http://schemas.microsoft.com/office/drawing/2014/main" id="{65EA354B-144E-0E4E-B6CF-06117744A4D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32" name="Flèche gauche 1">
          <a:hlinkClick xmlns:r="http://schemas.openxmlformats.org/officeDocument/2006/relationships" r:id="rId3"/>
          <a:extLst>
            <a:ext uri="{FF2B5EF4-FFF2-40B4-BE49-F238E27FC236}">
              <a16:creationId xmlns:a16="http://schemas.microsoft.com/office/drawing/2014/main" id="{E35CAB1F-DA7C-074A-85AF-3FA49BF7353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Alan/Desktop/28_08_01_PRO.xlsx" TargetMode="External"/><Relationship Id="rId1" Type="http://schemas.openxmlformats.org/officeDocument/2006/relationships/externalLinkPath" Target="/Users/Alan/Desktop/28_08_01_P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écapitulatif"/>
      <sheetName val="1"/>
      <sheetName val="6"/>
      <sheetName val="7"/>
      <sheetName val="Fiche levier - 1 + 6 + 7"/>
      <sheetName val="9.1 Alimentaire"/>
      <sheetName val="Fiche levier - 9.1"/>
      <sheetName val="9.2 Divers"/>
      <sheetName val="10.1 Stade"/>
      <sheetName val="Fiche levier - 10.1"/>
      <sheetName val="10.2 SI"/>
      <sheetName val="10.3 Autres"/>
      <sheetName val="2"/>
      <sheetName val="13"/>
      <sheetName val="Fiche levier - 13"/>
      <sheetName val="16"/>
      <sheetName val="Fiche levier - 16"/>
      <sheetName val="22"/>
      <sheetName val="Fiche levier - 22"/>
      <sheetName val="11"/>
      <sheetName val="Fiche levier - 11"/>
      <sheetName val="23"/>
      <sheetName val="Fiche levier - 23"/>
      <sheetName val="ANNEXE A"/>
      <sheetName val="ANNEXE B"/>
      <sheetName val="ANNEXE C"/>
    </sheetNames>
    <sheetDataSet>
      <sheetData sheetId="0">
        <row r="289">
          <cell r="C289" t="str">
            <v xml:space="preserve">Négatif </v>
          </cell>
        </row>
      </sheetData>
      <sheetData sheetId="1" refreshError="1"/>
      <sheetData sheetId="2" refreshError="1"/>
      <sheetData sheetId="3" refreshError="1"/>
      <sheetData sheetId="4" refreshError="1"/>
      <sheetData sheetId="5" refreshError="1"/>
      <sheetData sheetId="6" refreshError="1"/>
      <sheetData sheetId="7" refreshError="1"/>
      <sheetData sheetId="8">
        <row r="144">
          <cell r="B144" t="str">
            <v>*Les impacts des constructions ne peuvent pas être limités aux « grandes quantités » des matériaux de gros œuvre. La méthode fournit aussi un ratio au m2 (506 kg eq. C02 / m2) pour les constructions afin de prendre en compte l’ensemble des éléments constructifs de faible quantité mais dont l’impact peut être élevé (matériaux vitrés, plastiques, métalliques,...) du second œuvre et des équipements techniques.</v>
          </cell>
        </row>
        <row r="146">
          <cell r="B146" t="str">
            <v xml:space="preserve">Source : anonyme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persons/person.xml><?xml version="1.0" encoding="utf-8"?>
<personList xmlns="http://schemas.microsoft.com/office/spreadsheetml/2018/threadedcomments" xmlns:x="http://schemas.openxmlformats.org/spreadsheetml/2006/main">
  <person displayName="Alan Lemoine" id="{21F99315-0BBC-0942-ABE2-1050C2891D27}" userId="S::alan.lemoine@theshiftproject.org::c8e9a0f5-1e5b-4f52-8659-f59bac40d00d" providerId="AD"/>
</personList>
</file>

<file path=xl/theme/theme1.xml><?xml version="1.0" encoding="utf-8"?>
<a:theme xmlns:a="http://schemas.openxmlformats.org/drawingml/2006/main" name="Thème_shift">
  <a:themeElements>
    <a:clrScheme name="Shift Project">
      <a:dk1>
        <a:srgbClr val="000000"/>
      </a:dk1>
      <a:lt1>
        <a:srgbClr val="FFFFFF"/>
      </a:lt1>
      <a:dk2>
        <a:srgbClr val="00005A"/>
      </a:dk2>
      <a:lt2>
        <a:srgbClr val="FFFFFF"/>
      </a:lt2>
      <a:accent1>
        <a:srgbClr val="00005A"/>
      </a:accent1>
      <a:accent2>
        <a:srgbClr val="FF8200"/>
      </a:accent2>
      <a:accent3>
        <a:srgbClr val="FAB464"/>
      </a:accent3>
      <a:accent4>
        <a:srgbClr val="FFDC50"/>
      </a:accent4>
      <a:accent5>
        <a:srgbClr val="82C8FA"/>
      </a:accent5>
      <a:accent6>
        <a:srgbClr val="0028DC"/>
      </a:accent6>
      <a:hlink>
        <a:srgbClr val="FF8200"/>
      </a:hlink>
      <a:folHlink>
        <a:srgbClr val="FF8200"/>
      </a:folHlink>
    </a:clrScheme>
    <a:fontScheme name="Personnalisé 2">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Thème_shift" id="{062843DC-00E0-48FC-AC35-EE0385F49CE8}" vid="{892FAFC6-C6D3-45FD-A603-FB52C4710BBF}"/>
    </a:ext>
  </a:extLst>
</a:theme>
</file>

<file path=xl/threadedComments/threadedComment1.xml><?xml version="1.0" encoding="utf-8"?>
<ThreadedComments xmlns="http://schemas.microsoft.com/office/spreadsheetml/2018/threadedcomments" xmlns:x="http://schemas.openxmlformats.org/spreadsheetml/2006/main">
  <threadedComment ref="E151" dT="2024-12-12T13:32:00.62" personId="{21F99315-0BBC-0942-ABE2-1050C2891D27}" id="{DDF497CF-F362-B94E-AD70-F7990A0DF1A3}">
    <text>Aurélie L. : Part plus faible pour les jeunes</text>
  </threadedComment>
  <threadedComment ref="E159" dT="2024-12-12T13:32:45.67" personId="{21F99315-0BBC-0942-ABE2-1050C2891D27}" id="{577F91F5-0702-344C-8886-3A87C0F5FD92}">
    <text>Idem.</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A47411C9-D753-9A4B-B074-1152AD223A51}">
  <we:reference id="wa200005502" version="1.0.0.11" store="fr-FR" storeType="OMEX"/>
  <we:alternateReferences>
    <we:reference id="wa200005502" version="1.0.0.11" store="wa200005502" storeType="OMEX"/>
  </we:alternateReferences>
  <we:properties>
    <we:property name="docId" value="&quot;_fmN1DCSReyewxtKB3G50&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s>_xldudf_GPT_MATCH</we:customFunctionIds>
        <we:customFunctionIds>_xldudf_GPT_VISION</we:customFunctionIds>
        <we:customFunctionIds>_xldudf_GPT_WEB</we:customFunctionIds>
      </we:customFunctionIdList>
    </a:ext>
  </we:extLst>
</we:webextension>
</file>

<file path=xl/worksheets/_rels/sheet1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19"/>
  <sheetViews>
    <sheetView tabSelected="1" zoomScale="50" zoomScaleNormal="34" workbookViewId="0">
      <selection activeCell="C38" activeCellId="1" sqref="C27 C38"/>
    </sheetView>
  </sheetViews>
  <sheetFormatPr baseColWidth="10" defaultColWidth="8.83203125" defaultRowHeight="14"/>
  <cols>
    <col min="1" max="1" width="14.5" style="10" customWidth="1"/>
    <col min="2" max="2" width="72.33203125" style="10" customWidth="1"/>
    <col min="3" max="3" width="32.1640625" style="10" customWidth="1"/>
    <col min="4" max="5" width="66.33203125" style="10" customWidth="1"/>
    <col min="6" max="14" width="8.83203125" style="10"/>
    <col min="15" max="15" width="13.1640625" style="10" customWidth="1"/>
    <col min="16" max="16" width="8.83203125" style="10"/>
    <col min="17" max="17" width="11.1640625" style="10" customWidth="1"/>
    <col min="18" max="19" width="8.83203125" style="10"/>
    <col min="20" max="20" width="9" style="10" customWidth="1"/>
    <col min="21" max="22" width="8.83203125" style="10"/>
    <col min="23" max="23" width="9.6640625" style="10" customWidth="1"/>
    <col min="24" max="24" width="9" style="10" customWidth="1"/>
    <col min="25" max="16384" width="8.83203125" style="10"/>
  </cols>
  <sheetData>
    <row r="1" spans="1:15" s="1904" customFormat="1" ht="53" customHeight="1">
      <c r="A1" s="1902" t="s">
        <v>1298</v>
      </c>
      <c r="B1" s="1903"/>
      <c r="C1" s="1903"/>
      <c r="D1" s="1903"/>
      <c r="E1" s="1903"/>
      <c r="F1" s="1903"/>
      <c r="G1" s="1903"/>
      <c r="H1" s="1903"/>
      <c r="I1" s="1903"/>
      <c r="J1" s="1903"/>
      <c r="K1" s="1903"/>
      <c r="L1" s="1903"/>
      <c r="M1" s="1903"/>
      <c r="N1" s="1903"/>
      <c r="O1" s="1903"/>
    </row>
    <row r="2" spans="1:15" ht="34" customHeight="1">
      <c r="C2"/>
      <c r="D2"/>
      <c r="E2"/>
    </row>
    <row r="3" spans="1:15" customFormat="1" ht="34" customHeight="1">
      <c r="B3" s="1011" t="s">
        <v>1277</v>
      </c>
    </row>
    <row r="4" spans="1:15" customFormat="1" ht="34" customHeight="1" thickBot="1">
      <c r="B4" s="1011"/>
    </row>
    <row r="5" spans="1:15" s="32" customFormat="1" ht="34" customHeight="1">
      <c r="B5" s="1376" t="s">
        <v>16</v>
      </c>
      <c r="C5" s="1377" t="s">
        <v>17</v>
      </c>
      <c r="D5" s="1915" t="s">
        <v>266</v>
      </c>
      <c r="E5" s="1916"/>
    </row>
    <row r="6" spans="1:15" s="32" customFormat="1" ht="34" customHeight="1">
      <c r="B6" s="141" t="s">
        <v>1538</v>
      </c>
      <c r="C6" s="90">
        <f>ROUND(C26,-2)</f>
        <v>2215800</v>
      </c>
      <c r="D6" s="1911" t="s">
        <v>1299</v>
      </c>
      <c r="E6" s="1912"/>
      <c r="N6" s="82"/>
    </row>
    <row r="7" spans="1:15" s="32" customFormat="1" ht="34" customHeight="1">
      <c r="B7" s="166" t="s">
        <v>146</v>
      </c>
      <c r="C7" s="97">
        <f>C20</f>
        <v>1866702</v>
      </c>
      <c r="D7" s="1913"/>
      <c r="E7" s="1914"/>
      <c r="N7" s="82"/>
    </row>
    <row r="8" spans="1:15" s="32" customFormat="1" ht="34" customHeight="1">
      <c r="B8" s="141" t="s">
        <v>1539</v>
      </c>
      <c r="C8" s="90">
        <f>ROUND(C37,-2)</f>
        <v>324300</v>
      </c>
      <c r="D8" s="1911" t="s">
        <v>1300</v>
      </c>
      <c r="E8" s="1912"/>
      <c r="N8" s="82"/>
    </row>
    <row r="9" spans="1:15" s="32" customFormat="1" ht="34" customHeight="1">
      <c r="B9" s="166" t="s">
        <v>146</v>
      </c>
      <c r="C9" s="97">
        <f>C32</f>
        <v>259476</v>
      </c>
      <c r="D9" s="1913"/>
      <c r="E9" s="1914"/>
      <c r="N9" s="82"/>
    </row>
    <row r="10" spans="1:15" s="32" customFormat="1" ht="34" customHeight="1">
      <c r="B10" s="167" t="s">
        <v>144</v>
      </c>
      <c r="C10" s="98">
        <f>C6+C8</f>
        <v>2540100</v>
      </c>
      <c r="D10" s="1913"/>
      <c r="E10" s="1914"/>
      <c r="N10" s="82"/>
    </row>
    <row r="11" spans="1:15" s="32" customFormat="1" ht="34" customHeight="1">
      <c r="B11" s="894" t="s">
        <v>661</v>
      </c>
      <c r="C11" s="895">
        <f>C9+C7</f>
        <v>2126178</v>
      </c>
      <c r="D11" s="1913"/>
      <c r="E11" s="1914"/>
      <c r="N11" s="82"/>
    </row>
    <row r="12" spans="1:15" ht="34" customHeight="1">
      <c r="B12" s="141" t="s">
        <v>1540</v>
      </c>
      <c r="C12" s="73">
        <v>12000</v>
      </c>
      <c r="D12" s="1911" t="s">
        <v>1301</v>
      </c>
      <c r="E12" s="1912"/>
      <c r="O12" s="29"/>
    </row>
    <row r="13" spans="1:15" ht="34" customHeight="1">
      <c r="B13" s="141" t="s">
        <v>1541</v>
      </c>
      <c r="C13" s="73">
        <v>2000</v>
      </c>
      <c r="D13" s="1911" t="s">
        <v>1302</v>
      </c>
      <c r="E13" s="1912"/>
      <c r="O13" s="29"/>
    </row>
    <row r="14" spans="1:15" ht="34" customHeight="1" thickBot="1">
      <c r="B14" s="1347" t="s">
        <v>145</v>
      </c>
      <c r="C14" s="1348">
        <f>SUM(C12:E13)</f>
        <v>14000</v>
      </c>
      <c r="D14" s="1909"/>
      <c r="E14" s="1910"/>
    </row>
    <row r="15" spans="1:15" ht="34" customHeight="1">
      <c r="A15"/>
      <c r="B15"/>
      <c r="C15"/>
      <c r="D15"/>
      <c r="E15"/>
    </row>
    <row r="16" spans="1:15" ht="34" customHeight="1">
      <c r="A16"/>
      <c r="B16" s="1011" t="s">
        <v>1276</v>
      </c>
      <c r="F16" s="95"/>
    </row>
    <row r="17" spans="1:12" ht="34" customHeight="1">
      <c r="A17"/>
    </row>
    <row r="18" spans="1:12" ht="34" customHeight="1" thickBot="1">
      <c r="A18"/>
      <c r="B18" s="1375" t="s">
        <v>1306</v>
      </c>
    </row>
    <row r="19" spans="1:12" ht="34" customHeight="1">
      <c r="A19"/>
      <c r="B19" s="1376" t="s">
        <v>16</v>
      </c>
      <c r="C19" s="1377" t="s">
        <v>17</v>
      </c>
      <c r="D19" s="1915" t="s">
        <v>266</v>
      </c>
      <c r="E19" s="1916"/>
      <c r="L19" s="91"/>
    </row>
    <row r="20" spans="1:12" ht="34" customHeight="1">
      <c r="A20"/>
      <c r="B20" s="1378" t="s">
        <v>133</v>
      </c>
      <c r="C20" s="53">
        <v>1866702</v>
      </c>
      <c r="D20" s="1898" t="s">
        <v>1536</v>
      </c>
      <c r="E20" s="1899"/>
      <c r="L20" s="91"/>
    </row>
    <row r="21" spans="1:12" ht="34" customHeight="1">
      <c r="A21"/>
      <c r="B21" s="1378" t="s">
        <v>134</v>
      </c>
      <c r="C21" s="53">
        <v>258596</v>
      </c>
      <c r="D21" s="1898"/>
      <c r="E21" s="1899"/>
    </row>
    <row r="22" spans="1:12" ht="34" customHeight="1">
      <c r="A22"/>
      <c r="B22" s="1378" t="s">
        <v>135</v>
      </c>
      <c r="C22" s="53">
        <v>23590</v>
      </c>
      <c r="D22" s="1898"/>
      <c r="E22" s="1899"/>
    </row>
    <row r="23" spans="1:12" ht="34" customHeight="1">
      <c r="A23"/>
      <c r="B23" s="1378" t="s">
        <v>136</v>
      </c>
      <c r="C23" s="53">
        <v>41296</v>
      </c>
      <c r="D23" s="1898"/>
      <c r="E23" s="1899"/>
    </row>
    <row r="24" spans="1:12" ht="34" customHeight="1">
      <c r="A24"/>
      <c r="B24" s="1378" t="s">
        <v>137</v>
      </c>
      <c r="C24" s="53">
        <v>19952</v>
      </c>
      <c r="D24" s="1898"/>
      <c r="E24" s="1899"/>
    </row>
    <row r="25" spans="1:12" ht="34" customHeight="1">
      <c r="A25"/>
      <c r="B25" s="1378" t="s">
        <v>138</v>
      </c>
      <c r="C25" s="53">
        <v>5650</v>
      </c>
      <c r="D25" s="1898"/>
      <c r="E25" s="1899"/>
    </row>
    <row r="26" spans="1:12" ht="34" customHeight="1">
      <c r="A26"/>
      <c r="B26" s="1379" t="s">
        <v>1303</v>
      </c>
      <c r="C26" s="54">
        <f>SUM(C20:C25)</f>
        <v>2215786</v>
      </c>
      <c r="D26" s="1898"/>
      <c r="E26" s="1899"/>
    </row>
    <row r="27" spans="1:12" ht="34" customHeight="1">
      <c r="A27"/>
      <c r="B27" s="1380" t="s">
        <v>1305</v>
      </c>
      <c r="C27" s="53">
        <v>400000</v>
      </c>
      <c r="D27" s="1917" t="s">
        <v>1331</v>
      </c>
      <c r="E27" s="1918"/>
    </row>
    <row r="28" spans="1:12" ht="34" customHeight="1" thickBot="1">
      <c r="A28"/>
      <c r="B28" s="1381" t="s">
        <v>1304</v>
      </c>
      <c r="C28" s="674">
        <f>C27*(1-30%)</f>
        <v>280000</v>
      </c>
      <c r="D28" s="1919"/>
      <c r="E28" s="1920"/>
    </row>
    <row r="29" spans="1:12" ht="34" customHeight="1">
      <c r="A29"/>
      <c r="B29" s="31"/>
    </row>
    <row r="30" spans="1:12" ht="34" customHeight="1" thickBot="1">
      <c r="A30"/>
      <c r="B30" s="1375" t="s">
        <v>1307</v>
      </c>
    </row>
    <row r="31" spans="1:12" ht="34" customHeight="1">
      <c r="A31"/>
      <c r="B31" s="1376" t="s">
        <v>16</v>
      </c>
      <c r="C31" s="1377" t="s">
        <v>17</v>
      </c>
      <c r="D31" s="1915" t="s">
        <v>266</v>
      </c>
      <c r="E31" s="1916"/>
    </row>
    <row r="32" spans="1:12" ht="34" customHeight="1">
      <c r="A32"/>
      <c r="B32" s="1378" t="s">
        <v>133</v>
      </c>
      <c r="C32" s="53">
        <f>C37-SUM(C33:C36)</f>
        <v>259476</v>
      </c>
      <c r="D32" s="1921" t="s">
        <v>1537</v>
      </c>
      <c r="E32" s="1922"/>
    </row>
    <row r="33" spans="1:5" ht="34" customHeight="1">
      <c r="A33"/>
      <c r="B33" s="1378" t="s">
        <v>134</v>
      </c>
      <c r="C33" s="53">
        <v>39983</v>
      </c>
      <c r="D33" s="1921"/>
      <c r="E33" s="1922"/>
    </row>
    <row r="34" spans="1:5" ht="34" customHeight="1">
      <c r="A34"/>
      <c r="B34" s="1378" t="s">
        <v>143</v>
      </c>
      <c r="C34" s="53">
        <v>13869</v>
      </c>
      <c r="D34" s="1921"/>
      <c r="E34" s="1922"/>
    </row>
    <row r="35" spans="1:5" ht="34" customHeight="1">
      <c r="A35"/>
      <c r="B35" s="1378" t="s">
        <v>142</v>
      </c>
      <c r="C35" s="53">
        <v>1792</v>
      </c>
      <c r="D35" s="1921"/>
      <c r="E35" s="1922"/>
    </row>
    <row r="36" spans="1:5" ht="34" customHeight="1">
      <c r="A36"/>
      <c r="B36" s="1378" t="s">
        <v>141</v>
      </c>
      <c r="C36" s="53">
        <v>9206</v>
      </c>
      <c r="D36" s="1921"/>
      <c r="E36" s="1922"/>
    </row>
    <row r="37" spans="1:5" ht="34" customHeight="1">
      <c r="A37"/>
      <c r="B37" s="1379" t="s">
        <v>1303</v>
      </c>
      <c r="C37" s="54">
        <v>324326</v>
      </c>
      <c r="D37" s="1921"/>
      <c r="E37" s="1922"/>
    </row>
    <row r="38" spans="1:5" ht="34" customHeight="1">
      <c r="A38"/>
      <c r="B38" s="1380" t="s">
        <v>1305</v>
      </c>
      <c r="C38" s="53">
        <v>63679</v>
      </c>
      <c r="D38" s="1917" t="s">
        <v>1330</v>
      </c>
      <c r="E38" s="1918"/>
    </row>
    <row r="39" spans="1:5" ht="34" customHeight="1" thickBot="1">
      <c r="A39"/>
      <c r="B39" s="1381" t="s">
        <v>1304</v>
      </c>
      <c r="C39" s="1373">
        <f>C38*(1-30%)</f>
        <v>44575.299999999996</v>
      </c>
      <c r="D39" s="1919"/>
      <c r="E39" s="1920"/>
    </row>
    <row r="40" spans="1:5" ht="34" customHeight="1">
      <c r="A40"/>
    </row>
    <row r="41" spans="1:5" ht="34" customHeight="1" thickBot="1">
      <c r="A41"/>
      <c r="B41" s="1375" t="s">
        <v>1308</v>
      </c>
    </row>
    <row r="42" spans="1:5" ht="34" customHeight="1" thickBot="1">
      <c r="B42" s="1547" t="s">
        <v>16</v>
      </c>
      <c r="C42" s="1548" t="s">
        <v>17</v>
      </c>
      <c r="D42" s="1905" t="s">
        <v>7</v>
      </c>
      <c r="E42" s="1906"/>
    </row>
    <row r="43" spans="1:5" ht="34" customHeight="1">
      <c r="B43" s="1350" t="s">
        <v>147</v>
      </c>
      <c r="C43" s="1351">
        <f>C7+C9</f>
        <v>2126178</v>
      </c>
      <c r="D43" s="1907"/>
      <c r="E43" s="1908"/>
    </row>
    <row r="44" spans="1:5" ht="34" customHeight="1">
      <c r="B44" s="141" t="s">
        <v>1414</v>
      </c>
      <c r="C44" s="110">
        <f>C6-C7+C28</f>
        <v>629098</v>
      </c>
      <c r="D44" s="1900" t="s">
        <v>1332</v>
      </c>
      <c r="E44" s="1901"/>
    </row>
    <row r="45" spans="1:5" ht="36" customHeight="1" thickBot="1">
      <c r="B45" s="1349" t="s">
        <v>1415</v>
      </c>
      <c r="C45" s="1010">
        <f>C8-C9+C39</f>
        <v>109399.29999999999</v>
      </c>
      <c r="D45" s="1896" t="s">
        <v>1332</v>
      </c>
      <c r="E45" s="1897"/>
    </row>
    <row r="102" spans="2:4">
      <c r="B102"/>
      <c r="C102"/>
      <c r="D102"/>
    </row>
    <row r="103" spans="2:4">
      <c r="B103"/>
      <c r="C103"/>
      <c r="D103"/>
    </row>
    <row r="104" spans="2:4">
      <c r="B104"/>
      <c r="C104"/>
      <c r="D104"/>
    </row>
    <row r="105" spans="2:4">
      <c r="B105"/>
      <c r="C105"/>
      <c r="D105"/>
    </row>
    <row r="106" spans="2:4">
      <c r="B106"/>
      <c r="C106"/>
      <c r="D106"/>
    </row>
    <row r="107" spans="2:4">
      <c r="B107"/>
      <c r="C107"/>
      <c r="D107"/>
    </row>
    <row r="108" spans="2:4">
      <c r="B108"/>
      <c r="C108"/>
      <c r="D108"/>
    </row>
    <row r="109" spans="2:4">
      <c r="B109"/>
      <c r="C109"/>
      <c r="D109"/>
    </row>
    <row r="110" spans="2:4">
      <c r="B110"/>
      <c r="C110"/>
      <c r="D110"/>
    </row>
    <row r="111" spans="2:4">
      <c r="B111"/>
      <c r="C111"/>
      <c r="D111"/>
    </row>
    <row r="112" spans="2:4">
      <c r="B112"/>
      <c r="C112"/>
      <c r="D112"/>
    </row>
    <row r="113" spans="2:4">
      <c r="B113"/>
      <c r="C113"/>
      <c r="D113"/>
    </row>
    <row r="114" spans="2:4">
      <c r="B114"/>
      <c r="C114"/>
      <c r="D114"/>
    </row>
    <row r="115" spans="2:4">
      <c r="B115"/>
      <c r="C115"/>
      <c r="D115"/>
    </row>
    <row r="116" spans="2:4">
      <c r="B116"/>
      <c r="C116"/>
      <c r="D116"/>
    </row>
    <row r="117" spans="2:4">
      <c r="B117"/>
      <c r="C117"/>
      <c r="D117"/>
    </row>
    <row r="118" spans="2:4">
      <c r="B118"/>
      <c r="C118"/>
      <c r="D118"/>
    </row>
    <row r="119" spans="2:4">
      <c r="B119"/>
      <c r="C119"/>
      <c r="D119"/>
    </row>
  </sheetData>
  <mergeCells count="21">
    <mergeCell ref="D19:E19"/>
    <mergeCell ref="D38:E39"/>
    <mergeCell ref="D32:E37"/>
    <mergeCell ref="D31:E31"/>
    <mergeCell ref="D27:E28"/>
    <mergeCell ref="D45:E45"/>
    <mergeCell ref="D20:E26"/>
    <mergeCell ref="D44:E44"/>
    <mergeCell ref="A1:XFD1"/>
    <mergeCell ref="D42:E42"/>
    <mergeCell ref="D43:E43"/>
    <mergeCell ref="D14:E14"/>
    <mergeCell ref="D13:E13"/>
    <mergeCell ref="D12:E12"/>
    <mergeCell ref="D10:E10"/>
    <mergeCell ref="D9:E9"/>
    <mergeCell ref="D8:E8"/>
    <mergeCell ref="D7:E7"/>
    <mergeCell ref="D6:E6"/>
    <mergeCell ref="D5:E5"/>
    <mergeCell ref="D11:E11"/>
  </mergeCells>
  <pageMargins left="0.70078740157480324" right="0.70078740157480324" top="0.75196850393700787" bottom="0.75196850393700787"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05E3D-A9EA-564A-9A52-3587D3AD9BEF}">
  <sheetPr>
    <tabColor theme="9"/>
  </sheetPr>
  <dimension ref="A1:AP257"/>
  <sheetViews>
    <sheetView zoomScale="50" zoomScaleNormal="44" workbookViewId="0">
      <selection activeCell="C80" sqref="C80"/>
    </sheetView>
  </sheetViews>
  <sheetFormatPr baseColWidth="10" defaultColWidth="12.6640625" defaultRowHeight="16" outlineLevelRow="1"/>
  <cols>
    <col min="1" max="1" width="12.6640625" style="32"/>
    <col min="2" max="2" width="57.83203125" style="32" customWidth="1"/>
    <col min="3" max="3" width="46.5" style="32" customWidth="1"/>
    <col min="4" max="4" width="41" style="32" customWidth="1"/>
    <col min="5" max="5" width="44.83203125" style="32" customWidth="1"/>
    <col min="6" max="14" width="41" style="32" customWidth="1"/>
    <col min="15" max="15" width="35.33203125" style="32" customWidth="1"/>
    <col min="16" max="16" width="26.1640625" style="32" customWidth="1"/>
    <col min="17" max="20" width="26.1640625" style="261" customWidth="1"/>
    <col min="21" max="28" width="19.83203125" style="32" customWidth="1"/>
    <col min="29" max="16384" width="12.6640625" style="32"/>
  </cols>
  <sheetData>
    <row r="1" spans="2:10" ht="36" customHeight="1" thickBot="1">
      <c r="B1" s="257"/>
      <c r="C1" s="257"/>
      <c r="D1" s="257"/>
      <c r="E1" s="257"/>
      <c r="F1" s="257"/>
      <c r="G1" s="257"/>
      <c r="H1" s="257"/>
    </row>
    <row r="2" spans="2:10" ht="36" customHeight="1" thickBot="1">
      <c r="B2" s="2083" t="s">
        <v>568</v>
      </c>
      <c r="C2" s="2084"/>
      <c r="D2" s="2085"/>
      <c r="E2" s="257"/>
      <c r="F2" s="257"/>
      <c r="G2" s="257"/>
      <c r="H2" s="257"/>
    </row>
    <row r="3" spans="2:10" ht="36" customHeight="1">
      <c r="B3" s="257"/>
      <c r="C3" s="257"/>
      <c r="D3" s="257"/>
      <c r="E3" s="257"/>
      <c r="F3" s="257"/>
      <c r="G3" s="257"/>
      <c r="H3" s="257"/>
    </row>
    <row r="4" spans="2:10" ht="36" customHeight="1" thickBot="1">
      <c r="B4" s="257"/>
      <c r="C4" s="257"/>
      <c r="D4" s="257"/>
      <c r="E4" s="257"/>
      <c r="F4" s="257"/>
      <c r="G4" s="257"/>
      <c r="H4" s="257"/>
    </row>
    <row r="5" spans="2:10" ht="36" customHeight="1" thickBot="1">
      <c r="B5" s="2155" t="s">
        <v>2</v>
      </c>
      <c r="C5" s="2156"/>
      <c r="D5" s="2157"/>
      <c r="E5" s="257"/>
      <c r="F5" s="10"/>
    </row>
    <row r="6" spans="2:10" ht="36" customHeight="1" thickBot="1">
      <c r="B6" s="666" t="s">
        <v>335</v>
      </c>
      <c r="C6" s="675">
        <f>E32</f>
        <v>428785.76071909629</v>
      </c>
      <c r="D6" s="664" t="s">
        <v>3</v>
      </c>
      <c r="E6" s="257"/>
      <c r="F6" s="10"/>
      <c r="G6"/>
      <c r="H6"/>
    </row>
    <row r="7" spans="2:10" ht="36" customHeight="1">
      <c r="B7" s="666"/>
      <c r="C7" s="2158" t="s">
        <v>566</v>
      </c>
      <c r="D7" s="2159"/>
      <c r="E7" s="2160" t="s">
        <v>567</v>
      </c>
      <c r="F7" s="2161"/>
      <c r="G7"/>
      <c r="H7"/>
    </row>
    <row r="8" spans="2:10" ht="36" customHeight="1">
      <c r="B8" s="677" t="s">
        <v>336</v>
      </c>
      <c r="C8" s="676">
        <f>I32</f>
        <v>48094.335648246335</v>
      </c>
      <c r="D8" s="258" t="s">
        <v>3</v>
      </c>
      <c r="E8" s="665">
        <f>M32</f>
        <v>86333.622881453615</v>
      </c>
      <c r="F8" s="258" t="s">
        <v>3</v>
      </c>
      <c r="G8"/>
      <c r="H8"/>
    </row>
    <row r="9" spans="2:10" ht="36" customHeight="1" thickBot="1">
      <c r="B9" s="678" t="s">
        <v>337</v>
      </c>
      <c r="C9" s="2162">
        <f>C8/C6-1</f>
        <v>-0.88783597765096112</v>
      </c>
      <c r="D9" s="2010"/>
      <c r="E9" s="2163">
        <f>E8/C6 - 1</f>
        <v>-0.79865557397086229</v>
      </c>
      <c r="F9" s="2164"/>
      <c r="G9"/>
      <c r="H9"/>
    </row>
    <row r="10" spans="2:10" ht="36" customHeight="1">
      <c r="B10" s="257"/>
      <c r="C10" s="257"/>
      <c r="D10" s="259"/>
      <c r="E10" s="259"/>
      <c r="F10" s="257"/>
      <c r="G10"/>
      <c r="H10"/>
    </row>
    <row r="11" spans="2:10" ht="36" customHeight="1">
      <c r="B11" s="257"/>
      <c r="C11" s="257"/>
      <c r="D11" s="257"/>
      <c r="E11" s="257"/>
      <c r="F11" s="257"/>
      <c r="G11" s="257"/>
      <c r="H11" s="257"/>
    </row>
    <row r="12" spans="2:10" ht="36" customHeight="1">
      <c r="B12" s="260" t="s">
        <v>338</v>
      </c>
    </row>
    <row r="13" spans="2:10" ht="36" customHeight="1" thickBot="1"/>
    <row r="14" spans="2:10" ht="36" customHeight="1" outlineLevel="1" thickBot="1">
      <c r="B14" s="424" t="s">
        <v>339</v>
      </c>
      <c r="C14" s="415" t="s">
        <v>340</v>
      </c>
      <c r="D14" s="416" t="s">
        <v>343</v>
      </c>
      <c r="E14" s="417" t="s">
        <v>341</v>
      </c>
      <c r="F14" s="418" t="s">
        <v>451</v>
      </c>
      <c r="G14" s="417" t="s">
        <v>341</v>
      </c>
      <c r="H14" s="419" t="s">
        <v>452</v>
      </c>
      <c r="I14" s="417" t="s">
        <v>341</v>
      </c>
      <c r="J14" s="420" t="s">
        <v>346</v>
      </c>
    </row>
    <row r="15" spans="2:10" ht="36" customHeight="1" outlineLevel="1"/>
    <row r="16" spans="2:10" ht="36" customHeight="1">
      <c r="B16" s="260" t="s">
        <v>342</v>
      </c>
      <c r="C16" s="257"/>
      <c r="D16" s="257"/>
      <c r="H16" s="257"/>
    </row>
    <row r="17" spans="2:18" ht="36" customHeight="1">
      <c r="B17" s="257"/>
      <c r="C17" s="257"/>
      <c r="D17" s="257"/>
      <c r="H17" s="257"/>
    </row>
    <row r="18" spans="2:18" ht="36" hidden="1" customHeight="1" outlineLevel="1" thickBot="1">
      <c r="C18"/>
      <c r="D18" s="2223">
        <v>2022</v>
      </c>
      <c r="E18" s="2224"/>
      <c r="F18" s="2224"/>
      <c r="G18" s="2225"/>
      <c r="H18" s="2223" t="s">
        <v>564</v>
      </c>
      <c r="I18" s="2224"/>
      <c r="J18" s="2224"/>
      <c r="K18" s="2225"/>
      <c r="L18" s="2223" t="s">
        <v>565</v>
      </c>
      <c r="M18" s="2224"/>
      <c r="N18" s="2224"/>
      <c r="O18" s="2225"/>
    </row>
    <row r="19" spans="2:18" ht="36" hidden="1" customHeight="1" outlineLevel="1" thickBot="1">
      <c r="C19" s="536"/>
      <c r="D19" s="642" t="s">
        <v>470</v>
      </c>
      <c r="E19" s="643" t="s">
        <v>471</v>
      </c>
      <c r="F19" s="643" t="s">
        <v>472</v>
      </c>
      <c r="G19" s="644" t="s">
        <v>473</v>
      </c>
      <c r="H19" s="642" t="s">
        <v>470</v>
      </c>
      <c r="I19" s="643" t="s">
        <v>471</v>
      </c>
      <c r="J19" s="643" t="s">
        <v>472</v>
      </c>
      <c r="K19" s="644" t="s">
        <v>473</v>
      </c>
      <c r="L19" s="642" t="s">
        <v>470</v>
      </c>
      <c r="M19" s="643" t="s">
        <v>471</v>
      </c>
      <c r="N19" s="643" t="s">
        <v>472</v>
      </c>
      <c r="O19" s="644" t="s">
        <v>473</v>
      </c>
      <c r="P19"/>
      <c r="Q19" s="1640"/>
      <c r="R19" s="1640"/>
    </row>
    <row r="20" spans="2:18" ht="36" hidden="1" customHeight="1" outlineLevel="1" thickBot="1">
      <c r="B20" s="537" t="s">
        <v>343</v>
      </c>
      <c r="C20" s="262" t="s">
        <v>343</v>
      </c>
      <c r="D20" s="645">
        <f>'3.2 - Déplacement entraînement'!D71</f>
        <v>360007.89742804418</v>
      </c>
      <c r="E20" s="646">
        <f>'3.2 - Déplacement entraînement'!E71</f>
        <v>1766124.0391329958</v>
      </c>
      <c r="F20" s="646">
        <f>'3.2 - Déplacement entraînement'!F71</f>
        <v>656309.75062630069</v>
      </c>
      <c r="G20" s="647">
        <f>'3.2 - Déplacement entraînement'!G71</f>
        <v>135547.21281265951</v>
      </c>
      <c r="H20" s="645">
        <f>D20</f>
        <v>360007.89742804418</v>
      </c>
      <c r="I20" s="646">
        <f t="shared" ref="I20:K22" si="0">E20</f>
        <v>1766124.0391329958</v>
      </c>
      <c r="J20" s="646">
        <f t="shared" si="0"/>
        <v>656309.75062630069</v>
      </c>
      <c r="K20" s="647">
        <f t="shared" si="0"/>
        <v>135547.21281265951</v>
      </c>
      <c r="L20" s="645">
        <f>H20</f>
        <v>360007.89742804418</v>
      </c>
      <c r="M20" s="646">
        <f t="shared" ref="M20:M21" si="1">I20</f>
        <v>1766124.0391329958</v>
      </c>
      <c r="N20" s="646">
        <f t="shared" ref="N20:N21" si="2">J20</f>
        <v>656309.75062630069</v>
      </c>
      <c r="O20" s="647">
        <f t="shared" ref="O20:O21" si="3">K20</f>
        <v>135547.21281265951</v>
      </c>
      <c r="P20"/>
      <c r="Q20" s="1640"/>
      <c r="R20" s="1640"/>
    </row>
    <row r="21" spans="2:18" ht="36" hidden="1" customHeight="1" outlineLevel="1">
      <c r="B21" s="2228" t="s">
        <v>344</v>
      </c>
      <c r="C21" s="540" t="s">
        <v>495</v>
      </c>
      <c r="D21" s="648">
        <f>'3.2 - Déplacement entraînement'!D72</f>
        <v>80</v>
      </c>
      <c r="E21" s="649">
        <f>'3.2 - Déplacement entraînement'!E72</f>
        <v>80</v>
      </c>
      <c r="F21" s="649">
        <f>'3.2 - Déplacement entraînement'!F72</f>
        <v>80</v>
      </c>
      <c r="G21" s="650">
        <f>'3.2 - Déplacement entraînement'!G72</f>
        <v>80</v>
      </c>
      <c r="H21" s="648">
        <f>D21</f>
        <v>80</v>
      </c>
      <c r="I21" s="649">
        <f t="shared" si="0"/>
        <v>80</v>
      </c>
      <c r="J21" s="649">
        <f t="shared" si="0"/>
        <v>80</v>
      </c>
      <c r="K21" s="650">
        <f t="shared" si="0"/>
        <v>80</v>
      </c>
      <c r="L21" s="648">
        <f>H21</f>
        <v>80</v>
      </c>
      <c r="M21" s="649">
        <f t="shared" si="1"/>
        <v>80</v>
      </c>
      <c r="N21" s="649">
        <f t="shared" si="2"/>
        <v>80</v>
      </c>
      <c r="O21" s="650">
        <f t="shared" si="3"/>
        <v>80</v>
      </c>
      <c r="P21"/>
      <c r="Q21" s="1640"/>
      <c r="R21" s="1640"/>
    </row>
    <row r="22" spans="2:18" ht="36" hidden="1" customHeight="1" outlineLevel="1" thickBot="1">
      <c r="B22" s="2229"/>
      <c r="C22" s="541" t="s">
        <v>497</v>
      </c>
      <c r="D22" s="651">
        <f>'3.2 - Déplacement entraînement'!D73</f>
        <v>11.56131529283112</v>
      </c>
      <c r="E22" s="652">
        <f>'3.2 - Déplacement entraînement'!E73</f>
        <v>17.634778227018838</v>
      </c>
      <c r="F22" s="652">
        <f>'3.2 - Déplacement entraînement'!F73</f>
        <v>27.613972735146199</v>
      </c>
      <c r="G22" s="653">
        <f>'3.2 - Déplacement entraînement'!G73</f>
        <v>45.95</v>
      </c>
      <c r="H22" s="651">
        <f>D22</f>
        <v>11.56131529283112</v>
      </c>
      <c r="I22" s="652">
        <f t="shared" si="0"/>
        <v>17.634778227018838</v>
      </c>
      <c r="J22" s="652">
        <f t="shared" si="0"/>
        <v>27.613972735146199</v>
      </c>
      <c r="K22" s="653">
        <f t="shared" si="0"/>
        <v>45.95</v>
      </c>
      <c r="L22" s="651">
        <f>D22</f>
        <v>11.56131529283112</v>
      </c>
      <c r="M22" s="652">
        <f t="shared" ref="M22:O22" si="4">E22</f>
        <v>17.634778227018838</v>
      </c>
      <c r="N22" s="652">
        <f t="shared" si="4"/>
        <v>27.613972735146199</v>
      </c>
      <c r="O22" s="653">
        <f t="shared" si="4"/>
        <v>45.95</v>
      </c>
      <c r="P22"/>
      <c r="Q22" s="1640"/>
      <c r="R22" s="1640"/>
    </row>
    <row r="23" spans="2:18" ht="36" hidden="1" customHeight="1" outlineLevel="1">
      <c r="B23" s="2226" t="s">
        <v>57</v>
      </c>
      <c r="C23" s="265" t="str">
        <f>'3.2 - Déplacement entraînement'!C74</f>
        <v>Voiture</v>
      </c>
      <c r="D23" s="654">
        <f>'3.2 - Déplacement entraînement'!D74</f>
        <v>0.5</v>
      </c>
      <c r="E23" s="655">
        <f>'3.2 - Déplacement entraînement'!E74</f>
        <v>0.70758122743682306</v>
      </c>
      <c r="F23" s="655">
        <f>'3.2 - Déplacement entraînement'!F74</f>
        <v>0.84013605442176875</v>
      </c>
      <c r="G23" s="656">
        <f>'3.2 - Déplacement entraînement'!G74</f>
        <v>0.875</v>
      </c>
      <c r="H23" s="619">
        <f>G66</f>
        <v>0.15000000000000002</v>
      </c>
      <c r="I23" s="620">
        <f t="shared" ref="I23:K23" si="5">H66</f>
        <v>0.35379061371841153</v>
      </c>
      <c r="J23" s="620">
        <f t="shared" si="5"/>
        <v>0.67210884353741507</v>
      </c>
      <c r="K23" s="621">
        <f t="shared" si="5"/>
        <v>0.70000000000000007</v>
      </c>
      <c r="L23" s="619">
        <f>G66</f>
        <v>0.15000000000000002</v>
      </c>
      <c r="M23" s="620">
        <f t="shared" ref="M23:O23" si="6">H66</f>
        <v>0.35379061371841153</v>
      </c>
      <c r="N23" s="620">
        <f t="shared" si="6"/>
        <v>0.67210884353741507</v>
      </c>
      <c r="O23" s="621">
        <f t="shared" si="6"/>
        <v>0.70000000000000007</v>
      </c>
      <c r="P23"/>
      <c r="Q23" s="1640"/>
      <c r="R23" s="1640"/>
    </row>
    <row r="24" spans="2:18" ht="36" hidden="1" customHeight="1" outlineLevel="1">
      <c r="B24" s="2227"/>
      <c r="C24" s="266" t="str">
        <f>'3.2 - Déplacement entraînement'!C75</f>
        <v>Bus</v>
      </c>
      <c r="D24" s="637">
        <f>'3.2 - Déplacement entraînement'!D75</f>
        <v>2.8571428571428571E-3</v>
      </c>
      <c r="E24" s="636">
        <f>'3.2 - Déplacement entraînement'!E75</f>
        <v>2.1660649819494584E-2</v>
      </c>
      <c r="F24" s="636">
        <f>'3.2 - Déplacement entraînement'!F75</f>
        <v>1.020408163265306E-2</v>
      </c>
      <c r="G24" s="638">
        <f>'3.2 - Déplacement entraînement'!G75</f>
        <v>4.1666666666666664E-2</v>
      </c>
      <c r="H24" s="622">
        <f>G67</f>
        <v>6.0714285714285714E-3</v>
      </c>
      <c r="I24" s="618">
        <f t="shared" ref="I24:K24" si="7">H67</f>
        <v>0.1299638989169675</v>
      </c>
      <c r="J24" s="618">
        <f t="shared" si="7"/>
        <v>6.1224489795918366E-2</v>
      </c>
      <c r="K24" s="623">
        <f t="shared" si="7"/>
        <v>4.1666666666666664E-2</v>
      </c>
      <c r="L24" s="622">
        <f t="shared" ref="L24:L26" si="8">G67</f>
        <v>6.0714285714285714E-3</v>
      </c>
      <c r="M24" s="618">
        <f t="shared" ref="M24:M26" si="9">H67</f>
        <v>0.1299638989169675</v>
      </c>
      <c r="N24" s="618">
        <f t="shared" ref="N24:N26" si="10">I67</f>
        <v>6.1224489795918366E-2</v>
      </c>
      <c r="O24" s="623">
        <f t="shared" ref="O24:O26" si="11">J67</f>
        <v>4.1666666666666664E-2</v>
      </c>
      <c r="P24"/>
      <c r="Q24" s="1640"/>
      <c r="R24" s="1640"/>
    </row>
    <row r="25" spans="2:18" ht="36" hidden="1" customHeight="1" outlineLevel="1">
      <c r="B25" s="2227"/>
      <c r="C25" s="266" t="str">
        <f>'3.2 - Déplacement entraînement'!C76</f>
        <v>Métro/tramway/TER</v>
      </c>
      <c r="D25" s="637">
        <f>'3.2 - Déplacement entraînement'!D76</f>
        <v>9.7142857142857142E-2</v>
      </c>
      <c r="E25" s="636">
        <f>'3.2 - Déplacement entraînement'!E76</f>
        <v>3.6101083032490976E-3</v>
      </c>
      <c r="F25" s="636">
        <f>'3.2 - Déplacement entraînement'!F76</f>
        <v>3.4013605442176869E-3</v>
      </c>
      <c r="G25" s="638">
        <f>'3.2 - Déplacement entraînement'!G76</f>
        <v>0</v>
      </c>
      <c r="H25" s="622">
        <f t="shared" ref="H25:K26" si="12">G68</f>
        <v>0.20353741496598635</v>
      </c>
      <c r="I25" s="618">
        <f t="shared" si="12"/>
        <v>7.5640364449028703E-3</v>
      </c>
      <c r="J25" s="618">
        <f t="shared" si="12"/>
        <v>7.1266601878846765E-3</v>
      </c>
      <c r="K25" s="623">
        <f t="shared" si="12"/>
        <v>0</v>
      </c>
      <c r="L25" s="622">
        <f t="shared" si="8"/>
        <v>0.20353741496598635</v>
      </c>
      <c r="M25" s="618">
        <f t="shared" si="9"/>
        <v>7.5640364449028703E-3</v>
      </c>
      <c r="N25" s="618">
        <f t="shared" si="10"/>
        <v>7.1266601878846765E-3</v>
      </c>
      <c r="O25" s="623">
        <f t="shared" si="11"/>
        <v>0</v>
      </c>
      <c r="P25"/>
      <c r="Q25" s="1640"/>
      <c r="R25" s="1640"/>
    </row>
    <row r="26" spans="2:18" ht="36" hidden="1" customHeight="1" outlineLevel="1" thickBot="1">
      <c r="B26" s="2227"/>
      <c r="C26" s="539" t="str">
        <f>'3.2 - Déplacement entraînement'!C77</f>
        <v>Mobilités actives (marche, vélo, etc.)</v>
      </c>
      <c r="D26" s="657">
        <f>'3.2 - Déplacement entraînement'!D77</f>
        <v>0.4</v>
      </c>
      <c r="E26" s="658">
        <f>'3.2 - Déplacement entraînement'!E77</f>
        <v>0.26714801444043323</v>
      </c>
      <c r="F26" s="658">
        <f>'3.2 - Déplacement entraînement'!F77</f>
        <v>0.14625850340136054</v>
      </c>
      <c r="G26" s="659">
        <f>'3.2 - Déplacement entraînement'!G77</f>
        <v>8.3333333333333329E-2</v>
      </c>
      <c r="H26" s="624">
        <f t="shared" si="12"/>
        <v>0.64039115646258504</v>
      </c>
      <c r="I26" s="625">
        <f t="shared" si="12"/>
        <v>0.50868145091971806</v>
      </c>
      <c r="J26" s="625">
        <f t="shared" si="12"/>
        <v>0.25954000647878195</v>
      </c>
      <c r="K26" s="626">
        <f t="shared" si="12"/>
        <v>0.2583333333333333</v>
      </c>
      <c r="L26" s="639">
        <f t="shared" si="8"/>
        <v>0.64039115646258504</v>
      </c>
      <c r="M26" s="640">
        <f t="shared" si="9"/>
        <v>0.50868145091971806</v>
      </c>
      <c r="N26" s="640">
        <f t="shared" si="10"/>
        <v>0.25954000647878195</v>
      </c>
      <c r="O26" s="641">
        <f t="shared" si="11"/>
        <v>0.2583333333333333</v>
      </c>
      <c r="P26"/>
      <c r="Q26" s="1640"/>
      <c r="R26" s="1640"/>
    </row>
    <row r="27" spans="2:18" ht="36" hidden="1" customHeight="1" outlineLevel="1">
      <c r="B27" s="2208" t="s">
        <v>346</v>
      </c>
      <c r="C27" s="265" t="s">
        <v>446</v>
      </c>
      <c r="D27" s="628">
        <f>'3.2 - Déplacement entraînement'!D78</f>
        <v>0.11612903225806451</v>
      </c>
      <c r="E27" s="629">
        <f>'3.2 - Déplacement entraînement'!E78</f>
        <v>0.11612903225806451</v>
      </c>
      <c r="F27" s="629">
        <f>'3.2 - Déplacement entraînement'!F78</f>
        <v>0.11612903225806451</v>
      </c>
      <c r="G27" s="630">
        <f>'3.2 - Déplacement entraînement'!G78</f>
        <v>0.11612903225806451</v>
      </c>
      <c r="H27" s="628">
        <f>D27*(1+$C$175)</f>
        <v>1.8959976742672E-2</v>
      </c>
      <c r="I27" s="629">
        <f>E27*(1+$C$175)</f>
        <v>1.8959976742672E-2</v>
      </c>
      <c r="J27" s="629">
        <f>F27*(1+$C$175)</f>
        <v>1.8959976742672E-2</v>
      </c>
      <c r="K27" s="660">
        <f>G27*(1+$C$175)</f>
        <v>1.8959976742672E-2</v>
      </c>
      <c r="L27" s="628">
        <f>D27*(1+$D$175)</f>
        <v>3.4910700125318085E-2</v>
      </c>
      <c r="M27" s="629">
        <f>E27*(1+$D$175)</f>
        <v>3.4910700125318085E-2</v>
      </c>
      <c r="N27" s="629">
        <f>F27*(1+$D$175)</f>
        <v>3.4910700125318085E-2</v>
      </c>
      <c r="O27" s="630">
        <f>G27*(1+$D$175)</f>
        <v>3.4910700125318085E-2</v>
      </c>
      <c r="P27"/>
      <c r="Q27" s="1640"/>
      <c r="R27" s="1640"/>
    </row>
    <row r="28" spans="2:18" ht="36" hidden="1" customHeight="1" outlineLevel="1">
      <c r="B28" s="2209"/>
      <c r="C28" s="266" t="s">
        <v>447</v>
      </c>
      <c r="D28" s="631">
        <f>'3.2 - Déplacement entraînement'!D79</f>
        <v>0.13700000000000001</v>
      </c>
      <c r="E28" s="627">
        <f>'3.2 - Déplacement entraînement'!E79</f>
        <v>0.13700000000000001</v>
      </c>
      <c r="F28" s="627">
        <f>'3.2 - Déplacement entraînement'!F79</f>
        <v>0.13700000000000001</v>
      </c>
      <c r="G28" s="632">
        <f>'3.2 - Déplacement entraînement'!G79</f>
        <v>0.13700000000000001</v>
      </c>
      <c r="H28" s="631">
        <f>D28*(1+$C$174)</f>
        <v>1.1249280000000004E-2</v>
      </c>
      <c r="I28" s="627">
        <f>E28*(1+$C$174)</f>
        <v>1.1249280000000004E-2</v>
      </c>
      <c r="J28" s="627">
        <f>F28*(1+$C$174)</f>
        <v>1.1249280000000004E-2</v>
      </c>
      <c r="K28" s="661">
        <f>G28*(1+$C$174)</f>
        <v>1.1249280000000004E-2</v>
      </c>
      <c r="L28" s="631">
        <f>D28*(1+$D$174)</f>
        <v>1.6474639999999995E-2</v>
      </c>
      <c r="M28" s="627">
        <f>E28*(1+$D$174)</f>
        <v>1.6474639999999995E-2</v>
      </c>
      <c r="N28" s="627">
        <f>F28*(1+$D$174)</f>
        <v>1.6474639999999995E-2</v>
      </c>
      <c r="O28" s="632">
        <f>G28*(1+$D$174)</f>
        <v>1.6474639999999995E-2</v>
      </c>
      <c r="P28"/>
      <c r="Q28" s="1640"/>
      <c r="R28" s="1640"/>
    </row>
    <row r="29" spans="2:18" ht="36" hidden="1" customHeight="1" outlineLevel="1">
      <c r="B29" s="2209"/>
      <c r="C29" s="266" t="s">
        <v>491</v>
      </c>
      <c r="D29" s="631">
        <f>'3.2 - Déplacement entraînement'!D80</f>
        <v>5.0299999999999997E-3</v>
      </c>
      <c r="E29" s="627">
        <f>'3.2 - Déplacement entraînement'!E80</f>
        <v>5.0299999999999997E-3</v>
      </c>
      <c r="F29" s="627">
        <f>'3.2 - Déplacement entraînement'!F80</f>
        <v>5.0299999999999997E-3</v>
      </c>
      <c r="G29" s="632">
        <f>'3.2 - Déplacement entraînement'!G80</f>
        <v>5.0299999999999997E-3</v>
      </c>
      <c r="H29" s="631">
        <f>D29*(1+$C$173)</f>
        <v>4.6147232000000003E-3</v>
      </c>
      <c r="I29" s="627">
        <f>E29*(1+$C$173)</f>
        <v>4.6147232000000003E-3</v>
      </c>
      <c r="J29" s="627">
        <f>F29*(1+$C$173)</f>
        <v>4.6147232000000003E-3</v>
      </c>
      <c r="K29" s="661">
        <f>G29*(1+$C$173)</f>
        <v>4.6147232000000003E-3</v>
      </c>
      <c r="L29" s="631">
        <f>D29*(1+$D$173)</f>
        <v>4.6147232000000003E-3</v>
      </c>
      <c r="M29" s="627">
        <f>E29*(1+$D$173)</f>
        <v>4.6147232000000003E-3</v>
      </c>
      <c r="N29" s="627">
        <f>F29*(1+$D$173)</f>
        <v>4.6147232000000003E-3</v>
      </c>
      <c r="O29" s="632">
        <f>G29*(1+$D$173)</f>
        <v>4.6147232000000003E-3</v>
      </c>
      <c r="P29"/>
      <c r="Q29" s="1640"/>
      <c r="R29" s="1640"/>
    </row>
    <row r="30" spans="2:18" ht="36" hidden="1" customHeight="1" outlineLevel="1" thickBot="1">
      <c r="B30" s="2209"/>
      <c r="C30" s="266" t="s">
        <v>448</v>
      </c>
      <c r="D30" s="633">
        <f>'3.2 - Déplacement entraînement'!D81</f>
        <v>0</v>
      </c>
      <c r="E30" s="634">
        <f>'3.2 - Déplacement entraînement'!E81</f>
        <v>0</v>
      </c>
      <c r="F30" s="634">
        <f>'3.2 - Déplacement entraînement'!F81</f>
        <v>0</v>
      </c>
      <c r="G30" s="635">
        <f>'3.2 - Déplacement entraînement'!G81</f>
        <v>0</v>
      </c>
      <c r="H30" s="633">
        <f>D30</f>
        <v>0</v>
      </c>
      <c r="I30" s="634">
        <f t="shared" ref="I30:K30" si="13">E30</f>
        <v>0</v>
      </c>
      <c r="J30" s="634">
        <f t="shared" si="13"/>
        <v>0</v>
      </c>
      <c r="K30" s="662">
        <f t="shared" si="13"/>
        <v>0</v>
      </c>
      <c r="L30" s="633">
        <f>H30</f>
        <v>0</v>
      </c>
      <c r="M30" s="634">
        <f t="shared" ref="M30" si="14">I30</f>
        <v>0</v>
      </c>
      <c r="N30" s="634">
        <f t="shared" ref="N30" si="15">J30</f>
        <v>0</v>
      </c>
      <c r="O30" s="635">
        <f t="shared" ref="O30" si="16">K30</f>
        <v>0</v>
      </c>
      <c r="P30"/>
      <c r="Q30" s="1640"/>
      <c r="R30" s="1640"/>
    </row>
    <row r="31" spans="2:18" ht="36" hidden="1" customHeight="1" outlineLevel="1" thickBot="1">
      <c r="B31" s="2165" t="s">
        <v>347</v>
      </c>
      <c r="C31" s="2210"/>
      <c r="D31" s="538">
        <f>D20*D22*D21*SUMPRODUCT(D23:D26,D27:D30)/10^3</f>
        <v>19626.962289370804</v>
      </c>
      <c r="E31" s="538">
        <f t="shared" ref="E31:G31" si="17">E20*E22*E21*SUMPRODUCT(E23:E26,E27:E30)/10^3</f>
        <v>212177.06564027924</v>
      </c>
      <c r="F31" s="538">
        <f t="shared" si="17"/>
        <v>143506.6134397969</v>
      </c>
      <c r="G31" s="538">
        <f t="shared" si="17"/>
        <v>53475.119349649343</v>
      </c>
      <c r="H31" s="538">
        <f>H20*H22*H21*SUMPRODUCT(H23:H26,H27:H30)/10^3</f>
        <v>1282.4677121395575</v>
      </c>
      <c r="I31" s="538">
        <f t="shared" ref="I31" si="18">I20*I22*I21*SUMPRODUCT(I23:I26,I27:I30)/10^3</f>
        <v>20443.135077899267</v>
      </c>
      <c r="J31" s="538">
        <f t="shared" ref="J31" si="19">J20*J22*J21*SUMPRODUCT(J23:J26,J27:J30)/10^3</f>
        <v>19522.131058541017</v>
      </c>
      <c r="K31" s="538">
        <f t="shared" ref="K31" si="20">K20*K22*K21*SUMPRODUCT(K23:K26,K27:K30)/10^3</f>
        <v>6846.6017996664987</v>
      </c>
      <c r="L31" s="538">
        <f>L20*L22*L21*SUMPRODUCT(L23:L26,L27:L30)/10^3</f>
        <v>2089.705894318648</v>
      </c>
      <c r="M31" s="538">
        <f>M20*M22*M21*SUMPRODUCT(M23:M26,M27:M30)/10^3</f>
        <v>36195.942553496541</v>
      </c>
      <c r="N31" s="538">
        <f t="shared" ref="N31:O31" si="21">N20*N22*N21*SUMPRODUCT(N23:N26,N27:N30)/10^3</f>
        <v>35529.433077815811</v>
      </c>
      <c r="O31" s="538">
        <f t="shared" si="21"/>
        <v>12518.541355822614</v>
      </c>
      <c r="P31"/>
      <c r="Q31" s="1640"/>
      <c r="R31" s="1640"/>
    </row>
    <row r="32" spans="2:18" ht="36" hidden="1" customHeight="1" outlineLevel="1" thickBot="1">
      <c r="B32"/>
      <c r="D32" s="542" t="s">
        <v>489</v>
      </c>
      <c r="E32" s="543">
        <f>SUM(D31:G31)</f>
        <v>428785.76071909629</v>
      </c>
      <c r="F32"/>
      <c r="G32"/>
      <c r="H32" s="542" t="s">
        <v>489</v>
      </c>
      <c r="I32" s="543">
        <f>SUM(H31:K31)</f>
        <v>48094.335648246335</v>
      </c>
      <c r="J32"/>
      <c r="K32"/>
      <c r="L32" s="542" t="s">
        <v>489</v>
      </c>
      <c r="M32" s="543">
        <f>SUM(L31:O31)</f>
        <v>86333.622881453615</v>
      </c>
      <c r="N32"/>
      <c r="O32"/>
      <c r="P32"/>
      <c r="Q32" s="1640"/>
      <c r="R32" s="1640"/>
    </row>
    <row r="33" spans="2:20" ht="36" hidden="1" customHeight="1" outlineLevel="1">
      <c r="C33"/>
      <c r="D33"/>
      <c r="E33"/>
      <c r="F33"/>
      <c r="G33"/>
      <c r="H33"/>
      <c r="I33"/>
      <c r="J33"/>
      <c r="K33"/>
      <c r="L33"/>
      <c r="M33"/>
      <c r="N33"/>
      <c r="O33"/>
      <c r="P33"/>
      <c r="Q33" s="1640"/>
      <c r="R33" s="1640"/>
    </row>
    <row r="34" spans="2:20" s="263" customFormat="1" ht="26" customHeight="1" collapsed="1">
      <c r="B34" s="260" t="s">
        <v>348</v>
      </c>
      <c r="J34"/>
      <c r="K34"/>
      <c r="L34"/>
      <c r="M34"/>
      <c r="N34"/>
      <c r="O34"/>
      <c r="P34"/>
      <c r="Q34" s="1640"/>
      <c r="R34" s="1640"/>
      <c r="S34" s="1091"/>
      <c r="T34" s="1091"/>
    </row>
    <row r="35" spans="2:20" s="263" customFormat="1" ht="24" customHeight="1">
      <c r="B35" s="260"/>
      <c r="J35"/>
      <c r="K35"/>
      <c r="L35"/>
      <c r="M35"/>
      <c r="N35"/>
      <c r="O35"/>
      <c r="P35"/>
      <c r="Q35" s="1640"/>
      <c r="R35" s="1640"/>
      <c r="S35" s="1091"/>
      <c r="T35" s="1091"/>
    </row>
    <row r="36" spans="2:20" s="263" customFormat="1" ht="24" customHeight="1">
      <c r="B36" s="422" t="s">
        <v>449</v>
      </c>
      <c r="Q36" s="1091"/>
      <c r="R36" s="1091"/>
      <c r="S36" s="1091"/>
      <c r="T36" s="1091"/>
    </row>
    <row r="37" spans="2:20" ht="24" customHeight="1"/>
    <row r="38" spans="2:20" ht="28" customHeight="1">
      <c r="B38" s="423" t="s">
        <v>349</v>
      </c>
    </row>
    <row r="39" spans="2:20" ht="28" customHeight="1"/>
    <row r="40" spans="2:20" ht="27" hidden="1" customHeight="1" outlineLevel="1">
      <c r="B40" s="2211" t="s">
        <v>460</v>
      </c>
      <c r="C40" s="2211"/>
      <c r="D40" s="2211"/>
      <c r="E40" s="2211"/>
    </row>
    <row r="41" spans="2:20" ht="26" hidden="1" customHeight="1" outlineLevel="1" thickBot="1">
      <c r="B41" s="50" t="s">
        <v>498</v>
      </c>
      <c r="C41" s="267"/>
      <c r="D41" s="267"/>
      <c r="E41" s="267"/>
    </row>
    <row r="42" spans="2:20" ht="30.5" hidden="1" customHeight="1" outlineLevel="1">
      <c r="B42" s="546"/>
      <c r="C42" s="825" t="s">
        <v>350</v>
      </c>
      <c r="D42" s="828" t="s">
        <v>631</v>
      </c>
      <c r="E42" s="267"/>
      <c r="H42" s="544"/>
    </row>
    <row r="43" spans="2:20" ht="23.5" hidden="1" customHeight="1" outlineLevel="1">
      <c r="B43" s="547" t="s">
        <v>345</v>
      </c>
      <c r="C43" s="826">
        <v>0.6367924528301887</v>
      </c>
      <c r="D43" s="830">
        <f>1-C43</f>
        <v>0.3632075471698113</v>
      </c>
      <c r="E43" s="267"/>
      <c r="F43" s="912"/>
    </row>
    <row r="44" spans="2:20" ht="30.5" hidden="1" customHeight="1" outlineLevel="1">
      <c r="B44" s="547" t="s">
        <v>351</v>
      </c>
      <c r="C44" s="826">
        <v>14.499999999999998</v>
      </c>
      <c r="D44" s="829">
        <f>1+C44</f>
        <v>15.499999999999998</v>
      </c>
      <c r="E44" s="267"/>
    </row>
    <row r="45" spans="2:20" ht="30.5" hidden="1" customHeight="1" outlineLevel="1">
      <c r="B45" s="547" t="s">
        <v>201</v>
      </c>
      <c r="C45" s="826">
        <v>1.125</v>
      </c>
      <c r="D45" s="829">
        <f t="shared" ref="D45:D47" si="22">1+C45</f>
        <v>2.125</v>
      </c>
      <c r="E45" s="267"/>
    </row>
    <row r="46" spans="2:20" ht="30.5" hidden="1" customHeight="1" outlineLevel="1">
      <c r="B46" s="547" t="s">
        <v>551</v>
      </c>
      <c r="C46" s="826">
        <v>1.0952380952380951</v>
      </c>
      <c r="D46" s="829">
        <f t="shared" si="22"/>
        <v>2.0952380952380949</v>
      </c>
      <c r="E46" s="267"/>
      <c r="H46" s="268"/>
    </row>
    <row r="47" spans="2:20" ht="30.5" hidden="1" customHeight="1" outlineLevel="1" thickBot="1">
      <c r="B47" s="469" t="s">
        <v>114</v>
      </c>
      <c r="C47" s="827">
        <v>1.326086956521739</v>
      </c>
      <c r="D47" s="831">
        <f t="shared" si="22"/>
        <v>2.3260869565217392</v>
      </c>
      <c r="E47" s="267"/>
      <c r="F47" s="852"/>
      <c r="G47" s="832"/>
      <c r="H47" s="268"/>
    </row>
    <row r="48" spans="2:20" ht="30.5" hidden="1" customHeight="1" outlineLevel="1">
      <c r="B48" s="2207" t="s">
        <v>677</v>
      </c>
      <c r="C48" s="2207"/>
      <c r="D48" s="2207"/>
      <c r="E48" s="2207"/>
      <c r="F48" s="2207"/>
      <c r="G48" s="833"/>
      <c r="H48" s="268"/>
    </row>
    <row r="49" spans="1:42" ht="30.5" hidden="1" customHeight="1" outlineLevel="1">
      <c r="B49" s="2207"/>
      <c r="C49" s="2207"/>
      <c r="D49" s="2207"/>
      <c r="E49" s="2207"/>
      <c r="F49" s="2207"/>
      <c r="G49" s="598"/>
      <c r="H49" s="268"/>
    </row>
    <row r="50" spans="1:42" ht="30.5" hidden="1" customHeight="1" outlineLevel="1">
      <c r="A50"/>
      <c r="B50" s="2207" t="s">
        <v>684</v>
      </c>
      <c r="C50" s="2207"/>
      <c r="D50" s="2207"/>
      <c r="E50" s="267"/>
      <c r="H50" s="268"/>
    </row>
    <row r="51" spans="1:42" ht="30" hidden="1" customHeight="1" outlineLevel="1" thickBot="1">
      <c r="A51"/>
      <c r="B51" s="2207" t="s">
        <v>683</v>
      </c>
      <c r="C51" s="2207"/>
      <c r="D51" s="2207"/>
      <c r="E51" s="267"/>
      <c r="H51" s="268"/>
    </row>
    <row r="52" spans="1:42" ht="30.5" hidden="1" customHeight="1" outlineLevel="1" thickBot="1">
      <c r="A52"/>
      <c r="B52" s="904"/>
      <c r="C52" s="2218" t="s">
        <v>350</v>
      </c>
      <c r="D52" s="2218"/>
      <c r="E52" s="2218"/>
      <c r="F52" s="2219"/>
    </row>
    <row r="53" spans="1:42" ht="30.5" hidden="1" customHeight="1" outlineLevel="1" thickBot="1">
      <c r="A53"/>
      <c r="B53" s="560" t="s">
        <v>56</v>
      </c>
      <c r="C53" s="903" t="str">
        <f>C65</f>
        <v>Communes densément peuplées</v>
      </c>
      <c r="D53" s="901" t="str">
        <f t="shared" ref="D53:F53" si="23">D65</f>
        <v>Communes de densité intermédiaire</v>
      </c>
      <c r="E53" s="901" t="str">
        <f t="shared" si="23"/>
        <v>Communes peu denses</v>
      </c>
      <c r="F53" s="902" t="str">
        <f t="shared" si="23"/>
        <v>Communes très peu denses</v>
      </c>
      <c r="H53" s="854"/>
      <c r="O53" s="856"/>
      <c r="P53" s="856"/>
      <c r="Q53" s="1754"/>
      <c r="R53" s="1754"/>
      <c r="S53" s="1754"/>
      <c r="T53" s="1754"/>
      <c r="U53" s="856"/>
      <c r="V53" s="856"/>
      <c r="W53" s="856"/>
      <c r="X53" s="856"/>
      <c r="Y53" s="856"/>
      <c r="Z53" s="856"/>
      <c r="AA53" s="856"/>
      <c r="AB53" s="856"/>
      <c r="AC53" s="856"/>
      <c r="AD53" s="856"/>
      <c r="AE53" s="856"/>
      <c r="AF53" s="856"/>
      <c r="AG53" s="856"/>
    </row>
    <row r="54" spans="1:42" ht="30.5" hidden="1" customHeight="1" outlineLevel="1">
      <c r="A54"/>
      <c r="B54" s="905" t="s">
        <v>345</v>
      </c>
      <c r="C54" s="1748">
        <f>1-70%</f>
        <v>0.30000000000000004</v>
      </c>
      <c r="D54" s="913">
        <f>1-50%</f>
        <v>0.5</v>
      </c>
      <c r="E54" s="913">
        <f>1-20%</f>
        <v>0.8</v>
      </c>
      <c r="F54" s="921">
        <f>1-20%</f>
        <v>0.8</v>
      </c>
      <c r="H54"/>
      <c r="I54"/>
      <c r="J54"/>
      <c r="K54"/>
      <c r="O54" s="854"/>
      <c r="P54" s="854"/>
      <c r="Q54" s="1755"/>
      <c r="R54" s="1755"/>
      <c r="S54" s="1755"/>
      <c r="T54" s="1755"/>
      <c r="U54" s="854"/>
      <c r="V54" s="854"/>
      <c r="W54" s="854"/>
      <c r="X54" s="854"/>
      <c r="Y54" s="854"/>
      <c r="Z54" s="854"/>
      <c r="AA54" s="854"/>
      <c r="AB54" s="854"/>
      <c r="AC54" s="854"/>
      <c r="AD54" s="854"/>
      <c r="AE54" s="854"/>
      <c r="AF54" s="854"/>
      <c r="AG54" s="598"/>
      <c r="AH54" s="854"/>
      <c r="AI54" s="854"/>
      <c r="AJ54" s="854"/>
      <c r="AK54" s="854"/>
      <c r="AL54" s="854"/>
      <c r="AM54" s="854"/>
      <c r="AN54" s="854"/>
      <c r="AO54" s="854"/>
      <c r="AP54" s="854"/>
    </row>
    <row r="55" spans="1:42" ht="30.5" hidden="1" customHeight="1" outlineLevel="1">
      <c r="A55"/>
      <c r="B55" s="906" t="s">
        <v>201</v>
      </c>
      <c r="C55" s="1749">
        <f>1+$C$45</f>
        <v>2.125</v>
      </c>
      <c r="D55" s="914">
        <f>1+500%</f>
        <v>6</v>
      </c>
      <c r="E55" s="914">
        <f>1+500%</f>
        <v>6</v>
      </c>
      <c r="F55" s="922">
        <v>1</v>
      </c>
      <c r="H55"/>
      <c r="I55"/>
      <c r="J55"/>
      <c r="K55"/>
      <c r="S55" s="1640"/>
      <c r="T55" s="1640"/>
      <c r="U55"/>
    </row>
    <row r="56" spans="1:42" ht="30.5" hidden="1" customHeight="1" outlineLevel="1">
      <c r="A56"/>
      <c r="B56" s="906" t="s">
        <v>551</v>
      </c>
      <c r="C56" s="1749">
        <f>1+$C$46</f>
        <v>2.0952380952380949</v>
      </c>
      <c r="D56" s="915">
        <f>1+$C$46</f>
        <v>2.0952380952380949</v>
      </c>
      <c r="E56" s="914">
        <f>1+$C$46</f>
        <v>2.0952380952380949</v>
      </c>
      <c r="F56" s="922">
        <f>1+$C$46</f>
        <v>2.0952380952380949</v>
      </c>
      <c r="H56"/>
      <c r="I56"/>
      <c r="J56"/>
      <c r="K56"/>
      <c r="S56" s="1640"/>
      <c r="T56" s="1640"/>
      <c r="U56"/>
      <c r="X56" s="598"/>
    </row>
    <row r="57" spans="1:42" ht="30.5" hidden="1" customHeight="1" outlineLevel="1">
      <c r="A57"/>
      <c r="B57" s="906" t="s">
        <v>351</v>
      </c>
      <c r="C57" s="1750">
        <f>G72</f>
        <v>1.6009778911564625</v>
      </c>
      <c r="D57" s="1747">
        <f>H72</f>
        <v>1.9041184041184041</v>
      </c>
      <c r="E57" s="1747">
        <f>I72</f>
        <v>1.7745293466223697</v>
      </c>
      <c r="F57" s="1751">
        <f>J72</f>
        <v>3.1</v>
      </c>
      <c r="G57" s="1753"/>
      <c r="H57"/>
      <c r="I57"/>
      <c r="J57"/>
      <c r="K57"/>
      <c r="S57" s="1640"/>
      <c r="T57" s="1640"/>
      <c r="U57"/>
    </row>
    <row r="58" spans="1:42" ht="30.5" hidden="1" customHeight="1" outlineLevel="1" thickBot="1">
      <c r="A58"/>
      <c r="B58" s="907" t="s">
        <v>114</v>
      </c>
      <c r="C58" s="1752">
        <f>1+$C$47</f>
        <v>2.3260869565217392</v>
      </c>
      <c r="D58" s="916">
        <f>1+$C$47</f>
        <v>2.3260869565217392</v>
      </c>
      <c r="E58" s="916">
        <f>1+$C$47</f>
        <v>2.3260869565217392</v>
      </c>
      <c r="F58" s="923">
        <f t="shared" ref="F58" si="24">1+$C$47</f>
        <v>2.3260869565217392</v>
      </c>
      <c r="H58"/>
      <c r="I58"/>
      <c r="J58"/>
      <c r="K58"/>
      <c r="T58" s="1640"/>
      <c r="U58"/>
    </row>
    <row r="59" spans="1:42" ht="54" hidden="1" customHeight="1" outlineLevel="1">
      <c r="A59"/>
      <c r="B59" s="908" t="s">
        <v>681</v>
      </c>
      <c r="C59" s="910" t="s">
        <v>678</v>
      </c>
      <c r="D59" s="917" t="s">
        <v>1561</v>
      </c>
      <c r="E59" s="919" t="s">
        <v>1562</v>
      </c>
      <c r="F59" s="924" t="s">
        <v>687</v>
      </c>
      <c r="G59"/>
      <c r="T59" s="1640"/>
      <c r="U59"/>
    </row>
    <row r="60" spans="1:42" ht="54" hidden="1" customHeight="1" outlineLevel="1" thickBot="1">
      <c r="A60"/>
      <c r="B60" s="909" t="s">
        <v>19</v>
      </c>
      <c r="C60" s="851" t="s">
        <v>1104</v>
      </c>
      <c r="D60" s="918" t="s">
        <v>1105</v>
      </c>
      <c r="E60" s="920" t="s">
        <v>1106</v>
      </c>
      <c r="F60" s="925" t="s">
        <v>1107</v>
      </c>
      <c r="G60"/>
      <c r="T60" s="1640"/>
      <c r="U60"/>
    </row>
    <row r="61" spans="1:42" ht="30.5" hidden="1" customHeight="1" outlineLevel="1">
      <c r="A61"/>
      <c r="B61" s="823"/>
      <c r="C61" s="823"/>
      <c r="D61" s="823"/>
      <c r="E61" s="267"/>
      <c r="H61" s="268"/>
    </row>
    <row r="62" spans="1:42" ht="36" hidden="1" customHeight="1" outlineLevel="1" thickBot="1">
      <c r="A62"/>
      <c r="B62" s="32" t="s">
        <v>682</v>
      </c>
    </row>
    <row r="63" spans="1:42" ht="31" hidden="1" customHeight="1" outlineLevel="1" thickBot="1">
      <c r="A63"/>
      <c r="B63" s="2220" t="s">
        <v>353</v>
      </c>
      <c r="C63" s="2221"/>
      <c r="D63" s="2221"/>
      <c r="E63" s="2221"/>
      <c r="F63" s="2221"/>
      <c r="G63" s="2221"/>
      <c r="H63" s="2221"/>
      <c r="I63" s="2221"/>
      <c r="J63" s="2222"/>
    </row>
    <row r="64" spans="1:42" ht="31" hidden="1" customHeight="1" outlineLevel="1" thickBot="1">
      <c r="A64"/>
      <c r="B64" s="552"/>
      <c r="C64" s="2213">
        <v>2022</v>
      </c>
      <c r="D64" s="2214"/>
      <c r="E64" s="2214"/>
      <c r="F64" s="2215"/>
      <c r="G64" s="2216">
        <v>2050</v>
      </c>
      <c r="H64" s="2214"/>
      <c r="I64" s="2214"/>
      <c r="J64" s="2217"/>
      <c r="U64" s="1746"/>
      <c r="V64" s="1746"/>
      <c r="W64" s="1746"/>
      <c r="X64" s="1746"/>
      <c r="Y64" s="1746"/>
      <c r="Z64" s="1746"/>
      <c r="AA64" s="1746"/>
      <c r="AB64" s="1746"/>
      <c r="AC64" s="1746"/>
      <c r="AD64" s="1746"/>
      <c r="AE64" s="1746"/>
      <c r="AF64" s="1746"/>
      <c r="AG64" s="1746"/>
    </row>
    <row r="65" spans="1:33" ht="36" hidden="1" customHeight="1" outlineLevel="1" thickBot="1">
      <c r="A65"/>
      <c r="B65" s="560" t="s">
        <v>56</v>
      </c>
      <c r="C65" s="837" t="str">
        <f>D19</f>
        <v>Communes densément peuplées</v>
      </c>
      <c r="D65" s="835" t="str">
        <f>E19</f>
        <v>Communes de densité intermédiaire</v>
      </c>
      <c r="E65" s="835" t="str">
        <f>F19</f>
        <v>Communes peu denses</v>
      </c>
      <c r="F65" s="838" t="str">
        <f>G19</f>
        <v>Communes très peu denses</v>
      </c>
      <c r="G65" s="834" t="str">
        <f>C65</f>
        <v>Communes densément peuplées</v>
      </c>
      <c r="H65" s="835" t="str">
        <f>D65</f>
        <v>Communes de densité intermédiaire</v>
      </c>
      <c r="I65" s="835" t="str">
        <f>E65</f>
        <v>Communes peu denses</v>
      </c>
      <c r="J65" s="836" t="str">
        <f>F65</f>
        <v>Communes très peu denses</v>
      </c>
      <c r="U65" s="1746"/>
      <c r="V65" s="1746"/>
      <c r="W65" s="1746"/>
      <c r="X65" s="1746"/>
      <c r="Y65" s="1746"/>
      <c r="Z65" s="1746"/>
      <c r="AA65" s="1746"/>
      <c r="AB65" s="1746"/>
      <c r="AC65" s="1746"/>
      <c r="AD65" s="1746"/>
      <c r="AE65" s="1746"/>
      <c r="AF65" s="1746"/>
      <c r="AG65" s="1746"/>
    </row>
    <row r="66" spans="1:33" ht="31" hidden="1" customHeight="1" outlineLevel="1">
      <c r="A66"/>
      <c r="B66" s="559" t="s">
        <v>345</v>
      </c>
      <c r="C66" s="839">
        <f t="shared" ref="C66:F69" si="25">D23</f>
        <v>0.5</v>
      </c>
      <c r="D66" s="840">
        <f t="shared" si="25"/>
        <v>0.70758122743682306</v>
      </c>
      <c r="E66" s="840">
        <f t="shared" si="25"/>
        <v>0.84013605442176875</v>
      </c>
      <c r="F66" s="841">
        <f t="shared" si="25"/>
        <v>0.875</v>
      </c>
      <c r="G66" s="845">
        <f t="shared" ref="G66:J68" si="26">C66*C54</f>
        <v>0.15000000000000002</v>
      </c>
      <c r="H66" s="842">
        <f t="shared" si="26"/>
        <v>0.35379061371841153</v>
      </c>
      <c r="I66" s="842">
        <f t="shared" si="26"/>
        <v>0.67210884353741507</v>
      </c>
      <c r="J66" s="843">
        <f t="shared" si="26"/>
        <v>0.70000000000000007</v>
      </c>
      <c r="U66" s="1746"/>
      <c r="V66" s="1746"/>
      <c r="W66" s="1746"/>
      <c r="X66" s="1746"/>
      <c r="Y66" s="1746"/>
      <c r="Z66" s="1746"/>
      <c r="AA66" s="1746"/>
      <c r="AB66" s="1746"/>
      <c r="AC66" s="1746"/>
      <c r="AD66" s="1746"/>
      <c r="AE66" s="1746"/>
      <c r="AF66" s="1746"/>
      <c r="AG66" s="1746"/>
    </row>
    <row r="67" spans="1:33" ht="31" hidden="1" customHeight="1" outlineLevel="1">
      <c r="A67"/>
      <c r="B67" s="553" t="s">
        <v>201</v>
      </c>
      <c r="C67" s="844">
        <f t="shared" si="25"/>
        <v>2.8571428571428571E-3</v>
      </c>
      <c r="D67" s="269">
        <f t="shared" si="25"/>
        <v>2.1660649819494584E-2</v>
      </c>
      <c r="E67" s="269">
        <f t="shared" si="25"/>
        <v>1.020408163265306E-2</v>
      </c>
      <c r="F67" s="555">
        <f t="shared" si="25"/>
        <v>4.1666666666666664E-2</v>
      </c>
      <c r="G67" s="557">
        <f t="shared" si="26"/>
        <v>6.0714285714285714E-3</v>
      </c>
      <c r="H67" s="545">
        <f t="shared" si="26"/>
        <v>0.1299638989169675</v>
      </c>
      <c r="I67" s="545">
        <f t="shared" si="26"/>
        <v>6.1224489795918366E-2</v>
      </c>
      <c r="J67" s="549">
        <f>F67*F55</f>
        <v>4.1666666666666664E-2</v>
      </c>
      <c r="U67" s="1746"/>
      <c r="V67" s="1746"/>
      <c r="W67" s="1746"/>
      <c r="X67" s="1746"/>
      <c r="Y67" s="1746"/>
      <c r="Z67" s="1746"/>
      <c r="AA67" s="1746"/>
      <c r="AB67" s="1746"/>
      <c r="AC67" s="1746"/>
      <c r="AD67" s="1746"/>
      <c r="AE67" s="1746"/>
      <c r="AF67" s="1746"/>
      <c r="AG67" s="1746"/>
    </row>
    <row r="68" spans="1:33" ht="31" hidden="1" customHeight="1" outlineLevel="1">
      <c r="A68"/>
      <c r="B68" s="553" t="s">
        <v>551</v>
      </c>
      <c r="C68" s="844">
        <f t="shared" si="25"/>
        <v>9.7142857142857142E-2</v>
      </c>
      <c r="D68" s="269">
        <f t="shared" si="25"/>
        <v>3.6101083032490976E-3</v>
      </c>
      <c r="E68" s="269">
        <f t="shared" si="25"/>
        <v>3.4013605442176869E-3</v>
      </c>
      <c r="F68" s="555">
        <f t="shared" si="25"/>
        <v>0</v>
      </c>
      <c r="G68" s="557">
        <f t="shared" si="26"/>
        <v>0.20353741496598635</v>
      </c>
      <c r="H68" s="545">
        <f t="shared" si="26"/>
        <v>7.5640364449028703E-3</v>
      </c>
      <c r="I68" s="545">
        <f t="shared" si="26"/>
        <v>7.1266601878846765E-3</v>
      </c>
      <c r="J68" s="549">
        <f t="shared" si="26"/>
        <v>0</v>
      </c>
      <c r="U68" s="1746"/>
      <c r="V68" s="1746"/>
      <c r="W68" s="1746"/>
      <c r="X68" s="1746"/>
      <c r="Y68" s="1746"/>
      <c r="Z68" s="1746"/>
      <c r="AA68" s="1746"/>
      <c r="AB68" s="1746"/>
      <c r="AC68" s="1746"/>
      <c r="AD68" s="1746"/>
      <c r="AE68" s="1746"/>
      <c r="AF68" s="1746"/>
      <c r="AG68" s="1746"/>
    </row>
    <row r="69" spans="1:33" ht="31" hidden="1" customHeight="1" outlineLevel="1">
      <c r="A69"/>
      <c r="B69" s="553" t="s">
        <v>450</v>
      </c>
      <c r="C69" s="844">
        <f t="shared" si="25"/>
        <v>0.4</v>
      </c>
      <c r="D69" s="269">
        <f t="shared" si="25"/>
        <v>0.26714801444043323</v>
      </c>
      <c r="E69" s="269">
        <f t="shared" si="25"/>
        <v>0.14625850340136054</v>
      </c>
      <c r="F69" s="555">
        <f t="shared" si="25"/>
        <v>8.3333333333333329E-2</v>
      </c>
      <c r="G69" s="557">
        <f>100%-SUM(G66:G68)</f>
        <v>0.64039115646258504</v>
      </c>
      <c r="H69" s="545">
        <f>100%-SUM(H66:H68)</f>
        <v>0.50868145091971806</v>
      </c>
      <c r="I69" s="545">
        <f>100%-SUM(I66:I68)</f>
        <v>0.25954000647878195</v>
      </c>
      <c r="J69" s="549">
        <f>100%-SUM(J66:J68)</f>
        <v>0.2583333333333333</v>
      </c>
      <c r="U69" s="1746"/>
      <c r="V69" s="1746"/>
      <c r="W69" s="1746"/>
      <c r="X69" s="1746"/>
      <c r="Y69" s="1746"/>
      <c r="Z69" s="1746"/>
      <c r="AA69" s="1746"/>
      <c r="AB69" s="1746"/>
      <c r="AC69" s="1746"/>
      <c r="AD69" s="1746"/>
      <c r="AE69" s="1746"/>
      <c r="AF69" s="1746"/>
      <c r="AG69" s="1746"/>
    </row>
    <row r="70" spans="1:33" ht="31" hidden="1" customHeight="1" outlineLevel="1" thickBot="1">
      <c r="A70"/>
      <c r="B70" s="554" t="s">
        <v>0</v>
      </c>
      <c r="C70" s="558">
        <f>SUM(C66:C69)</f>
        <v>1</v>
      </c>
      <c r="D70" s="550">
        <f t="shared" ref="D70:J70" si="27">SUM(D66:D69)</f>
        <v>1</v>
      </c>
      <c r="E70" s="550">
        <f t="shared" si="27"/>
        <v>1</v>
      </c>
      <c r="F70" s="556">
        <f t="shared" si="27"/>
        <v>1</v>
      </c>
      <c r="G70" s="558">
        <f>SUM(G66:G69)</f>
        <v>1</v>
      </c>
      <c r="H70" s="550">
        <f t="shared" si="27"/>
        <v>1</v>
      </c>
      <c r="I70" s="550">
        <f t="shared" si="27"/>
        <v>1</v>
      </c>
      <c r="J70" s="551">
        <f t="shared" si="27"/>
        <v>1</v>
      </c>
      <c r="L70" s="1744"/>
      <c r="M70" s="1745"/>
      <c r="N70" s="1745"/>
      <c r="O70" s="1745"/>
      <c r="P70" s="1745"/>
      <c r="Q70" s="1745"/>
      <c r="R70" s="1745"/>
      <c r="S70" s="1745"/>
      <c r="T70" s="1745"/>
      <c r="U70" s="1746"/>
      <c r="V70" s="1746"/>
      <c r="W70" s="1746"/>
      <c r="X70" s="1746"/>
      <c r="Y70" s="1746"/>
      <c r="Z70" s="1746"/>
      <c r="AA70" s="1746"/>
      <c r="AB70" s="1746"/>
      <c r="AC70" s="1746"/>
      <c r="AD70" s="1746"/>
      <c r="AE70" s="1746"/>
      <c r="AF70" s="1746"/>
      <c r="AG70" s="1746"/>
    </row>
    <row r="71" spans="1:33" ht="30" hidden="1" customHeight="1" outlineLevel="1">
      <c r="A71"/>
      <c r="C71"/>
      <c r="D71"/>
      <c r="E71"/>
      <c r="F71"/>
      <c r="G71" s="1788">
        <f>(G69-C69)/C69</f>
        <v>0.6009778911564625</v>
      </c>
      <c r="H71" s="1788">
        <f>(H69-D69)/D69</f>
        <v>0.90411840411840394</v>
      </c>
      <c r="I71" s="1788">
        <f>(I69-E69)/E69</f>
        <v>0.77452934662236961</v>
      </c>
      <c r="J71" s="1788">
        <f>(J69-F69)/F69</f>
        <v>2.1</v>
      </c>
      <c r="U71" s="1746"/>
      <c r="V71" s="1746"/>
      <c r="W71" s="1746"/>
      <c r="X71" s="1746"/>
      <c r="Y71" s="1746"/>
      <c r="Z71" s="1746"/>
      <c r="AA71" s="1746"/>
      <c r="AB71" s="1746"/>
      <c r="AC71" s="1746"/>
      <c r="AD71" s="1746"/>
      <c r="AE71" s="1746"/>
      <c r="AF71" s="1746"/>
      <c r="AG71" s="1746"/>
    </row>
    <row r="72" spans="1:33" ht="30" hidden="1" customHeight="1" outlineLevel="1">
      <c r="A72"/>
      <c r="C72"/>
      <c r="D72"/>
      <c r="E72"/>
      <c r="F72"/>
      <c r="G72" s="1789">
        <f>1+G71</f>
        <v>1.6009778911564625</v>
      </c>
      <c r="H72" s="1789">
        <f>1+H71</f>
        <v>1.9041184041184041</v>
      </c>
      <c r="I72" s="1789">
        <f>1+I71</f>
        <v>1.7745293466223697</v>
      </c>
      <c r="J72" s="1789">
        <f>1+J71</f>
        <v>3.1</v>
      </c>
      <c r="U72" s="1746"/>
      <c r="V72" s="1746"/>
      <c r="W72" s="1746"/>
      <c r="X72" s="1746"/>
      <c r="Y72" s="1746"/>
      <c r="Z72" s="1746"/>
      <c r="AA72" s="1746"/>
      <c r="AB72" s="1746"/>
      <c r="AC72" s="1746"/>
      <c r="AD72" s="1746"/>
      <c r="AE72" s="1746"/>
      <c r="AF72" s="1746"/>
      <c r="AG72" s="1746"/>
    </row>
    <row r="73" spans="1:33" ht="36" customHeight="1" collapsed="1">
      <c r="A73"/>
      <c r="B73" s="423" t="s">
        <v>507</v>
      </c>
    </row>
    <row r="74" spans="1:33" ht="36" hidden="1" customHeight="1" outlineLevel="1" thickBot="1">
      <c r="A74"/>
      <c r="B74" s="561"/>
    </row>
    <row r="75" spans="1:33" ht="36" hidden="1" customHeight="1" outlineLevel="1" thickBot="1">
      <c r="B75" s="2220" t="s">
        <v>499</v>
      </c>
      <c r="C75" s="2221"/>
      <c r="D75" s="2221"/>
      <c r="E75" s="2221"/>
      <c r="F75" s="2221"/>
      <c r="G75" s="2221"/>
      <c r="H75" s="2222"/>
    </row>
    <row r="76" spans="1:33" ht="36" hidden="1" customHeight="1" outlineLevel="1">
      <c r="B76" s="572" t="s">
        <v>16</v>
      </c>
      <c r="C76" s="573" t="s">
        <v>500</v>
      </c>
      <c r="D76" s="573" t="s">
        <v>501</v>
      </c>
      <c r="E76" s="573" t="s">
        <v>502</v>
      </c>
      <c r="F76" s="573" t="s">
        <v>503</v>
      </c>
      <c r="G76" s="573" t="s">
        <v>504</v>
      </c>
      <c r="H76" s="574" t="s">
        <v>26</v>
      </c>
    </row>
    <row r="77" spans="1:33" ht="36" hidden="1" customHeight="1" outlineLevel="1">
      <c r="B77" s="562" t="s">
        <v>446</v>
      </c>
      <c r="C77" s="563">
        <f>D27</f>
        <v>0.11612903225806451</v>
      </c>
      <c r="D77" s="564">
        <f>C77*(1+E77)</f>
        <v>1.8907717911222921E-2</v>
      </c>
      <c r="E77" s="565">
        <f>C161</f>
        <v>-0.83718354020891372</v>
      </c>
      <c r="F77" s="564">
        <f>C77*(1+G77)</f>
        <v>4.1071411912138929E-2</v>
      </c>
      <c r="G77" s="565">
        <f>I161</f>
        <v>-0.64632950853435922</v>
      </c>
      <c r="H77" s="566" t="s">
        <v>505</v>
      </c>
    </row>
    <row r="78" spans="1:33" ht="36" hidden="1" customHeight="1" outlineLevel="1">
      <c r="B78" s="562" t="s">
        <v>447</v>
      </c>
      <c r="C78" s="563">
        <f>D28</f>
        <v>0.13700000000000001</v>
      </c>
      <c r="D78" s="564">
        <f t="shared" ref="D78:D79" si="28">C78*(1+E78)</f>
        <v>1.1249280000000004E-2</v>
      </c>
      <c r="E78" s="565">
        <f>C132</f>
        <v>-0.91788846715328465</v>
      </c>
      <c r="F78" s="564">
        <f>C78*(1+G78)</f>
        <v>1.6474639999999995E-2</v>
      </c>
      <c r="G78" s="565">
        <f>I132</f>
        <v>-0.87974715328467157</v>
      </c>
      <c r="H78" s="566" t="s">
        <v>505</v>
      </c>
    </row>
    <row r="79" spans="1:33" ht="36" hidden="1" customHeight="1" outlineLevel="1" thickBot="1">
      <c r="B79" s="539" t="s">
        <v>491</v>
      </c>
      <c r="C79" s="567">
        <f>D29</f>
        <v>5.0299999999999997E-3</v>
      </c>
      <c r="D79" s="568">
        <f t="shared" si="28"/>
        <v>4.6147232000000003E-3</v>
      </c>
      <c r="E79" s="569">
        <f>C104</f>
        <v>-8.2560000000000022E-2</v>
      </c>
      <c r="F79" s="568">
        <f>C79*(1+G79)</f>
        <v>4.6147232000000003E-3</v>
      </c>
      <c r="G79" s="569">
        <f>C104</f>
        <v>-8.2560000000000022E-2</v>
      </c>
      <c r="H79" s="570" t="s">
        <v>505</v>
      </c>
    </row>
    <row r="80" spans="1:33" ht="36" customHeight="1" collapsed="1"/>
    <row r="81" spans="1:5" ht="36" customHeight="1">
      <c r="B81" s="422" t="s">
        <v>508</v>
      </c>
    </row>
    <row r="82" spans="1:5" ht="36" hidden="1" customHeight="1" outlineLevel="1">
      <c r="B82" s="561"/>
    </row>
    <row r="83" spans="1:5" ht="36" hidden="1" customHeight="1" outlineLevel="1" thickBot="1">
      <c r="A83"/>
      <c r="B83" s="423" t="s">
        <v>613</v>
      </c>
    </row>
    <row r="84" spans="1:5" ht="32" hidden="1" customHeight="1" outlineLevel="1" thickBot="1">
      <c r="A84"/>
      <c r="B84" s="571" t="s">
        <v>506</v>
      </c>
    </row>
    <row r="85" spans="1:5" ht="19" customHeight="1" collapsed="1">
      <c r="A85"/>
    </row>
    <row r="86" spans="1:5" ht="19" customHeight="1">
      <c r="A86"/>
    </row>
    <row r="87" spans="1:5" ht="19" customHeight="1"/>
    <row r="88" spans="1:5" ht="25" customHeight="1">
      <c r="B88" s="260" t="s">
        <v>509</v>
      </c>
    </row>
    <row r="89" spans="1:5" ht="19" customHeight="1" thickBot="1">
      <c r="B89" s="575"/>
    </row>
    <row r="90" spans="1:5" ht="19" customHeight="1">
      <c r="B90" s="576" t="s">
        <v>16</v>
      </c>
      <c r="C90" s="577" t="s">
        <v>17</v>
      </c>
      <c r="D90" s="577" t="s">
        <v>18</v>
      </c>
      <c r="E90" s="578" t="s">
        <v>19</v>
      </c>
    </row>
    <row r="91" spans="1:5" ht="32" customHeight="1">
      <c r="B91" s="614" t="str">
        <f t="shared" ref="B91:C93" si="29">C27</f>
        <v>Facteur d'émission voiture (kg éq. CO2/peq.km)</v>
      </c>
      <c r="C91" s="579">
        <f t="shared" si="29"/>
        <v>0.11612903225806451</v>
      </c>
      <c r="D91" s="264" t="s">
        <v>61</v>
      </c>
      <c r="E91" s="613" t="s">
        <v>510</v>
      </c>
    </row>
    <row r="92" spans="1:5" ht="32" customHeight="1">
      <c r="B92" s="614" t="str">
        <f t="shared" si="29"/>
        <v>Facteur d'émission bus (kg éq. CO2/peq.km)</v>
      </c>
      <c r="C92" s="579">
        <f t="shared" si="29"/>
        <v>0.13700000000000001</v>
      </c>
      <c r="D92" s="264" t="s">
        <v>61</v>
      </c>
      <c r="E92" s="580" t="s">
        <v>49</v>
      </c>
    </row>
    <row r="93" spans="1:5" ht="32" customHeight="1" thickBot="1">
      <c r="B93" s="615" t="str">
        <f t="shared" si="29"/>
        <v>Facteur d'émission métro/tramway/TER (kg éq. CO2/peq.km)</v>
      </c>
      <c r="C93" s="616">
        <f t="shared" si="29"/>
        <v>5.0299999999999997E-3</v>
      </c>
      <c r="D93" s="581" t="s">
        <v>61</v>
      </c>
      <c r="E93" s="582" t="s">
        <v>49</v>
      </c>
    </row>
    <row r="94" spans="1:5" ht="19" customHeight="1"/>
    <row r="95" spans="1:5" ht="19" customHeight="1"/>
    <row r="96" spans="1:5" ht="24" customHeight="1">
      <c r="A96"/>
      <c r="B96" s="260" t="s">
        <v>511</v>
      </c>
    </row>
    <row r="97" spans="1:6" ht="19" customHeight="1">
      <c r="A97"/>
    </row>
    <row r="98" spans="1:6" ht="19" customHeight="1">
      <c r="A98"/>
      <c r="B98" s="35" t="s">
        <v>553</v>
      </c>
    </row>
    <row r="99" spans="1:6" ht="19" hidden="1" customHeight="1" outlineLevel="1">
      <c r="A99"/>
    </row>
    <row r="100" spans="1:6" ht="19" hidden="1" customHeight="1" outlineLevel="1">
      <c r="A100"/>
      <c r="B100" s="583" t="s">
        <v>512</v>
      </c>
    </row>
    <row r="101" spans="1:6" ht="19" hidden="1" customHeight="1" outlineLevel="1">
      <c r="A101"/>
      <c r="B101" s="32" t="s">
        <v>552</v>
      </c>
    </row>
    <row r="102" spans="1:6" ht="19" hidden="1" customHeight="1" outlineLevel="1">
      <c r="A102"/>
      <c r="B102" s="32" t="s">
        <v>554</v>
      </c>
    </row>
    <row r="103" spans="1:6" ht="19" hidden="1" customHeight="1" outlineLevel="1" thickBot="1">
      <c r="A103"/>
      <c r="B103" s="32" t="s">
        <v>352</v>
      </c>
    </row>
    <row r="104" spans="1:6" ht="19" hidden="1" customHeight="1" outlineLevel="1" thickBot="1">
      <c r="A104"/>
      <c r="B104" s="584" t="s">
        <v>555</v>
      </c>
      <c r="C104" s="585">
        <f>-12.9%*0.8*0.8</f>
        <v>-8.2560000000000022E-2</v>
      </c>
    </row>
    <row r="105" spans="1:6" ht="19" customHeight="1" collapsed="1">
      <c r="A105"/>
    </row>
    <row r="106" spans="1:6" ht="19" customHeight="1">
      <c r="B106" s="35" t="s">
        <v>513</v>
      </c>
    </row>
    <row r="107" spans="1:6" ht="19" hidden="1" customHeight="1" outlineLevel="1"/>
    <row r="108" spans="1:6" hidden="1" outlineLevel="1">
      <c r="B108" s="2211" t="s">
        <v>514</v>
      </c>
      <c r="C108" s="2211"/>
      <c r="D108" s="2211"/>
      <c r="E108" s="2211"/>
      <c r="F108" s="2211"/>
    </row>
    <row r="109" spans="1:6" hidden="1" outlineLevel="1">
      <c r="B109" s="32" t="s">
        <v>556</v>
      </c>
      <c r="C109" s="267"/>
      <c r="D109" s="267"/>
      <c r="E109" s="267"/>
      <c r="F109" s="267"/>
    </row>
    <row r="110" spans="1:6" ht="19" hidden="1" customHeight="1" outlineLevel="1"/>
    <row r="111" spans="1:6" ht="19" hidden="1" customHeight="1" outlineLevel="1">
      <c r="B111" s="158" t="s">
        <v>557</v>
      </c>
    </row>
    <row r="112" spans="1:6" ht="19" hidden="1" customHeight="1" outlineLevel="1" thickBot="1">
      <c r="B112" s="32" t="s">
        <v>558</v>
      </c>
    </row>
    <row r="113" spans="2:10" ht="19" hidden="1" customHeight="1" outlineLevel="1">
      <c r="B113" s="272" t="s">
        <v>515</v>
      </c>
      <c r="C113" s="849">
        <v>2.1700000000000001E-2</v>
      </c>
      <c r="D113" s="586" t="s">
        <v>80</v>
      </c>
      <c r="E113" s="587" t="s">
        <v>516</v>
      </c>
    </row>
    <row r="114" spans="2:10" ht="19" hidden="1" customHeight="1" outlineLevel="1">
      <c r="B114" s="274" t="s">
        <v>517</v>
      </c>
      <c r="C114" s="617">
        <f>C92</f>
        <v>0.13700000000000001</v>
      </c>
      <c r="D114" s="264" t="s">
        <v>80</v>
      </c>
      <c r="E114" s="580" t="s">
        <v>518</v>
      </c>
    </row>
    <row r="115" spans="2:10" ht="19" hidden="1" customHeight="1" outlineLevel="1" thickBot="1">
      <c r="B115" s="277" t="s">
        <v>519</v>
      </c>
      <c r="C115" s="588">
        <f>C113/C114</f>
        <v>0.1583941605839416</v>
      </c>
      <c r="D115" s="581"/>
      <c r="E115" s="582"/>
    </row>
    <row r="116" spans="2:10" ht="19" hidden="1" customHeight="1" outlineLevel="1"/>
    <row r="117" spans="2:10" ht="19" hidden="1" customHeight="1" outlineLevel="1">
      <c r="B117" s="158" t="s">
        <v>520</v>
      </c>
    </row>
    <row r="118" spans="2:10" ht="19" hidden="1" customHeight="1" outlineLevel="1">
      <c r="F118" s="589"/>
    </row>
    <row r="119" spans="2:10" ht="19" hidden="1" customHeight="1" outlineLevel="1">
      <c r="B119" s="32" t="s">
        <v>521</v>
      </c>
      <c r="C119" s="261"/>
      <c r="D119" s="261"/>
      <c r="F119" s="589"/>
      <c r="I119" s="261"/>
      <c r="J119" s="261"/>
    </row>
    <row r="120" spans="2:10" ht="51" hidden="1" customHeight="1" outlineLevel="1">
      <c r="B120" s="2207" t="s">
        <v>522</v>
      </c>
      <c r="C120" s="2207"/>
      <c r="D120" s="2207"/>
      <c r="F120" s="589"/>
      <c r="H120" s="261"/>
      <c r="I120" s="261"/>
      <c r="J120" s="261"/>
    </row>
    <row r="121" spans="2:10" ht="19" hidden="1" customHeight="1" outlineLevel="1">
      <c r="F121" s="589"/>
    </row>
    <row r="122" spans="2:10" ht="19" hidden="1" customHeight="1" outlineLevel="1" thickBot="1">
      <c r="B122" s="32" t="s">
        <v>523</v>
      </c>
      <c r="F122" s="589"/>
    </row>
    <row r="123" spans="2:10" ht="19" hidden="1" customHeight="1" outlineLevel="1">
      <c r="B123" s="272"/>
      <c r="C123" s="590">
        <v>2016</v>
      </c>
      <c r="D123" s="273">
        <v>2030</v>
      </c>
      <c r="F123" s="589"/>
    </row>
    <row r="124" spans="2:10" ht="40" hidden="1" customHeight="1" outlineLevel="1" thickBot="1">
      <c r="B124" s="277" t="s">
        <v>524</v>
      </c>
      <c r="C124" s="846">
        <v>10</v>
      </c>
      <c r="D124" s="847">
        <v>7.2</v>
      </c>
      <c r="F124" s="589"/>
    </row>
    <row r="125" spans="2:10" ht="19" hidden="1" customHeight="1" outlineLevel="1" thickBot="1">
      <c r="B125" s="32" t="s">
        <v>525</v>
      </c>
      <c r="F125" s="589"/>
      <c r="H125" s="158" t="s">
        <v>544</v>
      </c>
    </row>
    <row r="126" spans="2:10" ht="19" hidden="1" customHeight="1" outlineLevel="1" thickBot="1">
      <c r="B126" s="584" t="s">
        <v>526</v>
      </c>
      <c r="C126" s="591">
        <f>EXP(LN(D124/C124)/(D123-C123))</f>
        <v>0.9768085763156219</v>
      </c>
      <c r="F126" s="589"/>
    </row>
    <row r="127" spans="2:10" ht="19" hidden="1" customHeight="1" outlineLevel="1" thickBot="1">
      <c r="B127" s="32" t="s">
        <v>527</v>
      </c>
      <c r="F127" s="589"/>
      <c r="H127" s="32" t="s">
        <v>545</v>
      </c>
    </row>
    <row r="128" spans="2:10" ht="19" hidden="1" customHeight="1" outlineLevel="1" thickBot="1">
      <c r="B128" s="584" t="s">
        <v>528</v>
      </c>
      <c r="C128" s="591">
        <f>C126^(2050-2022)</f>
        <v>0.51839999999999997</v>
      </c>
      <c r="F128" s="589"/>
    </row>
    <row r="129" spans="2:13" ht="19" hidden="1" customHeight="1" outlineLevel="1">
      <c r="F129" s="589"/>
    </row>
    <row r="130" spans="2:13" ht="19" hidden="1" customHeight="1" outlineLevel="1">
      <c r="B130" s="158" t="s">
        <v>529</v>
      </c>
      <c r="F130" s="589"/>
      <c r="H130" s="158" t="s">
        <v>529</v>
      </c>
    </row>
    <row r="131" spans="2:13" ht="19" hidden="1" customHeight="1" outlineLevel="1" thickBot="1">
      <c r="B131" s="32" t="s">
        <v>530</v>
      </c>
      <c r="F131" s="589"/>
      <c r="H131" s="32" t="s">
        <v>530</v>
      </c>
    </row>
    <row r="132" spans="2:13" ht="35" hidden="1" customHeight="1" outlineLevel="1" thickBot="1">
      <c r="B132" s="584" t="s">
        <v>531</v>
      </c>
      <c r="C132" s="585">
        <f>-1+C115*C128</f>
        <v>-0.91788846715328465</v>
      </c>
      <c r="F132" s="589"/>
      <c r="H132" s="584" t="s">
        <v>531</v>
      </c>
      <c r="I132" s="585">
        <f>-1+C115*(1-(1-C128)/2)</f>
        <v>-0.87974715328467157</v>
      </c>
    </row>
    <row r="133" spans="2:13" ht="19" customHeight="1" collapsed="1">
      <c r="F133" s="589"/>
    </row>
    <row r="134" spans="2:13" ht="19" customHeight="1">
      <c r="B134" s="35" t="s">
        <v>532</v>
      </c>
    </row>
    <row r="135" spans="2:13" ht="19" hidden="1" customHeight="1" outlineLevel="1"/>
    <row r="136" spans="2:13" ht="36" hidden="1" customHeight="1" outlineLevel="1">
      <c r="B136" s="2211" t="s">
        <v>514</v>
      </c>
      <c r="C136" s="2211"/>
      <c r="D136" s="2211"/>
      <c r="E136" s="2211"/>
      <c r="F136" s="2211"/>
    </row>
    <row r="137" spans="2:13" ht="19" hidden="1" customHeight="1" outlineLevel="1">
      <c r="L137"/>
    </row>
    <row r="138" spans="2:13" ht="27" hidden="1" customHeight="1" outlineLevel="1">
      <c r="B138" s="158" t="s">
        <v>533</v>
      </c>
      <c r="F138" s="589"/>
      <c r="H138"/>
      <c r="I138"/>
      <c r="J138"/>
      <c r="K138"/>
      <c r="L138"/>
    </row>
    <row r="139" spans="2:13" ht="38" hidden="1" customHeight="1" outlineLevel="1" thickBot="1">
      <c r="B139" s="32" t="s">
        <v>559</v>
      </c>
      <c r="F139" s="589"/>
      <c r="H139"/>
      <c r="I139"/>
      <c r="J139"/>
      <c r="K139"/>
      <c r="L139" s="823"/>
      <c r="M139" s="261"/>
    </row>
    <row r="140" spans="2:13" ht="38" hidden="1" customHeight="1" outlineLevel="1">
      <c r="B140" s="272" t="s">
        <v>534</v>
      </c>
      <c r="C140" s="592">
        <f>0.0953/'3.2 - Déplacement entraînement'!H99</f>
        <v>5.1236559139784942E-2</v>
      </c>
      <c r="D140" s="586" t="s">
        <v>560</v>
      </c>
      <c r="E140" s="593" t="s">
        <v>536</v>
      </c>
      <c r="F140" s="589"/>
      <c r="H140"/>
      <c r="I140"/>
      <c r="J140"/>
      <c r="K140"/>
      <c r="L140" s="823"/>
    </row>
    <row r="141" spans="2:13" ht="38" hidden="1" customHeight="1" outlineLevel="1">
      <c r="B141" s="274" t="s">
        <v>537</v>
      </c>
      <c r="C141" s="594">
        <f>$C$91</f>
        <v>0.11612903225806451</v>
      </c>
      <c r="D141" s="264" t="s">
        <v>560</v>
      </c>
      <c r="E141" s="580" t="s">
        <v>546</v>
      </c>
      <c r="F141" s="589"/>
      <c r="H141"/>
      <c r="I141"/>
      <c r="J141"/>
      <c r="K141"/>
      <c r="L141" s="823"/>
    </row>
    <row r="142" spans="2:13" ht="38" hidden="1" customHeight="1" outlineLevel="1">
      <c r="B142" s="274" t="s">
        <v>538</v>
      </c>
      <c r="C142" s="269">
        <v>1</v>
      </c>
      <c r="D142" s="264"/>
      <c r="E142" s="580"/>
      <c r="F142" s="589"/>
      <c r="H142"/>
      <c r="I142"/>
      <c r="J142"/>
      <c r="K142"/>
      <c r="L142" s="823"/>
    </row>
    <row r="143" spans="2:13" ht="38" hidden="1" customHeight="1" outlineLevel="1" thickBot="1">
      <c r="B143" s="277" t="s">
        <v>519</v>
      </c>
      <c r="C143" s="588">
        <f>C140/C141*C142</f>
        <v>0.44120370370370371</v>
      </c>
      <c r="D143" s="581"/>
      <c r="E143" s="582"/>
      <c r="F143" s="589"/>
      <c r="H143"/>
      <c r="I143"/>
      <c r="J143"/>
      <c r="K143"/>
      <c r="L143" s="823"/>
    </row>
    <row r="144" spans="2:13" ht="32" hidden="1" customHeight="1" outlineLevel="1">
      <c r="F144" s="589"/>
      <c r="H144"/>
      <c r="I144"/>
      <c r="J144"/>
      <c r="K144"/>
      <c r="L144" s="823"/>
    </row>
    <row r="145" spans="2:12" ht="32" hidden="1" customHeight="1" outlineLevel="1">
      <c r="F145" s="589"/>
      <c r="H145"/>
      <c r="I145"/>
      <c r="J145"/>
      <c r="K145"/>
      <c r="L145" s="823"/>
    </row>
    <row r="146" spans="2:12" ht="38" hidden="1" customHeight="1" outlineLevel="1">
      <c r="B146" s="158" t="s">
        <v>539</v>
      </c>
      <c r="F146" s="589"/>
      <c r="H146"/>
      <c r="I146"/>
      <c r="J146"/>
      <c r="K146"/>
      <c r="L146" s="823"/>
    </row>
    <row r="147" spans="2:12" ht="38" hidden="1" customHeight="1" outlineLevel="1">
      <c r="B147" s="158"/>
      <c r="F147" s="589"/>
      <c r="H147"/>
      <c r="I147"/>
      <c r="J147"/>
      <c r="K147"/>
      <c r="L147" s="823"/>
    </row>
    <row r="148" spans="2:12" ht="38" hidden="1" customHeight="1" outlineLevel="1" thickBot="1">
      <c r="B148" s="32" t="s">
        <v>521</v>
      </c>
      <c r="C148" s="261"/>
      <c r="D148" s="261"/>
      <c r="F148" s="589"/>
      <c r="H148"/>
      <c r="I148"/>
      <c r="J148"/>
      <c r="K148"/>
      <c r="L148" s="823"/>
    </row>
    <row r="149" spans="2:12" ht="33" hidden="1" customHeight="1" outlineLevel="1">
      <c r="B149" s="2207" t="s">
        <v>522</v>
      </c>
      <c r="C149" s="2207"/>
      <c r="D149" s="2207"/>
      <c r="F149" s="589"/>
      <c r="H149" s="272" t="s">
        <v>534</v>
      </c>
      <c r="I149" s="609">
        <f>AVERAGE(0.0953,0.139,0.103)/'3.2 - Déplacement entraînement'!H99</f>
        <v>6.0448028673835121E-2</v>
      </c>
      <c r="J149" s="586" t="s">
        <v>535</v>
      </c>
      <c r="K149" s="857" t="s">
        <v>633</v>
      </c>
      <c r="L149"/>
    </row>
    <row r="150" spans="2:12" ht="33" hidden="1" customHeight="1" outlineLevel="1">
      <c r="F150" s="589"/>
      <c r="H150" s="274" t="s">
        <v>537</v>
      </c>
      <c r="I150" s="617">
        <f>$C$91</f>
        <v>0.11612903225806451</v>
      </c>
      <c r="J150" s="264" t="s">
        <v>535</v>
      </c>
      <c r="K150" s="580" t="s">
        <v>546</v>
      </c>
      <c r="L150"/>
    </row>
    <row r="151" spans="2:12" ht="27" hidden="1" customHeight="1" outlineLevel="1" thickBot="1">
      <c r="B151" s="32" t="s">
        <v>523</v>
      </c>
      <c r="F151" s="589"/>
      <c r="H151" s="610" t="s">
        <v>547</v>
      </c>
      <c r="I151" s="848">
        <v>0.8</v>
      </c>
      <c r="J151" s="264"/>
      <c r="K151" s="580" t="s">
        <v>632</v>
      </c>
      <c r="L151"/>
    </row>
    <row r="152" spans="2:12" ht="27" hidden="1" customHeight="1" outlineLevel="1">
      <c r="B152" s="272"/>
      <c r="C152" s="590">
        <v>2016</v>
      </c>
      <c r="D152" s="273">
        <v>2030</v>
      </c>
      <c r="F152" s="589"/>
      <c r="H152" s="610" t="s">
        <v>548</v>
      </c>
      <c r="I152" s="848">
        <f>(1-I151)</f>
        <v>0.19999999999999996</v>
      </c>
      <c r="J152" s="74"/>
      <c r="K152" s="850" t="s">
        <v>632</v>
      </c>
      <c r="L152"/>
    </row>
    <row r="153" spans="2:12" ht="41" hidden="1" customHeight="1" outlineLevel="1" thickBot="1">
      <c r="B153" s="277" t="s">
        <v>540</v>
      </c>
      <c r="C153" s="595">
        <v>32.1</v>
      </c>
      <c r="D153" s="596">
        <v>19.5</v>
      </c>
      <c r="F153" s="589"/>
      <c r="H153" s="277" t="s">
        <v>549</v>
      </c>
      <c r="I153" s="612">
        <f>I149*I151+I150*I152</f>
        <v>7.1584229390681001E-2</v>
      </c>
      <c r="J153" s="581"/>
      <c r="K153" s="582"/>
      <c r="L153"/>
    </row>
    <row r="154" spans="2:12" ht="27" hidden="1" customHeight="1" outlineLevel="1" thickBot="1">
      <c r="B154" s="32" t="s">
        <v>525</v>
      </c>
      <c r="F154" s="589"/>
      <c r="L154"/>
    </row>
    <row r="155" spans="2:12" ht="27" hidden="1" customHeight="1" outlineLevel="1" thickBot="1">
      <c r="B155" s="584" t="s">
        <v>526</v>
      </c>
      <c r="C155" s="591">
        <f>EXP(LN(D153/C153)/(D152-C152))</f>
        <v>0.96502336172224368</v>
      </c>
      <c r="F155" s="589"/>
      <c r="H155" s="158" t="s">
        <v>544</v>
      </c>
      <c r="L155"/>
    </row>
    <row r="156" spans="2:12" ht="27" hidden="1" customHeight="1" outlineLevel="1" thickBot="1">
      <c r="B156" s="32" t="s">
        <v>527</v>
      </c>
      <c r="F156" s="589"/>
      <c r="H156" s="2206" t="s">
        <v>545</v>
      </c>
      <c r="I156" s="2206"/>
      <c r="J156" s="2206"/>
      <c r="K156" s="2206"/>
      <c r="L156"/>
    </row>
    <row r="157" spans="2:12" ht="27" hidden="1" customHeight="1" outlineLevel="1" thickBot="1">
      <c r="B157" s="584" t="s">
        <v>528</v>
      </c>
      <c r="C157" s="591">
        <f>C155^(2050-2022)</f>
        <v>0.36902786269543159</v>
      </c>
      <c r="F157" s="589"/>
      <c r="H157" s="584" t="s">
        <v>528</v>
      </c>
      <c r="I157" s="591">
        <f>(1-(1-C157)/2)</f>
        <v>0.68451393134771576</v>
      </c>
      <c r="L157"/>
    </row>
    <row r="158" spans="2:12" ht="27" hidden="1" customHeight="1" outlineLevel="1">
      <c r="F158" s="597"/>
      <c r="L158"/>
    </row>
    <row r="159" spans="2:12" ht="27" hidden="1" customHeight="1" outlineLevel="1">
      <c r="B159" s="158" t="s">
        <v>529</v>
      </c>
      <c r="F159" s="589"/>
      <c r="H159" s="158" t="s">
        <v>529</v>
      </c>
      <c r="L159"/>
    </row>
    <row r="160" spans="2:12" ht="27" hidden="1" customHeight="1" outlineLevel="1" thickBot="1">
      <c r="B160" s="32" t="s">
        <v>530</v>
      </c>
      <c r="F160" s="589"/>
      <c r="H160" s="32" t="s">
        <v>530</v>
      </c>
      <c r="L160"/>
    </row>
    <row r="161" spans="2:12" ht="27" hidden="1" customHeight="1" outlineLevel="1" thickBot="1">
      <c r="B161" s="584" t="s">
        <v>541</v>
      </c>
      <c r="C161" s="585">
        <f>-1+C143*C157</f>
        <v>-0.83718354020891372</v>
      </c>
      <c r="D161" s="598"/>
      <c r="F161" s="589"/>
      <c r="H161" s="584" t="s">
        <v>541</v>
      </c>
      <c r="I161" s="585">
        <f>(I162-I150)/C141</f>
        <v>-0.64632950853435922</v>
      </c>
      <c r="L161"/>
    </row>
    <row r="162" spans="2:12" ht="27" hidden="1" customHeight="1" outlineLevel="1" thickBot="1">
      <c r="B162" s="584" t="s">
        <v>569</v>
      </c>
      <c r="C162" s="599">
        <f>(1+C161)*$C$92</f>
        <v>2.2305854991378823E-2</v>
      </c>
      <c r="E162" s="600"/>
      <c r="F162" s="589"/>
      <c r="H162" s="584" t="s">
        <v>550</v>
      </c>
      <c r="I162" s="599">
        <f>((I149*(C157)*I151)+(I150*I152))</f>
        <v>4.1071411912138929E-2</v>
      </c>
      <c r="J162" s="598"/>
      <c r="K162" s="598"/>
      <c r="L162"/>
    </row>
    <row r="163" spans="2:12" ht="27" hidden="1" customHeight="1" outlineLevel="1">
      <c r="C163" s="601"/>
      <c r="F163" s="589"/>
    </row>
    <row r="164" spans="2:12" ht="27" hidden="1" customHeight="1" outlineLevel="1">
      <c r="B164" s="158" t="s">
        <v>570</v>
      </c>
      <c r="F164" s="589"/>
      <c r="H164" s="158" t="s">
        <v>570</v>
      </c>
    </row>
    <row r="165" spans="2:12" ht="27" hidden="1" customHeight="1" outlineLevel="1">
      <c r="F165" s="589"/>
    </row>
    <row r="166" spans="2:12" ht="27" hidden="1" customHeight="1" outlineLevel="1">
      <c r="B166" s="271" t="s">
        <v>1434</v>
      </c>
      <c r="F166" s="589"/>
      <c r="H166" s="271" t="s">
        <v>1434</v>
      </c>
    </row>
    <row r="167" spans="2:12" ht="27" hidden="1" customHeight="1" outlineLevel="1" thickBot="1">
      <c r="F167" s="589"/>
    </row>
    <row r="168" spans="2:12" ht="27" hidden="1" customHeight="1" outlineLevel="1" thickBot="1">
      <c r="B168" s="584" t="s">
        <v>1688</v>
      </c>
      <c r="C168" s="1792">
        <f>C162*(1-15%)</f>
        <v>1.8959976742672E-2</v>
      </c>
      <c r="F168" s="589"/>
      <c r="H168" s="584" t="s">
        <v>1688</v>
      </c>
      <c r="I168" s="1792">
        <f>I162*(1-15%)</f>
        <v>3.4910700125318092E-2</v>
      </c>
    </row>
    <row r="169" spans="2:12" ht="27" customHeight="1" collapsed="1"/>
    <row r="170" spans="2:12" ht="27" customHeight="1">
      <c r="B170" s="35" t="s">
        <v>561</v>
      </c>
    </row>
    <row r="171" spans="2:12" ht="27" customHeight="1" thickBot="1"/>
    <row r="172" spans="2:12" ht="51" customHeight="1">
      <c r="B172" s="602" t="s">
        <v>354</v>
      </c>
      <c r="C172" s="603" t="s">
        <v>542</v>
      </c>
      <c r="D172" s="273" t="s">
        <v>543</v>
      </c>
    </row>
    <row r="173" spans="2:12" ht="25" customHeight="1">
      <c r="B173" s="604" t="s">
        <v>562</v>
      </c>
      <c r="C173" s="605">
        <f>C104</f>
        <v>-8.2560000000000022E-2</v>
      </c>
      <c r="D173" s="275">
        <f>C173</f>
        <v>-8.2560000000000022E-2</v>
      </c>
    </row>
    <row r="174" spans="2:12" ht="25" customHeight="1">
      <c r="B174" s="604" t="s">
        <v>563</v>
      </c>
      <c r="C174" s="606">
        <f>C132</f>
        <v>-0.91788846715328465</v>
      </c>
      <c r="D174" s="276">
        <f>I132</f>
        <v>-0.87974715328467157</v>
      </c>
    </row>
    <row r="175" spans="2:12" ht="25" customHeight="1" thickBot="1">
      <c r="B175" s="607" t="s">
        <v>355</v>
      </c>
      <c r="C175" s="608">
        <f>(C168-$C$77)/$C$77</f>
        <v>-0.83673353360476888</v>
      </c>
      <c r="D175" s="278">
        <f>(I168-$C$77)/$C$77</f>
        <v>-0.69938008225420534</v>
      </c>
    </row>
    <row r="176" spans="2:12" ht="19" customHeight="1"/>
    <row r="177" spans="2:7" ht="19" customHeight="1"/>
    <row r="178" spans="2:7" ht="19" customHeight="1"/>
    <row r="179" spans="2:7" ht="19" customHeight="1">
      <c r="B179" s="260" t="s">
        <v>794</v>
      </c>
      <c r="C179" s="279"/>
      <c r="D179" s="832"/>
      <c r="E179" s="854"/>
      <c r="F179" s="854"/>
      <c r="G179" s="854"/>
    </row>
    <row r="180" spans="2:7" ht="19" hidden="1" customHeight="1" outlineLevel="1">
      <c r="B180" s="854"/>
      <c r="C180" s="853"/>
      <c r="D180" s="855"/>
      <c r="E180" s="832"/>
    </row>
    <row r="181" spans="2:7" ht="19" hidden="1" customHeight="1" outlineLevel="1">
      <c r="B181" s="824" t="s">
        <v>679</v>
      </c>
      <c r="C181" s="824"/>
      <c r="D181" s="824"/>
      <c r="E181" s="824"/>
      <c r="F181" s="824"/>
      <c r="G181" s="824"/>
    </row>
    <row r="182" spans="2:7" ht="19" hidden="1" customHeight="1" outlineLevel="1">
      <c r="B182" s="264"/>
      <c r="C182" s="824">
        <v>2020</v>
      </c>
      <c r="D182" s="824">
        <v>2030</v>
      </c>
      <c r="E182" s="824" t="s">
        <v>685</v>
      </c>
      <c r="F182" s="824">
        <v>2050</v>
      </c>
      <c r="G182" s="824" t="s">
        <v>685</v>
      </c>
    </row>
    <row r="183" spans="2:7" hidden="1" outlineLevel="1">
      <c r="B183" s="264" t="s">
        <v>345</v>
      </c>
      <c r="C183" s="911">
        <v>0.62</v>
      </c>
      <c r="D183" s="911">
        <v>0.55000000000000004</v>
      </c>
      <c r="E183" s="911">
        <f>(D183-C183)/C183</f>
        <v>-0.11290322580645154</v>
      </c>
      <c r="F183" s="269">
        <v>0.5</v>
      </c>
      <c r="G183" s="911">
        <f>(F183-C183)/C183</f>
        <v>-0.19354838709677419</v>
      </c>
    </row>
    <row r="184" spans="2:7" hidden="1" outlineLevel="1">
      <c r="B184" s="264" t="s">
        <v>680</v>
      </c>
      <c r="C184" s="269">
        <v>7.0000000000000007E-2</v>
      </c>
      <c r="D184" s="269">
        <v>0.09</v>
      </c>
      <c r="E184" s="911">
        <f>(D184-C184)/C184</f>
        <v>0.28571428571428553</v>
      </c>
      <c r="F184" s="911">
        <v>0.11</v>
      </c>
      <c r="G184" s="911">
        <f t="shared" ref="G184:G185" si="30">(F184-C184)/C184</f>
        <v>0.57142857142857129</v>
      </c>
    </row>
    <row r="185" spans="2:7" hidden="1" outlineLevel="1">
      <c r="B185" s="264" t="s">
        <v>467</v>
      </c>
      <c r="C185" s="269">
        <v>0.31</v>
      </c>
      <c r="D185" s="269">
        <v>0.36</v>
      </c>
      <c r="E185" s="911">
        <f>(D185-C185)/C185</f>
        <v>0.16129032258064513</v>
      </c>
      <c r="F185" s="911">
        <v>0.39</v>
      </c>
      <c r="G185" s="911">
        <f t="shared" si="30"/>
        <v>0.25806451612903231</v>
      </c>
    </row>
    <row r="186" spans="2:7" hidden="1" outlineLevel="1"/>
    <row r="187" spans="2:7" hidden="1" outlineLevel="1">
      <c r="B187" s="32" t="s">
        <v>689</v>
      </c>
    </row>
    <row r="188" spans="2:7" hidden="1" outlineLevel="1"/>
    <row r="189" spans="2:7" hidden="1" outlineLevel="1">
      <c r="B189" s="1924" t="s">
        <v>686</v>
      </c>
      <c r="C189" s="1924"/>
      <c r="D189" s="1924"/>
      <c r="E189" s="1924"/>
    </row>
    <row r="190" spans="2:7" hidden="1" outlineLevel="1">
      <c r="B190" s="264"/>
      <c r="C190" s="824">
        <v>2020</v>
      </c>
      <c r="D190" s="824">
        <v>2030</v>
      </c>
      <c r="E190" s="824" t="s">
        <v>685</v>
      </c>
    </row>
    <row r="191" spans="2:7" hidden="1" outlineLevel="1">
      <c r="B191" s="264" t="s">
        <v>345</v>
      </c>
      <c r="C191" s="911">
        <v>0.5</v>
      </c>
      <c r="D191" s="911">
        <v>0.3</v>
      </c>
      <c r="E191" s="911">
        <f>(D191-C191)/C191</f>
        <v>-0.4</v>
      </c>
    </row>
    <row r="192" spans="2:7" hidden="1" outlineLevel="1">
      <c r="B192" s="264" t="s">
        <v>680</v>
      </c>
      <c r="C192" s="269">
        <v>0.11</v>
      </c>
      <c r="D192" s="269">
        <v>0.16</v>
      </c>
      <c r="E192" s="911">
        <f>(D192-C192)/C192</f>
        <v>0.45454545454545459</v>
      </c>
    </row>
    <row r="193" spans="2:20" hidden="1" outlineLevel="1">
      <c r="B193" s="264" t="s">
        <v>467</v>
      </c>
      <c r="C193" s="269">
        <v>0.39</v>
      </c>
      <c r="D193" s="269">
        <v>0.54</v>
      </c>
      <c r="E193" s="911">
        <f>(D193-C193)/C193</f>
        <v>0.38461538461538464</v>
      </c>
    </row>
    <row r="194" spans="2:20" hidden="1" outlineLevel="1"/>
    <row r="195" spans="2:20" hidden="1" outlineLevel="1">
      <c r="B195" s="32" t="s">
        <v>688</v>
      </c>
    </row>
    <row r="196" spans="2:20" collapsed="1"/>
    <row r="197" spans="2:20" ht="25">
      <c r="B197" s="260" t="s">
        <v>1685</v>
      </c>
    </row>
    <row r="198" spans="2:20" hidden="1" outlineLevel="1"/>
    <row r="199" spans="2:20" ht="27" hidden="1" customHeight="1" outlineLevel="1">
      <c r="C199" s="1767" t="str">
        <f t="shared" ref="C199:F200" si="31">C53</f>
        <v>Communes densément peuplées</v>
      </c>
      <c r="D199" s="1767" t="str">
        <f t="shared" si="31"/>
        <v>Communes de densité intermédiaire</v>
      </c>
      <c r="E199" s="1767" t="str">
        <f t="shared" si="31"/>
        <v>Communes peu denses</v>
      </c>
      <c r="F199" s="1767" t="str">
        <f t="shared" si="31"/>
        <v>Communes très peu denses</v>
      </c>
      <c r="H199" s="2212" t="s">
        <v>1616</v>
      </c>
      <c r="I199" s="2212"/>
      <c r="J199" s="2212"/>
      <c r="K199" s="2212"/>
      <c r="L199" s="2212"/>
    </row>
    <row r="200" spans="2:20" ht="27" hidden="1" customHeight="1" outlineLevel="1">
      <c r="B200" s="1764" t="str">
        <f>B54</f>
        <v>Voiture</v>
      </c>
      <c r="C200" s="1764">
        <f t="shared" si="31"/>
        <v>0.30000000000000004</v>
      </c>
      <c r="D200" s="1764">
        <f t="shared" si="31"/>
        <v>0.5</v>
      </c>
      <c r="E200" s="1764">
        <f t="shared" si="31"/>
        <v>0.8</v>
      </c>
      <c r="F200" s="1764">
        <f t="shared" si="31"/>
        <v>0.8</v>
      </c>
      <c r="H200" s="270" t="s">
        <v>465</v>
      </c>
      <c r="I200" s="1756" t="str">
        <f t="shared" ref="I200:L205" si="32">C53</f>
        <v>Communes densément peuplées</v>
      </c>
      <c r="J200" s="1756" t="str">
        <f t="shared" si="32"/>
        <v>Communes de densité intermédiaire</v>
      </c>
      <c r="K200" s="1756" t="str">
        <f t="shared" si="32"/>
        <v>Communes peu denses</v>
      </c>
      <c r="L200" s="1756" t="str">
        <f t="shared" si="32"/>
        <v>Communes très peu denses</v>
      </c>
    </row>
    <row r="201" spans="2:20" ht="27" hidden="1" customHeight="1" outlineLevel="1">
      <c r="B201" s="1764" t="s">
        <v>1613</v>
      </c>
      <c r="C201" s="1764">
        <f t="shared" ref="C201:E202" si="33">C55</f>
        <v>2.125</v>
      </c>
      <c r="D201" s="1764">
        <f t="shared" si="33"/>
        <v>6</v>
      </c>
      <c r="E201" s="1764">
        <f t="shared" si="33"/>
        <v>6</v>
      </c>
      <c r="F201" s="1764">
        <f t="shared" ref="C201:F203" si="34">F55</f>
        <v>1</v>
      </c>
      <c r="H201" s="264" t="str">
        <f>B54</f>
        <v>Voiture</v>
      </c>
      <c r="I201" s="1757">
        <f t="shared" si="32"/>
        <v>0.30000000000000004</v>
      </c>
      <c r="J201" s="1757">
        <f t="shared" si="32"/>
        <v>0.5</v>
      </c>
      <c r="K201" s="1757">
        <f t="shared" si="32"/>
        <v>0.8</v>
      </c>
      <c r="L201" s="1757">
        <f t="shared" si="32"/>
        <v>0.8</v>
      </c>
    </row>
    <row r="202" spans="2:20" ht="27" hidden="1" customHeight="1" outlineLevel="1">
      <c r="B202" s="1764" t="str">
        <f>B56</f>
        <v>Métro/tramway/TER</v>
      </c>
      <c r="C202" s="1764">
        <f t="shared" si="33"/>
        <v>2.0952380952380949</v>
      </c>
      <c r="D202" s="1764">
        <f t="shared" si="33"/>
        <v>2.0952380952380949</v>
      </c>
      <c r="E202" s="1764">
        <f t="shared" si="33"/>
        <v>2.0952380952380949</v>
      </c>
      <c r="F202" s="1764">
        <f>F56</f>
        <v>2.0952380952380949</v>
      </c>
      <c r="H202" s="264" t="str">
        <f>B55</f>
        <v>Bus</v>
      </c>
      <c r="I202" s="1757">
        <f t="shared" si="32"/>
        <v>2.125</v>
      </c>
      <c r="J202" s="1757">
        <f t="shared" si="32"/>
        <v>6</v>
      </c>
      <c r="K202" s="1757">
        <f t="shared" si="32"/>
        <v>6</v>
      </c>
      <c r="L202" s="1757">
        <f t="shared" si="32"/>
        <v>1</v>
      </c>
    </row>
    <row r="203" spans="2:20" ht="27" hidden="1" customHeight="1" outlineLevel="1">
      <c r="B203" s="1764" t="str">
        <f>B57</f>
        <v>Mobilité douce (marche + vélo)</v>
      </c>
      <c r="C203" s="1764">
        <f t="shared" si="34"/>
        <v>1.6009778911564625</v>
      </c>
      <c r="D203" s="1764">
        <f t="shared" si="34"/>
        <v>1.9041184041184041</v>
      </c>
      <c r="E203" s="1764">
        <f t="shared" si="34"/>
        <v>1.7745293466223697</v>
      </c>
      <c r="F203" s="1764">
        <f>F57</f>
        <v>3.1</v>
      </c>
      <c r="H203" s="264" t="str">
        <f>B56</f>
        <v>Métro/tramway/TER</v>
      </c>
      <c r="I203" s="1757">
        <f t="shared" si="32"/>
        <v>2.0952380952380949</v>
      </c>
      <c r="J203" s="1757">
        <f t="shared" si="32"/>
        <v>2.0952380952380949</v>
      </c>
      <c r="K203" s="1757">
        <f t="shared" si="32"/>
        <v>2.0952380952380949</v>
      </c>
      <c r="L203" s="1757">
        <f t="shared" si="32"/>
        <v>2.0952380952380949</v>
      </c>
      <c r="Q203" s="32"/>
      <c r="R203" s="32"/>
      <c r="S203" s="32"/>
      <c r="T203" s="32"/>
    </row>
    <row r="204" spans="2:20" ht="27" hidden="1" customHeight="1" outlineLevel="1">
      <c r="B204" s="1764" t="str">
        <f>B58</f>
        <v>Train</v>
      </c>
      <c r="C204" s="1764">
        <f>C58</f>
        <v>2.3260869565217392</v>
      </c>
      <c r="D204" s="1764">
        <f>D58</f>
        <v>2.3260869565217392</v>
      </c>
      <c r="E204" s="1764">
        <f>E58</f>
        <v>2.3260869565217392</v>
      </c>
      <c r="F204" s="1764">
        <f>F58</f>
        <v>2.3260869565217392</v>
      </c>
      <c r="H204" s="264" t="s">
        <v>1617</v>
      </c>
      <c r="I204" s="1757">
        <f t="shared" si="32"/>
        <v>1.6009778911564625</v>
      </c>
      <c r="J204" s="1757">
        <f t="shared" si="32"/>
        <v>1.9041184041184041</v>
      </c>
      <c r="K204" s="1757">
        <f t="shared" si="32"/>
        <v>1.7745293466223697</v>
      </c>
      <c r="L204" s="1757">
        <f t="shared" si="32"/>
        <v>3.1</v>
      </c>
      <c r="Q204" s="32"/>
      <c r="R204" s="32"/>
      <c r="S204" s="32"/>
      <c r="T204" s="32"/>
    </row>
    <row r="205" spans="2:20" hidden="1" outlineLevel="1">
      <c r="H205" s="264" t="str">
        <f>B58</f>
        <v>Train</v>
      </c>
      <c r="I205" s="1757">
        <f t="shared" si="32"/>
        <v>2.3260869565217392</v>
      </c>
      <c r="J205" s="1757">
        <f t="shared" si="32"/>
        <v>2.3260869565217392</v>
      </c>
      <c r="K205" s="1757">
        <f t="shared" si="32"/>
        <v>2.3260869565217392</v>
      </c>
      <c r="L205" s="1757">
        <f t="shared" si="32"/>
        <v>2.3260869565217392</v>
      </c>
      <c r="Q205" s="32"/>
      <c r="R205" s="32"/>
      <c r="S205" s="32"/>
      <c r="T205" s="32"/>
    </row>
    <row r="206" spans="2:20" hidden="1" outlineLevel="1">
      <c r="Q206" s="32"/>
      <c r="R206" s="32"/>
      <c r="S206" s="32"/>
      <c r="T206" s="32"/>
    </row>
    <row r="207" spans="2:20" hidden="1" outlineLevel="1">
      <c r="Q207" s="32"/>
      <c r="R207" s="32"/>
      <c r="S207" s="32"/>
      <c r="T207" s="32"/>
    </row>
    <row r="208" spans="2:20" hidden="1" outlineLevel="1">
      <c r="Q208" s="32"/>
      <c r="R208" s="32"/>
      <c r="S208" s="32"/>
      <c r="T208" s="32"/>
    </row>
    <row r="209" spans="2:20" hidden="1" outlineLevel="1">
      <c r="B209" s="1229"/>
      <c r="C209" s="2205">
        <f>C64</f>
        <v>2022</v>
      </c>
      <c r="D209" s="2205"/>
      <c r="E209" s="2205"/>
      <c r="F209" s="2205"/>
      <c r="G209" s="2205">
        <f>G64</f>
        <v>2050</v>
      </c>
      <c r="H209" s="2205"/>
      <c r="I209" s="2205"/>
      <c r="J209" s="2205"/>
      <c r="Q209" s="32"/>
      <c r="R209" s="32"/>
      <c r="S209" s="32"/>
      <c r="T209" s="32"/>
    </row>
    <row r="210" spans="2:20" ht="17" hidden="1" outlineLevel="1">
      <c r="B210" s="1229" t="str">
        <f>B65</f>
        <v>Mode</v>
      </c>
      <c r="C210" s="1229" t="str">
        <f>C65</f>
        <v>Communes densément peuplées</v>
      </c>
      <c r="D210" s="1229" t="str">
        <f t="shared" ref="D210:F211" si="35">D65</f>
        <v>Communes de densité intermédiaire</v>
      </c>
      <c r="E210" s="1229" t="str">
        <f t="shared" si="35"/>
        <v>Communes peu denses</v>
      </c>
      <c r="F210" s="1229" t="str">
        <f t="shared" si="35"/>
        <v>Communes très peu denses</v>
      </c>
      <c r="G210" s="1229" t="str">
        <f>G65</f>
        <v>Communes densément peuplées</v>
      </c>
      <c r="H210" s="1229" t="str">
        <f t="shared" ref="H210:J211" si="36">H65</f>
        <v>Communes de densité intermédiaire</v>
      </c>
      <c r="I210" s="1229" t="str">
        <f t="shared" si="36"/>
        <v>Communes peu denses</v>
      </c>
      <c r="J210" s="1229" t="str">
        <f t="shared" si="36"/>
        <v>Communes très peu denses</v>
      </c>
    </row>
    <row r="211" spans="2:20" ht="17" hidden="1" outlineLevel="1">
      <c r="B211" s="1229" t="str">
        <f>B66</f>
        <v>Voiture</v>
      </c>
      <c r="C211" s="1790">
        <f>C66</f>
        <v>0.5</v>
      </c>
      <c r="D211" s="1790">
        <f t="shared" si="35"/>
        <v>0.70758122743682306</v>
      </c>
      <c r="E211" s="1790">
        <f t="shared" si="35"/>
        <v>0.84013605442176875</v>
      </c>
      <c r="F211" s="1790">
        <f t="shared" si="35"/>
        <v>0.875</v>
      </c>
      <c r="G211" s="1790">
        <f>G66</f>
        <v>0.15000000000000002</v>
      </c>
      <c r="H211" s="1790">
        <f t="shared" si="36"/>
        <v>0.35379061371841153</v>
      </c>
      <c r="I211" s="1790">
        <f t="shared" si="36"/>
        <v>0.67210884353741507</v>
      </c>
      <c r="J211" s="1790">
        <f t="shared" si="36"/>
        <v>0.70000000000000007</v>
      </c>
    </row>
    <row r="212" spans="2:20" ht="17" hidden="1" outlineLevel="1">
      <c r="B212" s="1229" t="s">
        <v>1615</v>
      </c>
      <c r="C212" s="1790">
        <f t="shared" ref="C212:J212" si="37">C67+C68</f>
        <v>0.1</v>
      </c>
      <c r="D212" s="1790">
        <f t="shared" si="37"/>
        <v>2.5270758122743681E-2</v>
      </c>
      <c r="E212" s="1790">
        <f t="shared" si="37"/>
        <v>1.3605442176870748E-2</v>
      </c>
      <c r="F212" s="1790">
        <f t="shared" si="37"/>
        <v>4.1666666666666664E-2</v>
      </c>
      <c r="G212" s="1790">
        <f t="shared" si="37"/>
        <v>0.20960884353741491</v>
      </c>
      <c r="H212" s="1790">
        <f t="shared" si="37"/>
        <v>0.13752793536187036</v>
      </c>
      <c r="I212" s="1790">
        <f t="shared" si="37"/>
        <v>6.8351149983803039E-2</v>
      </c>
      <c r="J212" s="1790">
        <f t="shared" si="37"/>
        <v>4.1666666666666664E-2</v>
      </c>
    </row>
    <row r="213" spans="2:20" ht="17" hidden="1" outlineLevel="1">
      <c r="B213" s="1229" t="str">
        <f t="shared" ref="B213:J213" si="38">B69</f>
        <v>Mobilités douces (marche, vélo)</v>
      </c>
      <c r="C213" s="1790">
        <f t="shared" si="38"/>
        <v>0.4</v>
      </c>
      <c r="D213" s="1790">
        <f t="shared" si="38"/>
        <v>0.26714801444043323</v>
      </c>
      <c r="E213" s="1790">
        <f t="shared" si="38"/>
        <v>0.14625850340136054</v>
      </c>
      <c r="F213" s="1790">
        <f t="shared" si="38"/>
        <v>8.3333333333333329E-2</v>
      </c>
      <c r="G213" s="1790">
        <f t="shared" si="38"/>
        <v>0.64039115646258504</v>
      </c>
      <c r="H213" s="1790">
        <f t="shared" si="38"/>
        <v>0.50868145091971806</v>
      </c>
      <c r="I213" s="1790">
        <f t="shared" si="38"/>
        <v>0.25954000647878195</v>
      </c>
      <c r="J213" s="1790">
        <f t="shared" si="38"/>
        <v>0.2583333333333333</v>
      </c>
    </row>
    <row r="214" spans="2:20" hidden="1" outlineLevel="1"/>
    <row r="215" spans="2:20" hidden="1" outlineLevel="1"/>
    <row r="216" spans="2:20" hidden="1" outlineLevel="1"/>
    <row r="217" spans="2:20" hidden="1" outlineLevel="1"/>
    <row r="218" spans="2:20" hidden="1" outlineLevel="1"/>
    <row r="219" spans="2:20" hidden="1" outlineLevel="1"/>
    <row r="220" spans="2:20" hidden="1" outlineLevel="1"/>
    <row r="221" spans="2:20" hidden="1" outlineLevel="1"/>
    <row r="222" spans="2:20" hidden="1" outlineLevel="1"/>
    <row r="223" spans="2:20" hidden="1" outlineLevel="1"/>
    <row r="224" spans="2:20" hidden="1" outlineLevel="1"/>
    <row r="225" spans="2:6" ht="17" hidden="1" outlineLevel="1" thickBot="1"/>
    <row r="226" spans="2:6" ht="28" hidden="1" customHeight="1" outlineLevel="1">
      <c r="C226" s="1782"/>
      <c r="D226" s="1783">
        <v>2020</v>
      </c>
      <c r="E226" s="1758">
        <v>2050</v>
      </c>
    </row>
    <row r="227" spans="2:6" ht="28" hidden="1" customHeight="1" outlineLevel="1">
      <c r="C227" s="1759" t="s">
        <v>1619</v>
      </c>
      <c r="D227" s="1760">
        <f>C6</f>
        <v>428785.76071909629</v>
      </c>
      <c r="E227" s="1761"/>
    </row>
    <row r="228" spans="2:6" ht="28" hidden="1" customHeight="1" outlineLevel="1">
      <c r="B228" s="1791">
        <f>E228/$D$227</f>
        <v>0.1455823626891746</v>
      </c>
      <c r="C228" s="1759" t="s">
        <v>1686</v>
      </c>
      <c r="D228" s="1760">
        <f>D20*D21*D22*(D23*D27*(1-15%)+SUMPRODUCT(D24:D26,D28:D30))/10^3
+E20*E21*E22*(E23*E27*(1-15%)+SUMPRODUCT(E24:E26,E28:E30))/10^3
+F20*F21*F22*(F23*F27*(1-15%)+SUMPRODUCT(F24:F26,F28:F30))/10^3
+G20*G21*G22*(G23*G27*(1-15%)+SUMPRODUCT(G24:G26,G28:G30))/10^3</f>
        <v>366362.11658613518</v>
      </c>
      <c r="E228" s="1761">
        <f>D227-D228</f>
        <v>62423.644132961112</v>
      </c>
    </row>
    <row r="229" spans="2:6" ht="28" hidden="1" customHeight="1" outlineLevel="1">
      <c r="B229" s="1791">
        <f t="shared" ref="B229:B230" si="39">E229/$D$227</f>
        <v>0.19512449800365367</v>
      </c>
      <c r="C229" s="1759" t="s">
        <v>1620</v>
      </c>
      <c r="D229" s="1760">
        <f>D20*D21*D22*(H23*D27*(1-15%)+SUMPRODUCT(H24:H26,D28:D30))/10^3
+E20*E21*E22*(I23*E27*(1-15%)+SUMPRODUCT(I24:I26,E28:E30))/10^3
+F20*F21*F22*(J23*F27*(1-15%)+SUMPRODUCT(J24:J26,F28:F30))/10^3
+G20*G21*G22*(K23*G27*(1-15%)+SUMPRODUCT(K24:K26,G28:G30))/10^3</f>
        <v>282695.51027470676</v>
      </c>
      <c r="E229" s="1761">
        <f>D228-D229</f>
        <v>83666.606311428419</v>
      </c>
    </row>
    <row r="230" spans="2:6" ht="28" hidden="1" customHeight="1" outlineLevel="1">
      <c r="B230" s="1791">
        <f t="shared" si="39"/>
        <v>0.4579487132780341</v>
      </c>
      <c r="C230" s="1759" t="s">
        <v>1687</v>
      </c>
      <c r="D230" s="1760">
        <f>D20*D21*D22*(L23*L27+SUMPRODUCT(L24:L26,L28:L30))/10^3
+E20*E21*E22*(M23*M27+SUMPRODUCT(M24:M26,M28:M30))/10^3
+F20*F21*F22*(N23*N27+SUMPRODUCT(N24:N26,N28:N30))/10^3
+G20*G21*G22*(O23*O27+SUMPRODUCT(O24:O26,O28:O30))/10^3</f>
        <v>86333.622881453615</v>
      </c>
      <c r="E230" s="1761">
        <f>D229-D230</f>
        <v>196361.88739325316</v>
      </c>
    </row>
    <row r="231" spans="2:6" ht="28" hidden="1" customHeight="1" outlineLevel="1" thickBot="1">
      <c r="B231" s="1791"/>
      <c r="C231" s="1762" t="s">
        <v>1621</v>
      </c>
      <c r="D231" s="1793">
        <f>D230</f>
        <v>86333.622881453615</v>
      </c>
      <c r="E231" s="1763"/>
      <c r="F231" s="82"/>
    </row>
    <row r="232" spans="2:6" hidden="1" outlineLevel="1">
      <c r="B232" s="1791"/>
    </row>
    <row r="233" spans="2:6" hidden="1" outlineLevel="1">
      <c r="B233" s="1791"/>
    </row>
    <row r="234" spans="2:6" hidden="1" outlineLevel="1"/>
    <row r="235" spans="2:6" hidden="1" outlineLevel="1"/>
    <row r="236" spans="2:6" hidden="1" outlineLevel="1"/>
    <row r="237" spans="2:6" hidden="1" outlineLevel="1"/>
    <row r="238" spans="2:6" hidden="1" outlineLevel="1"/>
    <row r="239" spans="2:6" hidden="1" outlineLevel="1"/>
    <row r="240" spans="2:6" hidden="1" outlineLevel="1"/>
    <row r="241" hidden="1" outlineLevel="1"/>
    <row r="242" hidden="1" outlineLevel="1"/>
    <row r="243" hidden="1" outlineLevel="1"/>
    <row r="244" hidden="1" outlineLevel="1"/>
    <row r="245" hidden="1" outlineLevel="1"/>
    <row r="246" hidden="1" outlineLevel="1"/>
    <row r="247" hidden="1" outlineLevel="1"/>
    <row r="248" hidden="1" outlineLevel="1"/>
    <row r="249" hidden="1" outlineLevel="1"/>
    <row r="250" hidden="1" outlineLevel="1"/>
    <row r="251" hidden="1" outlineLevel="1"/>
    <row r="252" hidden="1" outlineLevel="1"/>
    <row r="253" hidden="1" outlineLevel="1"/>
    <row r="254" hidden="1" outlineLevel="1"/>
    <row r="255" hidden="1" outlineLevel="1"/>
    <row r="256" hidden="1" outlineLevel="1"/>
    <row r="257" collapsed="1"/>
  </sheetData>
  <mergeCells count="31">
    <mergeCell ref="L18:O18"/>
    <mergeCell ref="B2:D2"/>
    <mergeCell ref="B5:D5"/>
    <mergeCell ref="C9:D9"/>
    <mergeCell ref="B23:B26"/>
    <mergeCell ref="D18:G18"/>
    <mergeCell ref="B21:B22"/>
    <mergeCell ref="C7:D7"/>
    <mergeCell ref="E7:F7"/>
    <mergeCell ref="E9:F9"/>
    <mergeCell ref="H18:K18"/>
    <mergeCell ref="B27:B30"/>
    <mergeCell ref="B31:C31"/>
    <mergeCell ref="B40:E40"/>
    <mergeCell ref="B50:D50"/>
    <mergeCell ref="H199:L199"/>
    <mergeCell ref="C64:F64"/>
    <mergeCell ref="G64:J64"/>
    <mergeCell ref="B48:F49"/>
    <mergeCell ref="C52:F52"/>
    <mergeCell ref="B63:J63"/>
    <mergeCell ref="B51:D51"/>
    <mergeCell ref="B108:F108"/>
    <mergeCell ref="B120:D120"/>
    <mergeCell ref="B136:F136"/>
    <mergeCell ref="B75:H75"/>
    <mergeCell ref="C209:F209"/>
    <mergeCell ref="G209:J209"/>
    <mergeCell ref="B189:E189"/>
    <mergeCell ref="H156:K156"/>
    <mergeCell ref="B149:D149"/>
  </mergeCells>
  <conditionalFormatting sqref="D10">
    <cfRule type="containsText" dxfId="44" priority="7" operator="containsText" text="Pas ok">
      <formula>NOT(ISERROR(SEARCH("Pas ok",D10)))</formula>
    </cfRule>
    <cfRule type="containsText" dxfId="43" priority="8" operator="containsText" text="Calcul brouillon, ordre de grandeur">
      <formula>NOT(ISERROR(SEARCH("Calcul brouillon, ordre de grandeur",D10)))</formula>
    </cfRule>
    <cfRule type="containsText" dxfId="42" priority="9" operator="containsText" text="Bon ordre de grandeur">
      <formula>NOT(ISERROR(SEARCH("Bon ordre de grandeur",D10)))</formula>
    </cfRule>
    <cfRule type="containsText" dxfId="41" priority="10" operator="containsText" text="Calcul validé">
      <formula>NOT(ISERROR(SEARCH("Calcul validé",D10)))</formula>
    </cfRule>
    <cfRule type="containsText" dxfId="40" priority="11" operator="containsText" text="Pas ok">
      <formula>NOT(ISERROR(SEARCH("Pas ok",D10)))</formula>
    </cfRule>
    <cfRule type="containsText" dxfId="39" priority="12" operator="containsText" text="Calcul brouillon, ordre de grandeur">
      <formula>NOT(ISERROR(SEARCH("Calcul brouillon, ordre de grandeur",D10)))</formula>
    </cfRule>
    <cfRule type="containsText" dxfId="38" priority="13" operator="containsText" text="Bon ordre de grandeur">
      <formula>NOT(ISERROR(SEARCH("Bon ordre de grandeur",D10)))</formula>
    </cfRule>
    <cfRule type="containsText" dxfId="37" priority="14" operator="containsText" text="Calcul validé">
      <formula>NOT(ISERROR(SEARCH("Calcul validé",D10)))</formula>
    </cfRule>
  </conditionalFormatting>
  <conditionalFormatting sqref="D10:E10">
    <cfRule type="containsText" dxfId="36" priority="15" operator="containsText" text="Calcul brouillon, odg">
      <formula>NOT(ISERROR(SEARCH("Calcul brouillon, odg",D10)))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3E93A-7888-46C0-B5D0-F5C27776C8CC}">
  <sheetPr>
    <tabColor theme="7"/>
  </sheetPr>
  <dimension ref="A1:AU460"/>
  <sheetViews>
    <sheetView zoomScale="57" zoomScaleNormal="50" workbookViewId="0">
      <selection activeCell="D20" sqref="D20"/>
    </sheetView>
  </sheetViews>
  <sheetFormatPr baseColWidth="10" defaultRowHeight="14" outlineLevelRow="2"/>
  <cols>
    <col min="1" max="1" width="10.83203125" style="5"/>
    <col min="2" max="2" width="52.5" style="5" customWidth="1"/>
    <col min="3" max="3" width="32.33203125" style="5" customWidth="1"/>
    <col min="4" max="4" width="39.5" style="5" customWidth="1"/>
    <col min="5" max="9" width="25.5" style="5" customWidth="1"/>
    <col min="10" max="10" width="39.5" style="5" customWidth="1"/>
    <col min="11" max="16" width="14.83203125" style="5" customWidth="1"/>
    <col min="17" max="17" width="13.5" style="5" customWidth="1"/>
    <col min="18" max="19" width="22.1640625" style="5" customWidth="1"/>
    <col min="20" max="20" width="26.5" style="5" customWidth="1"/>
    <col min="21" max="21" width="22.1640625" style="5" customWidth="1"/>
    <col min="22" max="31" width="15.83203125" style="5" customWidth="1"/>
    <col min="32" max="32" width="13.5" style="5" customWidth="1"/>
    <col min="33" max="16384" width="10.83203125" style="5"/>
  </cols>
  <sheetData>
    <row r="1" spans="1:11" ht="20" customHeight="1" thickBot="1"/>
    <row r="2" spans="1:11" ht="21" customHeight="1" thickBot="1">
      <c r="B2" s="1963" t="s">
        <v>1611</v>
      </c>
      <c r="C2" s="2233"/>
      <c r="D2" s="1964"/>
      <c r="E2" s="6"/>
      <c r="F2" s="6"/>
      <c r="G2" s="6"/>
      <c r="H2" s="6"/>
      <c r="I2" s="6"/>
      <c r="J2" s="6"/>
      <c r="K2" s="6"/>
    </row>
    <row r="3" spans="1:11" ht="21" customHeight="1" thickBot="1">
      <c r="B3" s="8"/>
      <c r="C3" s="8"/>
      <c r="D3" s="8"/>
      <c r="E3"/>
      <c r="F3"/>
      <c r="G3"/>
      <c r="H3"/>
      <c r="I3"/>
      <c r="J3"/>
      <c r="K3"/>
    </row>
    <row r="4" spans="1:11" ht="22" customHeight="1" thickBot="1">
      <c r="B4" s="2241" t="s">
        <v>2</v>
      </c>
      <c r="C4" s="2242"/>
      <c r="D4" s="2243"/>
      <c r="E4"/>
      <c r="F4"/>
      <c r="G4"/>
      <c r="H4"/>
      <c r="I4"/>
      <c r="J4"/>
      <c r="K4"/>
    </row>
    <row r="5" spans="1:11" ht="17">
      <c r="B5" s="169" t="s">
        <v>45</v>
      </c>
      <c r="C5" s="175">
        <f>C129</f>
        <v>387722.67612584197</v>
      </c>
      <c r="D5" s="176" t="s">
        <v>3</v>
      </c>
      <c r="E5"/>
      <c r="F5"/>
      <c r="G5"/>
      <c r="H5"/>
      <c r="I5"/>
      <c r="J5"/>
      <c r="K5"/>
    </row>
    <row r="6" spans="1:11" ht="17">
      <c r="B6" s="170" t="s">
        <v>4</v>
      </c>
      <c r="C6" s="2130" t="s">
        <v>1570</v>
      </c>
      <c r="D6" s="2131"/>
      <c r="E6"/>
      <c r="F6"/>
      <c r="G6"/>
      <c r="H6"/>
      <c r="I6"/>
      <c r="J6"/>
      <c r="K6"/>
    </row>
    <row r="7" spans="1:11" ht="18" thickBot="1">
      <c r="B7" s="171" t="s">
        <v>5</v>
      </c>
      <c r="C7" s="2244"/>
      <c r="D7" s="2245"/>
      <c r="E7"/>
      <c r="F7"/>
      <c r="G7"/>
      <c r="H7"/>
      <c r="I7"/>
      <c r="J7"/>
      <c r="K7"/>
    </row>
    <row r="8" spans="1:11" ht="22" customHeight="1" thickBot="1">
      <c r="E8" s="6"/>
    </row>
    <row r="9" spans="1:11" ht="25" customHeight="1" thickBot="1">
      <c r="B9" s="2057" t="s">
        <v>6</v>
      </c>
      <c r="C9" s="2058"/>
      <c r="D9" s="2058"/>
      <c r="E9" s="2058"/>
      <c r="F9" s="2058"/>
      <c r="G9" s="2058"/>
      <c r="H9" s="2058"/>
      <c r="I9" s="2058"/>
      <c r="J9" s="2058"/>
      <c r="K9" s="2059"/>
    </row>
    <row r="10" spans="1:11" ht="45" customHeight="1">
      <c r="A10" s="1895"/>
      <c r="B10" s="36" t="s">
        <v>7</v>
      </c>
      <c r="C10" s="2234" t="s">
        <v>1800</v>
      </c>
      <c r="D10" s="2235"/>
      <c r="E10" s="2235"/>
      <c r="F10" s="2235"/>
      <c r="G10" s="2235"/>
      <c r="H10" s="2235"/>
      <c r="I10" s="2235"/>
      <c r="J10" s="2235"/>
      <c r="K10" s="2236"/>
    </row>
    <row r="11" spans="1:11" ht="57" customHeight="1">
      <c r="A11" s="1895"/>
      <c r="B11" s="37" t="s">
        <v>8</v>
      </c>
      <c r="C11" s="2237" t="s">
        <v>1799</v>
      </c>
      <c r="D11" s="2238"/>
      <c r="E11" s="2238"/>
      <c r="F11" s="2238"/>
      <c r="G11" s="2238"/>
      <c r="H11" s="2238"/>
      <c r="I11" s="2238"/>
      <c r="J11" s="2238"/>
      <c r="K11" s="2239"/>
    </row>
    <row r="12" spans="1:11" ht="79" customHeight="1">
      <c r="A12" s="1895"/>
      <c r="B12" s="37" t="s">
        <v>9</v>
      </c>
      <c r="C12" s="2240" t="s">
        <v>1796</v>
      </c>
      <c r="D12" s="2238"/>
      <c r="E12" s="2238"/>
      <c r="F12" s="2238"/>
      <c r="G12" s="2238"/>
      <c r="H12" s="2238"/>
      <c r="I12" s="2238"/>
      <c r="J12" s="2238"/>
      <c r="K12" s="2239"/>
    </row>
    <row r="13" spans="1:11" ht="23" customHeight="1">
      <c r="A13" s="1895"/>
      <c r="B13" s="37" t="s">
        <v>12</v>
      </c>
      <c r="C13" s="2249" t="s">
        <v>1797</v>
      </c>
      <c r="D13" s="2250"/>
      <c r="E13" s="2250"/>
      <c r="F13" s="2250"/>
      <c r="G13" s="2250"/>
      <c r="H13" s="2250"/>
      <c r="I13" s="2250"/>
      <c r="J13" s="2250"/>
      <c r="K13" s="2251"/>
    </row>
    <row r="14" spans="1:11" ht="24" customHeight="1" thickBot="1">
      <c r="A14" s="1895"/>
      <c r="B14" s="38" t="s">
        <v>13</v>
      </c>
      <c r="C14" s="2252" t="s">
        <v>1798</v>
      </c>
      <c r="D14" s="2253"/>
      <c r="E14" s="2253"/>
      <c r="F14" s="2253"/>
      <c r="G14" s="2253"/>
      <c r="H14" s="2253"/>
      <c r="I14" s="2253"/>
      <c r="J14" s="2253"/>
      <c r="K14" s="2254"/>
    </row>
    <row r="17" spans="2:7" ht="23">
      <c r="B17" s="378" t="s">
        <v>424</v>
      </c>
    </row>
    <row r="18" spans="2:7" ht="18">
      <c r="B18" s="11"/>
    </row>
    <row r="19" spans="2:7" s="10" customFormat="1" ht="18" customHeight="1">
      <c r="B19" s="427" t="s">
        <v>459</v>
      </c>
    </row>
    <row r="20" spans="2:7" s="10" customFormat="1" ht="18" customHeight="1">
      <c r="B20" s="35"/>
    </row>
    <row r="21" spans="2:7" s="10" customFormat="1" ht="26" customHeight="1">
      <c r="B21" s="270" t="s">
        <v>16</v>
      </c>
      <c r="C21" s="42" t="s">
        <v>466</v>
      </c>
      <c r="D21" s="42" t="s">
        <v>18</v>
      </c>
    </row>
    <row r="22" spans="2:7" s="10" customFormat="1" ht="26" customHeight="1">
      <c r="B22" s="56" t="s">
        <v>209</v>
      </c>
      <c r="C22" s="757">
        <f>'Fiche d''identité'!C10</f>
        <v>2540100</v>
      </c>
      <c r="D22" s="34" t="s">
        <v>47</v>
      </c>
      <c r="E22" s="9"/>
      <c r="F22" s="9"/>
    </row>
    <row r="23" spans="2:7" s="10" customFormat="1" ht="26" customHeight="1">
      <c r="B23" s="887" t="s">
        <v>641</v>
      </c>
      <c r="C23" s="1561">
        <f>'Fiche d''identité'!C26</f>
        <v>2215786</v>
      </c>
      <c r="D23" s="34" t="s">
        <v>47</v>
      </c>
      <c r="E23" s="877"/>
      <c r="F23" s="877"/>
      <c r="G23" s="877"/>
    </row>
    <row r="24" spans="2:7" s="10" customFormat="1" ht="26" customHeight="1">
      <c r="B24" s="887" t="s">
        <v>642</v>
      </c>
      <c r="C24" s="1561">
        <f>'Fiche d''identité'!C37</f>
        <v>324326</v>
      </c>
      <c r="D24" s="34" t="s">
        <v>47</v>
      </c>
      <c r="E24" s="877"/>
      <c r="F24" s="877"/>
      <c r="G24" s="877"/>
    </row>
    <row r="25" spans="2:7" s="10" customFormat="1" ht="18" customHeight="1">
      <c r="B25" s="871"/>
      <c r="D25" s="872"/>
      <c r="E25" s="872"/>
      <c r="F25" s="872"/>
      <c r="G25" s="872"/>
    </row>
    <row r="26" spans="2:7" ht="20">
      <c r="B26" s="427" t="s">
        <v>456</v>
      </c>
    </row>
    <row r="27" spans="2:7" s="10" customFormat="1" ht="21" customHeight="1">
      <c r="B27" s="66"/>
    </row>
    <row r="28" spans="2:7" s="10" customFormat="1" ht="21" customHeight="1">
      <c r="B28" s="11" t="s">
        <v>1518</v>
      </c>
    </row>
    <row r="29" spans="2:7" s="10" customFormat="1" ht="21" hidden="1" customHeight="1" outlineLevel="1">
      <c r="B29" s="66"/>
    </row>
    <row r="30" spans="2:7" s="10" customFormat="1" ht="20" hidden="1" customHeight="1" outlineLevel="1">
      <c r="B30" s="11" t="s">
        <v>1514</v>
      </c>
    </row>
    <row r="31" spans="2:7" s="10" customFormat="1" ht="21" hidden="1" customHeight="1" outlineLevel="1">
      <c r="B31" s="1641" t="s">
        <v>426</v>
      </c>
    </row>
    <row r="32" spans="2:7" s="10" customFormat="1" ht="21" hidden="1" customHeight="1" outlineLevel="1">
      <c r="B32" s="30"/>
    </row>
    <row r="33" spans="1:11" ht="27" hidden="1" customHeight="1" outlineLevel="1">
      <c r="B33" s="41" t="s">
        <v>16</v>
      </c>
      <c r="C33" s="41" t="s">
        <v>1516</v>
      </c>
      <c r="D33" s="41" t="s">
        <v>640</v>
      </c>
      <c r="E33" s="41" t="s">
        <v>639</v>
      </c>
      <c r="F33" s="41" t="s">
        <v>18</v>
      </c>
      <c r="G33" s="41" t="s">
        <v>637</v>
      </c>
      <c r="H33" s="41" t="s">
        <v>18</v>
      </c>
      <c r="I33" s="463" t="s">
        <v>1419</v>
      </c>
      <c r="J33" s="873" t="s">
        <v>26</v>
      </c>
    </row>
    <row r="34" spans="1:11" ht="20" hidden="1" customHeight="1" outlineLevel="1">
      <c r="A34" s="1652"/>
      <c r="B34" s="17" t="str">
        <f t="shared" ref="B34:B47" si="0">D188</f>
        <v>Maillot club</v>
      </c>
      <c r="C34" s="18">
        <f>G188</f>
        <v>1</v>
      </c>
      <c r="D34" s="1642">
        <f>C34*$C$23</f>
        <v>2215786</v>
      </c>
      <c r="E34" s="253">
        <f>J188</f>
        <v>6.1569999999999991</v>
      </c>
      <c r="F34" s="17" t="s">
        <v>1182</v>
      </c>
      <c r="G34" s="1644">
        <f>D34*E34/1000</f>
        <v>13642.594401999999</v>
      </c>
      <c r="H34" s="34" t="s">
        <v>123</v>
      </c>
      <c r="I34" s="1643" t="s">
        <v>1515</v>
      </c>
      <c r="J34" s="873"/>
    </row>
    <row r="35" spans="1:11" ht="20" hidden="1" customHeight="1" outlineLevel="1">
      <c r="A35" s="1652"/>
      <c r="B35" s="17" t="str">
        <f t="shared" si="0"/>
        <v xml:space="preserve">Short club </v>
      </c>
      <c r="C35" s="18">
        <f t="shared" ref="C35:C45" si="1">G189</f>
        <v>1</v>
      </c>
      <c r="D35" s="1642">
        <f t="shared" ref="D35:D47" si="2">C35*$C$23</f>
        <v>2215786</v>
      </c>
      <c r="E35" s="253">
        <f t="shared" ref="E35:E36" si="3">J189</f>
        <v>2.9489999999999998</v>
      </c>
      <c r="F35" s="17" t="s">
        <v>1182</v>
      </c>
      <c r="G35" s="1644">
        <f t="shared" ref="G35:G47" si="4">D35*E35/1000</f>
        <v>6534.3529140000001</v>
      </c>
      <c r="H35" s="34" t="s">
        <v>123</v>
      </c>
      <c r="I35" s="1643" t="s">
        <v>1515</v>
      </c>
      <c r="J35" s="873"/>
    </row>
    <row r="36" spans="1:11" ht="20" hidden="1" customHeight="1" outlineLevel="1">
      <c r="A36" s="1652"/>
      <c r="B36" s="17" t="str">
        <f t="shared" si="0"/>
        <v xml:space="preserve">Chaussettes club </v>
      </c>
      <c r="C36" s="18">
        <f t="shared" si="1"/>
        <v>1</v>
      </c>
      <c r="D36" s="1642">
        <f t="shared" si="2"/>
        <v>2215786</v>
      </c>
      <c r="E36" s="253">
        <f t="shared" si="3"/>
        <v>2.7549999999999999</v>
      </c>
      <c r="F36" s="17" t="s">
        <v>1182</v>
      </c>
      <c r="G36" s="1644">
        <f t="shared" si="4"/>
        <v>6104.4904299999998</v>
      </c>
      <c r="H36" s="34" t="s">
        <v>123</v>
      </c>
      <c r="I36" s="1643" t="s">
        <v>1515</v>
      </c>
      <c r="J36" s="873"/>
    </row>
    <row r="37" spans="1:11" ht="20" hidden="1" customHeight="1" outlineLevel="1">
      <c r="A37" s="1652"/>
      <c r="B37" s="17" t="str">
        <f t="shared" si="0"/>
        <v>Short entraînement F500</v>
      </c>
      <c r="C37" s="18">
        <f t="shared" si="1"/>
        <v>2</v>
      </c>
      <c r="D37" s="1642">
        <f t="shared" si="2"/>
        <v>4431572</v>
      </c>
      <c r="E37" s="253">
        <f>J191</f>
        <v>2.9489999999999998</v>
      </c>
      <c r="F37" s="17" t="s">
        <v>1182</v>
      </c>
      <c r="G37" s="1644">
        <f t="shared" si="4"/>
        <v>13068.705828</v>
      </c>
      <c r="H37" s="34" t="s">
        <v>123</v>
      </c>
      <c r="I37" s="1643" t="s">
        <v>1515</v>
      </c>
      <c r="J37" s="873"/>
    </row>
    <row r="38" spans="1:11" ht="20" hidden="1" customHeight="1" outlineLevel="1">
      <c r="A38" s="1652"/>
      <c r="B38" s="17" t="str">
        <f t="shared" si="0"/>
        <v>Chaussette F500</v>
      </c>
      <c r="C38" s="18">
        <f t="shared" si="1"/>
        <v>3</v>
      </c>
      <c r="D38" s="1642">
        <f t="shared" si="2"/>
        <v>6647358</v>
      </c>
      <c r="E38" s="253">
        <f t="shared" ref="E38:E47" si="5">J192</f>
        <v>2.7549999999999999</v>
      </c>
      <c r="F38" s="17" t="s">
        <v>1182</v>
      </c>
      <c r="G38" s="1644">
        <f t="shared" si="4"/>
        <v>18313.471289999998</v>
      </c>
      <c r="H38" s="34" t="s">
        <v>123</v>
      </c>
      <c r="I38" s="1643" t="s">
        <v>1515</v>
      </c>
      <c r="J38" s="873"/>
    </row>
    <row r="39" spans="1:11" ht="20" hidden="1" customHeight="1" outlineLevel="1">
      <c r="B39" s="17" t="str">
        <f t="shared" si="0"/>
        <v xml:space="preserve">Underwear entraînement legging </v>
      </c>
      <c r="C39" s="18">
        <f t="shared" si="1"/>
        <v>0.5</v>
      </c>
      <c r="D39" s="1642">
        <f t="shared" si="2"/>
        <v>1107893</v>
      </c>
      <c r="E39" s="253">
        <f t="shared" si="5"/>
        <v>12.57</v>
      </c>
      <c r="F39" s="17" t="s">
        <v>1182</v>
      </c>
      <c r="G39" s="1644">
        <f t="shared" si="4"/>
        <v>13926.21501</v>
      </c>
      <c r="H39" s="34" t="s">
        <v>123</v>
      </c>
      <c r="I39" s="1643" t="s">
        <v>1515</v>
      </c>
      <c r="J39" s="873"/>
    </row>
    <row r="40" spans="1:11" ht="20" hidden="1" customHeight="1" outlineLevel="1">
      <c r="B40" s="17" t="str">
        <f t="shared" si="0"/>
        <v xml:space="preserve">Underwear entraînement manches longues </v>
      </c>
      <c r="C40" s="18">
        <f t="shared" si="1"/>
        <v>1</v>
      </c>
      <c r="D40" s="1642">
        <f t="shared" si="2"/>
        <v>2215786</v>
      </c>
      <c r="E40" s="253">
        <f t="shared" si="5"/>
        <v>6.645999999999999</v>
      </c>
      <c r="F40" s="17" t="s">
        <v>1182</v>
      </c>
      <c r="G40" s="1644">
        <f t="shared" si="4"/>
        <v>14726.113755999997</v>
      </c>
      <c r="H40" s="34" t="s">
        <v>123</v>
      </c>
      <c r="I40" s="1643" t="s">
        <v>1515</v>
      </c>
      <c r="J40" s="873"/>
    </row>
    <row r="41" spans="1:11" ht="20" hidden="1" customHeight="1" outlineLevel="1">
      <c r="B41" s="17" t="str">
        <f t="shared" si="0"/>
        <v xml:space="preserve">Veste de survêtement </v>
      </c>
      <c r="C41" s="18">
        <f t="shared" si="1"/>
        <v>0.5</v>
      </c>
      <c r="D41" s="1642">
        <f t="shared" si="2"/>
        <v>1107893</v>
      </c>
      <c r="E41" s="253">
        <f t="shared" si="5"/>
        <v>11.668999999999999</v>
      </c>
      <c r="F41" s="17" t="s">
        <v>1182</v>
      </c>
      <c r="G41" s="1644">
        <f t="shared" si="4"/>
        <v>12928.003417</v>
      </c>
      <c r="H41" s="34" t="s">
        <v>123</v>
      </c>
      <c r="I41" s="1643" t="s">
        <v>1515</v>
      </c>
      <c r="J41" s="873"/>
    </row>
    <row r="42" spans="1:11" ht="20" hidden="1" customHeight="1" outlineLevel="1">
      <c r="B42" s="17" t="str">
        <f t="shared" si="0"/>
        <v xml:space="preserve">Parka club </v>
      </c>
      <c r="C42" s="18">
        <f t="shared" si="1"/>
        <v>0.33</v>
      </c>
      <c r="D42" s="1642">
        <f t="shared" si="2"/>
        <v>731209.38</v>
      </c>
      <c r="E42" s="253">
        <f t="shared" si="5"/>
        <v>21.223000000000003</v>
      </c>
      <c r="F42" s="17" t="s">
        <v>1182</v>
      </c>
      <c r="G42" s="1644">
        <f t="shared" si="4"/>
        <v>15518.456671740001</v>
      </c>
      <c r="H42" s="34" t="s">
        <v>123</v>
      </c>
      <c r="I42" s="1643" t="s">
        <v>1515</v>
      </c>
      <c r="J42" s="873"/>
    </row>
    <row r="43" spans="1:11" ht="20" hidden="1" customHeight="1" outlineLevel="1">
      <c r="A43" s="95"/>
      <c r="B43" s="17" t="str">
        <f t="shared" si="0"/>
        <v xml:space="preserve">Maillot Viralto </v>
      </c>
      <c r="C43" s="18">
        <f t="shared" si="1"/>
        <v>2</v>
      </c>
      <c r="D43" s="1642">
        <f t="shared" si="2"/>
        <v>4431572</v>
      </c>
      <c r="E43" s="253">
        <f t="shared" si="5"/>
        <v>6.1569999999999991</v>
      </c>
      <c r="F43" s="17" t="s">
        <v>1182</v>
      </c>
      <c r="G43" s="1644">
        <f t="shared" si="4"/>
        <v>27285.188803999998</v>
      </c>
      <c r="H43" s="34" t="s">
        <v>123</v>
      </c>
      <c r="I43" s="1643" t="s">
        <v>1515</v>
      </c>
      <c r="J43" s="873"/>
    </row>
    <row r="44" spans="1:11" ht="20" hidden="1" customHeight="1" outlineLevel="1">
      <c r="B44" s="17" t="str">
        <f t="shared" si="0"/>
        <v>Rain jacket Viralto</v>
      </c>
      <c r="C44" s="18">
        <f t="shared" si="1"/>
        <v>0.33</v>
      </c>
      <c r="D44" s="1642">
        <f t="shared" si="2"/>
        <v>731209.38</v>
      </c>
      <c r="E44" s="253">
        <f t="shared" si="5"/>
        <v>4.63</v>
      </c>
      <c r="F44" s="17" t="s">
        <v>1182</v>
      </c>
      <c r="G44" s="1644">
        <f t="shared" si="4"/>
        <v>3385.4994293999998</v>
      </c>
      <c r="H44" s="34" t="s">
        <v>123</v>
      </c>
      <c r="I44" s="1643" t="s">
        <v>1515</v>
      </c>
      <c r="J44" s="873"/>
    </row>
    <row r="45" spans="1:11" ht="20" hidden="1" customHeight="1" outlineLevel="1">
      <c r="B45" s="17" t="str">
        <f t="shared" si="0"/>
        <v xml:space="preserve">Pantalon entraînement viralto </v>
      </c>
      <c r="C45" s="18">
        <f t="shared" si="1"/>
        <v>0.5</v>
      </c>
      <c r="D45" s="1642">
        <f t="shared" si="2"/>
        <v>1107893</v>
      </c>
      <c r="E45" s="253">
        <f t="shared" si="5"/>
        <v>11.412000000000001</v>
      </c>
      <c r="F45" s="17" t="s">
        <v>1182</v>
      </c>
      <c r="G45" s="1644">
        <f t="shared" si="4"/>
        <v>12643.274916</v>
      </c>
      <c r="H45" s="34" t="s">
        <v>123</v>
      </c>
      <c r="I45" s="1643" t="s">
        <v>1515</v>
      </c>
      <c r="J45" s="873"/>
    </row>
    <row r="46" spans="1:11" s="10" customFormat="1" ht="20" hidden="1" customHeight="1" outlineLevel="1">
      <c r="B46" s="17" t="str">
        <f t="shared" si="0"/>
        <v xml:space="preserve">Survêtement club respirant slim zippé </v>
      </c>
      <c r="C46" s="18">
        <f>G200</f>
        <v>0.5</v>
      </c>
      <c r="D46" s="1642">
        <f t="shared" si="2"/>
        <v>1107893</v>
      </c>
      <c r="E46" s="253">
        <f t="shared" si="5"/>
        <v>11.839</v>
      </c>
      <c r="F46" s="17" t="s">
        <v>1182</v>
      </c>
      <c r="G46" s="1644">
        <f t="shared" si="4"/>
        <v>13116.345227</v>
      </c>
      <c r="H46" s="34" t="s">
        <v>123</v>
      </c>
      <c r="I46" s="1643" t="s">
        <v>1515</v>
      </c>
      <c r="J46" s="33"/>
    </row>
    <row r="47" spans="1:11" s="10" customFormat="1" ht="20" hidden="1" customHeight="1" outlineLevel="1">
      <c r="B47" s="17" t="str">
        <f t="shared" si="0"/>
        <v>1 maillot de son club favori - réal Madrid</v>
      </c>
      <c r="C47" s="18">
        <f>G201</f>
        <v>1</v>
      </c>
      <c r="D47" s="1642">
        <f t="shared" si="2"/>
        <v>2215786</v>
      </c>
      <c r="E47" s="253">
        <f t="shared" si="5"/>
        <v>3.9983333326600006</v>
      </c>
      <c r="F47" s="17" t="s">
        <v>1182</v>
      </c>
      <c r="G47" s="1644">
        <f t="shared" si="4"/>
        <v>8859.4510218413707</v>
      </c>
      <c r="H47" s="34" t="s">
        <v>123</v>
      </c>
      <c r="I47" s="1643" t="s">
        <v>1515</v>
      </c>
      <c r="J47" s="33"/>
      <c r="K47"/>
    </row>
    <row r="48" spans="1:11" ht="20" hidden="1" customHeight="1" outlineLevel="1">
      <c r="B48" s="10"/>
      <c r="C48" s="10"/>
      <c r="D48" s="10"/>
      <c r="F48" s="117" t="s">
        <v>139</v>
      </c>
      <c r="G48" s="1645">
        <f>SUM(G34:G47)</f>
        <v>180052.16311698136</v>
      </c>
      <c r="H48" s="42" t="s">
        <v>123</v>
      </c>
      <c r="I48" s="10"/>
    </row>
    <row r="49" spans="1:12" ht="20" hidden="1" customHeight="1" outlineLevel="1">
      <c r="B49" s="31"/>
      <c r="E49" s="874"/>
      <c r="F49" s="875"/>
      <c r="G49" s="876"/>
    </row>
    <row r="50" spans="1:12" ht="18" hidden="1" outlineLevel="1">
      <c r="B50" s="11" t="s">
        <v>1517</v>
      </c>
      <c r="E50" s="103"/>
      <c r="F50" s="103"/>
      <c r="G50" s="103"/>
      <c r="H50" s="103"/>
    </row>
    <row r="51" spans="1:12" ht="18" hidden="1" customHeight="1" outlineLevel="1">
      <c r="B51" s="1641" t="s">
        <v>426</v>
      </c>
      <c r="E51" s="103"/>
      <c r="F51" s="103"/>
      <c r="G51" s="103"/>
      <c r="H51" s="103"/>
    </row>
    <row r="52" spans="1:12" ht="18" hidden="1" customHeight="1" outlineLevel="1">
      <c r="B52" s="30"/>
      <c r="E52" s="103"/>
      <c r="F52" s="103"/>
      <c r="G52" s="103"/>
      <c r="H52" s="103"/>
    </row>
    <row r="53" spans="1:12" s="10" customFormat="1" ht="25" hidden="1" customHeight="1" outlineLevel="1">
      <c r="B53" s="41" t="s">
        <v>16</v>
      </c>
      <c r="C53" s="41" t="s">
        <v>1516</v>
      </c>
      <c r="D53" s="41" t="s">
        <v>640</v>
      </c>
      <c r="E53" s="41" t="s">
        <v>639</v>
      </c>
      <c r="F53" s="41" t="s">
        <v>18</v>
      </c>
      <c r="G53" s="41" t="s">
        <v>637</v>
      </c>
      <c r="H53" s="41" t="s">
        <v>18</v>
      </c>
      <c r="I53" s="463" t="s">
        <v>1419</v>
      </c>
      <c r="J53" s="873" t="s">
        <v>26</v>
      </c>
    </row>
    <row r="54" spans="1:12" s="10" customFormat="1" ht="25" hidden="1" customHeight="1" outlineLevel="1">
      <c r="B54" s="17" t="str">
        <f>D207</f>
        <v>CHAUSSURES DE FOOTBALL VIRALTO III 3D AIRMESH TURF</v>
      </c>
      <c r="C54" s="18">
        <f>G207</f>
        <v>1</v>
      </c>
      <c r="D54" s="1642">
        <f>C54*$C$23</f>
        <v>2215786</v>
      </c>
      <c r="E54" s="253">
        <f>J207</f>
        <v>10.974</v>
      </c>
      <c r="F54" s="17" t="s">
        <v>1182</v>
      </c>
      <c r="G54" s="1644">
        <f t="shared" ref="G54:G56" si="6">D54*E54/1000</f>
        <v>24316.035563999998</v>
      </c>
      <c r="H54" s="34" t="s">
        <v>123</v>
      </c>
      <c r="I54" s="1643" t="s">
        <v>1515</v>
      </c>
      <c r="J54" s="873"/>
    </row>
    <row r="55" spans="1:12" s="10" customFormat="1" ht="25" hidden="1" customHeight="1" outlineLevel="1">
      <c r="B55" s="17" t="str">
        <f t="shared" ref="B55:B56" si="7">D208</f>
        <v xml:space="preserve">Shoes  : KIPRUN KD900 jaune - prépa physique et avant / après match </v>
      </c>
      <c r="C55" s="18">
        <f t="shared" ref="C55:C56" si="8">G208</f>
        <v>1</v>
      </c>
      <c r="D55" s="1642">
        <f t="shared" ref="D55:D56" si="9">C55*$C$23</f>
        <v>2215786</v>
      </c>
      <c r="E55" s="253">
        <f t="shared" ref="E55:E56" si="10">J208</f>
        <v>7.1660000000000004</v>
      </c>
      <c r="F55" s="17" t="s">
        <v>1182</v>
      </c>
      <c r="G55" s="1644">
        <f t="shared" si="6"/>
        <v>15878.322476000001</v>
      </c>
      <c r="H55" s="34" t="s">
        <v>123</v>
      </c>
      <c r="I55" s="1643" t="s">
        <v>1515</v>
      </c>
      <c r="J55" s="873"/>
    </row>
    <row r="56" spans="1:12" s="10" customFormat="1" ht="25" hidden="1" customHeight="1" outlineLevel="1">
      <c r="B56" s="17" t="str">
        <f t="shared" si="7"/>
        <v>Chaussures de football VIRALTO III.ELITE FG</v>
      </c>
      <c r="C56" s="18">
        <f t="shared" si="8"/>
        <v>1</v>
      </c>
      <c r="D56" s="1642">
        <f t="shared" si="9"/>
        <v>2215786</v>
      </c>
      <c r="E56" s="253">
        <f t="shared" si="10"/>
        <v>12.150999999999998</v>
      </c>
      <c r="F56" s="17" t="s">
        <v>1182</v>
      </c>
      <c r="G56" s="1644">
        <f t="shared" si="6"/>
        <v>26924.015685999995</v>
      </c>
      <c r="H56" s="34" t="s">
        <v>123</v>
      </c>
      <c r="I56" s="1643" t="s">
        <v>1515</v>
      </c>
      <c r="J56" s="873"/>
    </row>
    <row r="57" spans="1:12" s="10" customFormat="1" ht="25" hidden="1" customHeight="1" outlineLevel="1">
      <c r="B57" s="57"/>
      <c r="C57" s="95"/>
      <c r="D57" s="1646"/>
      <c r="E57" s="1647"/>
      <c r="F57" s="117" t="s">
        <v>139</v>
      </c>
      <c r="G57" s="1645">
        <f>SUM(G54:G56)</f>
        <v>67118.373725999991</v>
      </c>
      <c r="H57" s="42" t="s">
        <v>123</v>
      </c>
      <c r="I57" s="1648"/>
      <c r="J57" s="66"/>
    </row>
    <row r="58" spans="1:12" ht="22" hidden="1" customHeight="1" outlineLevel="1">
      <c r="C58" s="70"/>
      <c r="D58" s="65"/>
      <c r="E58" s="66"/>
      <c r="F58" s="103"/>
      <c r="G58" s="103"/>
      <c r="H58" s="103"/>
      <c r="J58"/>
    </row>
    <row r="59" spans="1:12" ht="22" hidden="1" customHeight="1" outlineLevel="1">
      <c r="B59" s="11" t="s">
        <v>1520</v>
      </c>
      <c r="E59" s="103"/>
      <c r="F59" s="103"/>
      <c r="G59" s="103"/>
      <c r="H59" s="103"/>
      <c r="J59"/>
    </row>
    <row r="60" spans="1:12" ht="19" hidden="1" customHeight="1" outlineLevel="1">
      <c r="B60" s="1641" t="s">
        <v>426</v>
      </c>
      <c r="E60" s="103"/>
      <c r="F60" s="103"/>
      <c r="G60" s="103"/>
      <c r="H60" s="103"/>
    </row>
    <row r="61" spans="1:12" ht="19" hidden="1" customHeight="1" outlineLevel="1">
      <c r="B61" s="65"/>
      <c r="E61" s="103"/>
      <c r="F61" s="103"/>
      <c r="G61" s="103"/>
      <c r="H61" s="103"/>
    </row>
    <row r="62" spans="1:12" ht="29" hidden="1" customHeight="1" outlineLevel="1">
      <c r="B62" s="41" t="s">
        <v>16</v>
      </c>
      <c r="C62" s="41" t="s">
        <v>1516</v>
      </c>
      <c r="D62" s="41" t="s">
        <v>640</v>
      </c>
      <c r="E62" s="41" t="s">
        <v>639</v>
      </c>
      <c r="F62" s="41" t="s">
        <v>18</v>
      </c>
      <c r="G62" s="41" t="s">
        <v>637</v>
      </c>
      <c r="H62" s="41" t="s">
        <v>18</v>
      </c>
      <c r="I62" s="463" t="s">
        <v>1419</v>
      </c>
      <c r="J62" s="873" t="s">
        <v>26</v>
      </c>
    </row>
    <row r="63" spans="1:12" ht="28" hidden="1" customHeight="1" outlineLevel="1">
      <c r="B63" s="17" t="str">
        <f>D202</f>
        <v>Echelle d 'entrainement</v>
      </c>
      <c r="C63" s="1676">
        <v>0.25</v>
      </c>
      <c r="D63" s="1642">
        <f t="shared" ref="D63:D77" si="11">C63*$C$23</f>
        <v>553946.5</v>
      </c>
      <c r="E63" s="253">
        <f>J202</f>
        <v>2.15</v>
      </c>
      <c r="F63" s="17" t="s">
        <v>1182</v>
      </c>
      <c r="G63" s="1644">
        <f t="shared" ref="G63:G77" si="12">D63*E63/1000</f>
        <v>1190.9849749999998</v>
      </c>
      <c r="H63" s="34" t="s">
        <v>123</v>
      </c>
      <c r="I63" s="1643" t="s">
        <v>1515</v>
      </c>
      <c r="J63" s="887" t="s">
        <v>1535</v>
      </c>
    </row>
    <row r="64" spans="1:12" ht="28" hidden="1" customHeight="1" outlineLevel="1">
      <c r="A64" s="1649"/>
      <c r="B64" s="17" t="str">
        <f t="shared" ref="B64:B67" si="13">D203</f>
        <v>Lot de 40 coupelles</v>
      </c>
      <c r="C64" s="1676">
        <v>0.25</v>
      </c>
      <c r="D64" s="1642">
        <f t="shared" si="11"/>
        <v>553946.5</v>
      </c>
      <c r="E64" s="253">
        <f>J203</f>
        <v>4.0569999999999995</v>
      </c>
      <c r="F64" s="17" t="s">
        <v>1182</v>
      </c>
      <c r="G64" s="1644">
        <f t="shared" si="12"/>
        <v>2247.3609504999999</v>
      </c>
      <c r="H64" s="34" t="s">
        <v>123</v>
      </c>
      <c r="I64" s="1643" t="s">
        <v>1515</v>
      </c>
      <c r="J64" s="887" t="s">
        <v>1535</v>
      </c>
      <c r="K64"/>
      <c r="L64"/>
    </row>
    <row r="65" spans="1:12" ht="28" hidden="1" customHeight="1" outlineLevel="1">
      <c r="B65" s="17" t="str">
        <f t="shared" si="13"/>
        <v xml:space="preserve">Chasubles adulte réversibles </v>
      </c>
      <c r="C65" s="1676">
        <v>0.25</v>
      </c>
      <c r="D65" s="1642">
        <f t="shared" si="11"/>
        <v>553946.5</v>
      </c>
      <c r="E65" s="253">
        <f>J204</f>
        <v>2.585</v>
      </c>
      <c r="F65" s="17" t="s">
        <v>1182</v>
      </c>
      <c r="G65" s="1644">
        <f t="shared" si="12"/>
        <v>1431.9517025</v>
      </c>
      <c r="H65" s="34" t="s">
        <v>123</v>
      </c>
      <c r="I65" s="1643" t="s">
        <v>1515</v>
      </c>
      <c r="J65" s="887" t="s">
        <v>1535</v>
      </c>
      <c r="K65"/>
      <c r="L65"/>
    </row>
    <row r="66" spans="1:12" ht="28" hidden="1" customHeight="1" outlineLevel="1">
      <c r="B66" s="17" t="str">
        <f t="shared" si="13"/>
        <v>Sac a ballon</v>
      </c>
      <c r="C66" s="1676">
        <v>0.25</v>
      </c>
      <c r="D66" s="1642">
        <f t="shared" si="11"/>
        <v>553946.5</v>
      </c>
      <c r="E66" s="253">
        <f>J205</f>
        <v>6.6940000000000008</v>
      </c>
      <c r="F66" s="17" t="s">
        <v>1182</v>
      </c>
      <c r="G66" s="1644">
        <f t="shared" si="12"/>
        <v>3708.1178710000004</v>
      </c>
      <c r="H66" s="34" t="s">
        <v>123</v>
      </c>
      <c r="I66" s="1643" t="s">
        <v>1515</v>
      </c>
      <c r="J66" s="887" t="s">
        <v>1535</v>
      </c>
      <c r="K66"/>
      <c r="L66"/>
    </row>
    <row r="67" spans="1:12" ht="28" hidden="1" customHeight="1" outlineLevel="1">
      <c r="B67" s="17" t="str">
        <f t="shared" si="13"/>
        <v>Haie de vitesse</v>
      </c>
      <c r="C67" s="1676">
        <v>0.25</v>
      </c>
      <c r="D67" s="1642">
        <f t="shared" si="11"/>
        <v>553946.5</v>
      </c>
      <c r="E67" s="253">
        <f>J206</f>
        <v>2.1790000000000003</v>
      </c>
      <c r="F67" s="17" t="s">
        <v>1182</v>
      </c>
      <c r="G67" s="1644">
        <f t="shared" si="12"/>
        <v>1207.0494235000001</v>
      </c>
      <c r="H67" s="34" t="s">
        <v>123</v>
      </c>
      <c r="I67" s="1643" t="s">
        <v>1515</v>
      </c>
      <c r="J67" s="887" t="s">
        <v>1535</v>
      </c>
      <c r="K67"/>
      <c r="L67"/>
    </row>
    <row r="68" spans="1:12" ht="28" hidden="1" customHeight="1" outlineLevel="1">
      <c r="B68" s="17" t="str">
        <f t="shared" ref="B68:B77" si="14">D210</f>
        <v xml:space="preserve">Ballon entrainement </v>
      </c>
      <c r="C68" s="1826">
        <f>G210/H210</f>
        <v>1</v>
      </c>
      <c r="D68" s="1642">
        <f t="shared" si="11"/>
        <v>2215786</v>
      </c>
      <c r="E68" s="253">
        <f>J210</f>
        <v>4.0169999999999995</v>
      </c>
      <c r="F68" s="17" t="s">
        <v>1182</v>
      </c>
      <c r="G68" s="1644">
        <f t="shared" si="12"/>
        <v>8900.8123620000006</v>
      </c>
      <c r="H68" s="34" t="s">
        <v>123</v>
      </c>
      <c r="I68" s="1643" t="s">
        <v>1515</v>
      </c>
      <c r="J68" s="34"/>
    </row>
    <row r="69" spans="1:12" ht="28" hidden="1" customHeight="1" outlineLevel="1">
      <c r="B69" s="17" t="str">
        <f t="shared" si="14"/>
        <v xml:space="preserve">Ballon du match </v>
      </c>
      <c r="C69" s="1826">
        <f>$G$211/H211</f>
        <v>9.0909090909090912E-2</v>
      </c>
      <c r="D69" s="1642">
        <f t="shared" si="11"/>
        <v>201435.09090909091</v>
      </c>
      <c r="E69" s="253">
        <f>J211</f>
        <v>4.847999999999999</v>
      </c>
      <c r="F69" s="17" t="s">
        <v>1182</v>
      </c>
      <c r="G69" s="1644">
        <f t="shared" si="12"/>
        <v>976.55732072727255</v>
      </c>
      <c r="H69" s="34" t="s">
        <v>123</v>
      </c>
      <c r="I69" s="1643" t="s">
        <v>1515</v>
      </c>
      <c r="J69" s="34"/>
    </row>
    <row r="70" spans="1:12" ht="28" hidden="1" customHeight="1" outlineLevel="1">
      <c r="B70" s="17" t="str">
        <f t="shared" si="14"/>
        <v xml:space="preserve">Hydration - 1 gourde 500 ML transparente </v>
      </c>
      <c r="C70" s="1650">
        <f t="shared" ref="C70:C75" si="15">G212</f>
        <v>1</v>
      </c>
      <c r="D70" s="1642">
        <f t="shared" si="11"/>
        <v>2215786</v>
      </c>
      <c r="E70" s="253">
        <f t="shared" ref="E70:E77" si="16">J212</f>
        <v>0.92200000000000004</v>
      </c>
      <c r="F70" s="17" t="s">
        <v>1182</v>
      </c>
      <c r="G70" s="1644">
        <f t="shared" si="12"/>
        <v>2042.954692</v>
      </c>
      <c r="H70" s="34" t="s">
        <v>123</v>
      </c>
      <c r="I70" s="1643" t="s">
        <v>1515</v>
      </c>
      <c r="J70" s="34"/>
    </row>
    <row r="71" spans="1:12" ht="28" hidden="1" customHeight="1" outlineLevel="1">
      <c r="B71" s="17" t="str">
        <f t="shared" si="14"/>
        <v xml:space="preserve">Sac de sport 75L </v>
      </c>
      <c r="C71" s="1650">
        <f t="shared" si="15"/>
        <v>0.5</v>
      </c>
      <c r="D71" s="1642">
        <f t="shared" si="11"/>
        <v>1107893</v>
      </c>
      <c r="E71" s="253">
        <f t="shared" si="16"/>
        <v>23.613</v>
      </c>
      <c r="F71" s="17" t="s">
        <v>1182</v>
      </c>
      <c r="G71" s="1644">
        <f t="shared" si="12"/>
        <v>26160.677409</v>
      </c>
      <c r="H71" s="34" t="s">
        <v>123</v>
      </c>
      <c r="I71" s="1643" t="s">
        <v>1515</v>
      </c>
      <c r="J71" s="34"/>
    </row>
    <row r="72" spans="1:12" ht="28" hidden="1" customHeight="1" outlineLevel="1">
      <c r="B72" s="17" t="str">
        <f t="shared" si="14"/>
        <v xml:space="preserve">Sac à ballon </v>
      </c>
      <c r="C72" s="1650">
        <f t="shared" si="15"/>
        <v>0.25</v>
      </c>
      <c r="D72" s="1642">
        <f t="shared" si="11"/>
        <v>553946.5</v>
      </c>
      <c r="E72" s="253">
        <f t="shared" si="16"/>
        <v>6.6940000000000008</v>
      </c>
      <c r="F72" s="17" t="s">
        <v>1182</v>
      </c>
      <c r="G72" s="1644">
        <f t="shared" si="12"/>
        <v>3708.1178710000004</v>
      </c>
      <c r="H72" s="34" t="s">
        <v>123</v>
      </c>
      <c r="I72" s="1643" t="s">
        <v>1515</v>
      </c>
      <c r="J72" s="34"/>
    </row>
    <row r="73" spans="1:12" ht="28" hidden="1" customHeight="1" outlineLevel="1">
      <c r="B73" s="17" t="str">
        <f t="shared" si="14"/>
        <v xml:space="preserve">Serviette de douche microfibre taille XL </v>
      </c>
      <c r="C73" s="1650">
        <f t="shared" si="15"/>
        <v>0.5</v>
      </c>
      <c r="D73" s="1642">
        <f>C73*$C$23</f>
        <v>1107893</v>
      </c>
      <c r="E73" s="253">
        <f t="shared" si="16"/>
        <v>12.854000000000001</v>
      </c>
      <c r="F73" s="17" t="s">
        <v>1182</v>
      </c>
      <c r="G73" s="1644">
        <f t="shared" si="12"/>
        <v>14240.856622000001</v>
      </c>
      <c r="H73" s="34" t="s">
        <v>123</v>
      </c>
      <c r="I73" s="1643" t="s">
        <v>1515</v>
      </c>
      <c r="J73" s="34"/>
    </row>
    <row r="74" spans="1:12" ht="28" hidden="1" customHeight="1" outlineLevel="1">
      <c r="B74" s="17" t="str">
        <f t="shared" si="14"/>
        <v xml:space="preserve">Manchon protège tibia viralto </v>
      </c>
      <c r="C74" s="1650">
        <f t="shared" si="15"/>
        <v>1</v>
      </c>
      <c r="D74" s="1642">
        <f t="shared" si="11"/>
        <v>2215786</v>
      </c>
      <c r="E74" s="253">
        <f t="shared" si="16"/>
        <v>0.63</v>
      </c>
      <c r="F74" s="17" t="s">
        <v>1182</v>
      </c>
      <c r="G74" s="1644">
        <f t="shared" si="12"/>
        <v>1395.9451799999999</v>
      </c>
      <c r="H74" s="34" t="s">
        <v>123</v>
      </c>
      <c r="I74" s="1643" t="s">
        <v>1515</v>
      </c>
      <c r="J74" s="34"/>
    </row>
    <row r="75" spans="1:12" ht="28" hidden="1" customHeight="1" outlineLevel="1">
      <c r="B75" s="17" t="str">
        <f t="shared" si="14"/>
        <v xml:space="preserve">Produits de douche </v>
      </c>
      <c r="C75" s="1650">
        <f t="shared" si="15"/>
        <v>12</v>
      </c>
      <c r="D75" s="1642">
        <f t="shared" si="11"/>
        <v>26589432</v>
      </c>
      <c r="E75" s="253">
        <f t="shared" si="16"/>
        <v>0.82299999999999995</v>
      </c>
      <c r="F75" s="17" t="s">
        <v>1182</v>
      </c>
      <c r="G75" s="1644">
        <f t="shared" si="12"/>
        <v>21883.102535999999</v>
      </c>
      <c r="H75" s="34" t="s">
        <v>123</v>
      </c>
      <c r="I75" s="1643" t="s">
        <v>1515</v>
      </c>
      <c r="J75" s="34"/>
    </row>
    <row r="76" spans="1:12" ht="28" hidden="1" customHeight="1" outlineLevel="1">
      <c r="B76" s="17" t="str">
        <f t="shared" si="14"/>
        <v xml:space="preserve">Gants </v>
      </c>
      <c r="C76" s="1676">
        <v>0.25</v>
      </c>
      <c r="D76" s="1642">
        <f t="shared" si="11"/>
        <v>553946.5</v>
      </c>
      <c r="E76" s="253">
        <f t="shared" si="16"/>
        <v>1.373</v>
      </c>
      <c r="F76" s="17" t="s">
        <v>1182</v>
      </c>
      <c r="G76" s="1644">
        <f t="shared" si="12"/>
        <v>760.56854449999992</v>
      </c>
      <c r="H76" s="34" t="s">
        <v>123</v>
      </c>
      <c r="I76" s="1643" t="s">
        <v>1515</v>
      </c>
      <c r="J76" s="887" t="s">
        <v>1535</v>
      </c>
    </row>
    <row r="77" spans="1:12" ht="28" hidden="1" customHeight="1" outlineLevel="1">
      <c r="B77" s="17" t="str">
        <f t="shared" si="14"/>
        <v xml:space="preserve">Claquettes de douche SLAP 500 Nabaiji </v>
      </c>
      <c r="C77" s="1650">
        <f>G219</f>
        <v>0.5</v>
      </c>
      <c r="D77" s="1642">
        <f t="shared" si="11"/>
        <v>1107893</v>
      </c>
      <c r="E77" s="253">
        <f t="shared" si="16"/>
        <v>3.0920000000000001</v>
      </c>
      <c r="F77" s="17" t="s">
        <v>1182</v>
      </c>
      <c r="G77" s="1644">
        <f t="shared" si="12"/>
        <v>3425.6051560000001</v>
      </c>
      <c r="H77" s="34" t="s">
        <v>123</v>
      </c>
      <c r="I77" s="1643" t="s">
        <v>1515</v>
      </c>
      <c r="J77" s="34"/>
    </row>
    <row r="78" spans="1:12" ht="28" hidden="1" customHeight="1" outlineLevel="1">
      <c r="A78"/>
      <c r="B78"/>
      <c r="C78"/>
      <c r="D78"/>
      <c r="F78" s="117" t="s">
        <v>139</v>
      </c>
      <c r="G78" s="1645">
        <f>SUM(G63:G77)</f>
        <v>93280.662615727269</v>
      </c>
      <c r="H78" s="42" t="s">
        <v>123</v>
      </c>
      <c r="I78"/>
    </row>
    <row r="79" spans="1:12" ht="28" customHeight="1" collapsed="1">
      <c r="B79"/>
      <c r="C79"/>
      <c r="D79"/>
      <c r="E79" s="878"/>
      <c r="F79" s="879"/>
      <c r="G79" s="1735"/>
      <c r="H79"/>
    </row>
    <row r="80" spans="1:12" ht="28" customHeight="1">
      <c r="B80" s="11" t="s">
        <v>1519</v>
      </c>
      <c r="C80"/>
      <c r="D80"/>
      <c r="E80" s="878"/>
      <c r="F80" s="879"/>
      <c r="G80" s="876"/>
      <c r="H80"/>
    </row>
    <row r="81" spans="1:10" ht="28" hidden="1" customHeight="1" outlineLevel="1">
      <c r="B81" s="11"/>
      <c r="C81"/>
      <c r="D81"/>
      <c r="E81" s="878"/>
      <c r="F81" s="879"/>
      <c r="G81" s="876"/>
      <c r="H81"/>
    </row>
    <row r="82" spans="1:10" ht="28" hidden="1" customHeight="1" outlineLevel="1">
      <c r="B82" s="11" t="s">
        <v>1514</v>
      </c>
      <c r="C82" s="10"/>
      <c r="D82" s="10"/>
      <c r="E82" s="10"/>
      <c r="F82" s="10"/>
      <c r="G82" s="10"/>
      <c r="H82" s="10"/>
      <c r="I82" s="10"/>
      <c r="J82" s="10"/>
    </row>
    <row r="83" spans="1:10" ht="28" hidden="1" customHeight="1" outlineLevel="1">
      <c r="B83" s="1641" t="s">
        <v>426</v>
      </c>
      <c r="C83" s="10"/>
      <c r="D83" s="10"/>
      <c r="E83" s="10"/>
      <c r="F83" s="10"/>
      <c r="G83" s="10"/>
      <c r="H83" s="10"/>
      <c r="I83" s="10"/>
      <c r="J83" s="10"/>
    </row>
    <row r="84" spans="1:10" ht="28" hidden="1" customHeight="1" outlineLevel="1">
      <c r="B84" s="30"/>
      <c r="C84" s="10"/>
      <c r="D84" s="10"/>
      <c r="E84" s="10"/>
      <c r="F84" s="10"/>
      <c r="G84" s="10"/>
      <c r="H84" s="10"/>
      <c r="I84" s="10"/>
      <c r="J84" s="10"/>
    </row>
    <row r="85" spans="1:10" ht="28" hidden="1" customHeight="1" outlineLevel="1">
      <c r="B85" s="41" t="s">
        <v>16</v>
      </c>
      <c r="C85" s="41" t="s">
        <v>1516</v>
      </c>
      <c r="D85" s="41" t="s">
        <v>640</v>
      </c>
      <c r="E85" s="41" t="s">
        <v>639</v>
      </c>
      <c r="F85" s="41" t="s">
        <v>18</v>
      </c>
      <c r="G85" s="41" t="s">
        <v>637</v>
      </c>
      <c r="H85" s="41" t="s">
        <v>18</v>
      </c>
      <c r="I85" s="463" t="s">
        <v>1419</v>
      </c>
      <c r="J85" s="873" t="s">
        <v>26</v>
      </c>
    </row>
    <row r="86" spans="1:10" ht="28" hidden="1" customHeight="1" outlineLevel="1">
      <c r="B86" s="17" t="str">
        <f t="shared" ref="B86:B92" si="17">T188</f>
        <v>Maillot club</v>
      </c>
      <c r="C86" s="18">
        <f t="shared" ref="C86:C92" si="18">V188</f>
        <v>2</v>
      </c>
      <c r="D86" s="1642">
        <f>C86*$C$24</f>
        <v>648652</v>
      </c>
      <c r="E86" s="253">
        <f t="shared" ref="E86:E92" si="19">Y188</f>
        <v>4.0609999999999999</v>
      </c>
      <c r="F86" s="17" t="s">
        <v>1182</v>
      </c>
      <c r="G86" s="1644">
        <f>D86*E86/1000</f>
        <v>2634.1757720000001</v>
      </c>
      <c r="H86" s="34" t="s">
        <v>123</v>
      </c>
      <c r="I86" s="1643" t="s">
        <v>1515</v>
      </c>
      <c r="J86" s="873"/>
    </row>
    <row r="87" spans="1:10" ht="28" hidden="1" customHeight="1" outlineLevel="1">
      <c r="B87" s="17" t="str">
        <f t="shared" si="17"/>
        <v>Short club </v>
      </c>
      <c r="C87" s="18">
        <f t="shared" si="18"/>
        <v>2</v>
      </c>
      <c r="D87" s="1642">
        <f>C87*$C$24</f>
        <v>648652</v>
      </c>
      <c r="E87" s="253">
        <f t="shared" si="19"/>
        <v>6.1449999999999996</v>
      </c>
      <c r="F87" s="17" t="s">
        <v>1182</v>
      </c>
      <c r="G87" s="1644">
        <f t="shared" ref="G87:G95" si="20">D87*E87/1000</f>
        <v>3985.9665399999994</v>
      </c>
      <c r="H87" s="34" t="s">
        <v>123</v>
      </c>
      <c r="I87" s="1643" t="s">
        <v>1515</v>
      </c>
      <c r="J87" s="873"/>
    </row>
    <row r="88" spans="1:10" ht="28" hidden="1" customHeight="1" outlineLevel="1">
      <c r="B88" s="17" t="str">
        <f t="shared" si="17"/>
        <v>Chaussettes club </v>
      </c>
      <c r="C88" s="18">
        <f t="shared" si="18"/>
        <v>1</v>
      </c>
      <c r="D88" s="1642">
        <f t="shared" ref="D88:D92" si="21">C88*$C$24</f>
        <v>324326</v>
      </c>
      <c r="E88" s="253">
        <f t="shared" si="19"/>
        <v>2.7549999999999999</v>
      </c>
      <c r="F88" s="17" t="s">
        <v>1182</v>
      </c>
      <c r="G88" s="1644">
        <f t="shared" si="20"/>
        <v>893.51813000000004</v>
      </c>
      <c r="H88" s="34" t="s">
        <v>123</v>
      </c>
      <c r="I88" s="1643" t="s">
        <v>1515</v>
      </c>
      <c r="J88" s="873"/>
    </row>
    <row r="89" spans="1:10" ht="28" hidden="1" customHeight="1" outlineLevel="1">
      <c r="B89" s="17" t="str">
        <f t="shared" si="17"/>
        <v>Short entraînement </v>
      </c>
      <c r="C89" s="18">
        <f t="shared" si="18"/>
        <v>2.5</v>
      </c>
      <c r="D89" s="1642">
        <f t="shared" si="21"/>
        <v>810815</v>
      </c>
      <c r="E89" s="253">
        <f t="shared" si="19"/>
        <v>6.1449999999999996</v>
      </c>
      <c r="F89" s="17" t="s">
        <v>1182</v>
      </c>
      <c r="G89" s="1644">
        <f t="shared" si="20"/>
        <v>4982.4581749999998</v>
      </c>
      <c r="H89" s="34" t="s">
        <v>123</v>
      </c>
      <c r="I89" s="1643" t="s">
        <v>1515</v>
      </c>
      <c r="J89" s="873"/>
    </row>
    <row r="90" spans="1:10" ht="28" hidden="1" customHeight="1" outlineLevel="1">
      <c r="B90" s="17" t="str">
        <f t="shared" si="17"/>
        <v>Chaussette </v>
      </c>
      <c r="C90" s="18">
        <f t="shared" si="18"/>
        <v>1</v>
      </c>
      <c r="D90" s="1642">
        <f t="shared" si="21"/>
        <v>324326</v>
      </c>
      <c r="E90" s="253">
        <f t="shared" si="19"/>
        <v>2.7549999999999999</v>
      </c>
      <c r="F90" s="17" t="s">
        <v>1182</v>
      </c>
      <c r="G90" s="1644">
        <f t="shared" si="20"/>
        <v>893.51813000000004</v>
      </c>
      <c r="H90" s="34" t="s">
        <v>123</v>
      </c>
      <c r="I90" s="1643" t="s">
        <v>1515</v>
      </c>
      <c r="J90" s="873"/>
    </row>
    <row r="91" spans="1:10" ht="28" hidden="1" customHeight="1" outlineLevel="1">
      <c r="A91" s="6"/>
      <c r="B91" s="17" t="str">
        <f t="shared" si="17"/>
        <v>Underwear entraînement legging </v>
      </c>
      <c r="C91" s="18">
        <f t="shared" si="18"/>
        <v>1</v>
      </c>
      <c r="D91" s="1642">
        <f t="shared" si="21"/>
        <v>324326</v>
      </c>
      <c r="E91" s="253">
        <f t="shared" si="19"/>
        <v>5.3079999999999998</v>
      </c>
      <c r="F91" s="17" t="s">
        <v>1182</v>
      </c>
      <c r="G91" s="1644">
        <f t="shared" si="20"/>
        <v>1721.522408</v>
      </c>
      <c r="H91" s="34" t="s">
        <v>123</v>
      </c>
      <c r="I91" s="1643" t="s">
        <v>1515</v>
      </c>
      <c r="J91" s="873"/>
    </row>
    <row r="92" spans="1:10" ht="28" hidden="1" customHeight="1" outlineLevel="1">
      <c r="B92" s="17" t="str">
        <f t="shared" si="17"/>
        <v>Underwear entraînement manches longues </v>
      </c>
      <c r="C92" s="18">
        <f t="shared" si="18"/>
        <v>1</v>
      </c>
      <c r="D92" s="1642">
        <f t="shared" si="21"/>
        <v>324326</v>
      </c>
      <c r="E92" s="253">
        <f t="shared" si="19"/>
        <v>6.6459999999999999</v>
      </c>
      <c r="F92" s="17" t="s">
        <v>1182</v>
      </c>
      <c r="G92" s="1644">
        <f t="shared" si="20"/>
        <v>2155.4705960000001</v>
      </c>
      <c r="H92" s="34" t="s">
        <v>123</v>
      </c>
      <c r="I92" s="1643" t="s">
        <v>1515</v>
      </c>
      <c r="J92" s="873"/>
    </row>
    <row r="93" spans="1:10" ht="28" hidden="1" customHeight="1" outlineLevel="1">
      <c r="B93" s="17" t="str">
        <f>T198</f>
        <v>Rain jacket </v>
      </c>
      <c r="C93" s="18">
        <f>V198</f>
        <v>0.5</v>
      </c>
      <c r="D93" s="1642">
        <f>C93*$C$24</f>
        <v>162163</v>
      </c>
      <c r="E93" s="253">
        <f>Y198</f>
        <v>14.007</v>
      </c>
      <c r="F93" s="17" t="s">
        <v>1182</v>
      </c>
      <c r="G93" s="1644">
        <f t="shared" si="20"/>
        <v>2271.4171409999999</v>
      </c>
      <c r="H93" s="34" t="s">
        <v>123</v>
      </c>
      <c r="I93" s="1643" t="s">
        <v>1515</v>
      </c>
      <c r="J93" s="873"/>
    </row>
    <row r="94" spans="1:10" ht="28" hidden="1" customHeight="1" outlineLevel="1">
      <c r="B94" s="17" t="str">
        <f>T199</f>
        <v>Pantalon entraînement </v>
      </c>
      <c r="C94" s="18">
        <f>V199</f>
        <v>0.5</v>
      </c>
      <c r="D94" s="1642">
        <f t="shared" ref="D94:D95" si="22">C94*$C$24</f>
        <v>162163</v>
      </c>
      <c r="E94" s="253">
        <f>Y199</f>
        <v>19.331</v>
      </c>
      <c r="F94" s="17" t="s">
        <v>1182</v>
      </c>
      <c r="G94" s="1644">
        <f t="shared" si="20"/>
        <v>3134.7729529999997</v>
      </c>
      <c r="H94" s="34" t="s">
        <v>123</v>
      </c>
      <c r="I94" s="1643" t="s">
        <v>1515</v>
      </c>
      <c r="J94" s="873"/>
    </row>
    <row r="95" spans="1:10" ht="28" hidden="1" customHeight="1" outlineLevel="1">
      <c r="B95" s="17" t="str">
        <f>T201</f>
        <v>1 maillot de son club favori OU équipe favorite </v>
      </c>
      <c r="C95" s="18">
        <f>V201</f>
        <v>2</v>
      </c>
      <c r="D95" s="1642">
        <f t="shared" si="22"/>
        <v>648652</v>
      </c>
      <c r="E95" s="253">
        <f t="shared" ref="E95" si="23">Y201</f>
        <v>4.98325</v>
      </c>
      <c r="F95" s="17" t="s">
        <v>1182</v>
      </c>
      <c r="G95" s="1644">
        <f t="shared" si="20"/>
        <v>3232.3950789999999</v>
      </c>
      <c r="H95" s="34" t="s">
        <v>123</v>
      </c>
      <c r="I95" s="1643" t="s">
        <v>1515</v>
      </c>
      <c r="J95" s="33"/>
    </row>
    <row r="96" spans="1:10" ht="28" hidden="1" customHeight="1" outlineLevel="1">
      <c r="B96" s="10"/>
      <c r="C96" s="10"/>
      <c r="D96" s="10"/>
      <c r="F96" s="117" t="s">
        <v>139</v>
      </c>
      <c r="G96" s="1645">
        <f>SUM(G86:G95)</f>
        <v>25905.214924</v>
      </c>
      <c r="H96" s="42" t="s">
        <v>123</v>
      </c>
      <c r="I96" s="10"/>
    </row>
    <row r="97" spans="1:10" ht="28" hidden="1" customHeight="1" outlineLevel="1">
      <c r="B97" s="31"/>
      <c r="E97" s="874"/>
      <c r="F97" s="875"/>
      <c r="G97" s="1735">
        <f>G96/($G$126+$G$105+$G$96)</f>
        <v>0.54800942873890046</v>
      </c>
    </row>
    <row r="98" spans="1:10" ht="28" hidden="1" customHeight="1" outlineLevel="1">
      <c r="B98" s="11" t="s">
        <v>1517</v>
      </c>
      <c r="E98" s="103"/>
      <c r="F98" s="103"/>
      <c r="G98" s="103"/>
      <c r="H98" s="103"/>
    </row>
    <row r="99" spans="1:10" ht="28" hidden="1" customHeight="1" outlineLevel="1">
      <c r="B99" s="1641" t="s">
        <v>426</v>
      </c>
      <c r="E99" s="103"/>
      <c r="F99" s="103"/>
      <c r="G99" s="103"/>
      <c r="H99" s="103"/>
    </row>
    <row r="100" spans="1:10" ht="28" hidden="1" customHeight="1" outlineLevel="1">
      <c r="B100" s="30"/>
      <c r="E100" s="103"/>
      <c r="F100" s="103"/>
      <c r="G100" s="103"/>
      <c r="H100" s="103"/>
    </row>
    <row r="101" spans="1:10" ht="28" hidden="1" customHeight="1" outlineLevel="1">
      <c r="B101" s="41" t="s">
        <v>16</v>
      </c>
      <c r="C101" s="41" t="s">
        <v>1516</v>
      </c>
      <c r="D101" s="41" t="s">
        <v>640</v>
      </c>
      <c r="E101" s="41" t="s">
        <v>639</v>
      </c>
      <c r="F101" s="41" t="s">
        <v>18</v>
      </c>
      <c r="G101" s="41" t="s">
        <v>637</v>
      </c>
      <c r="H101" s="41" t="s">
        <v>18</v>
      </c>
      <c r="I101" s="463" t="s">
        <v>1419</v>
      </c>
      <c r="J101" s="873" t="s">
        <v>26</v>
      </c>
    </row>
    <row r="102" spans="1:10" ht="28" hidden="1" customHeight="1" outlineLevel="1">
      <c r="A102" s="2246"/>
      <c r="B102" s="17" t="str">
        <f>U207</f>
        <v>Crampons Rugby vissées </v>
      </c>
      <c r="C102" s="18">
        <f>V207</f>
        <v>1</v>
      </c>
      <c r="D102" s="1642">
        <f>C102*$C$24</f>
        <v>324326</v>
      </c>
      <c r="E102" s="253">
        <f>Y207</f>
        <v>8.4809999999999999</v>
      </c>
      <c r="F102" s="17" t="s">
        <v>1182</v>
      </c>
      <c r="G102" s="1644">
        <f t="shared" ref="G102:G104" si="24">D102*E102/1000</f>
        <v>2750.6088059999997</v>
      </c>
      <c r="H102" s="34" t="s">
        <v>123</v>
      </c>
      <c r="I102" s="1643" t="s">
        <v>1515</v>
      </c>
      <c r="J102" s="873"/>
    </row>
    <row r="103" spans="1:10" ht="28" hidden="1" customHeight="1" outlineLevel="1">
      <c r="A103" s="2246"/>
      <c r="B103" s="17" t="str">
        <f t="shared" ref="B103:B104" si="25">U208</f>
        <v>Crampons Rugby moulées</v>
      </c>
      <c r="C103" s="18">
        <f t="shared" ref="C103:C104" si="26">V208</f>
        <v>1</v>
      </c>
      <c r="D103" s="1642">
        <f>C103*$C$24</f>
        <v>324326</v>
      </c>
      <c r="E103" s="253">
        <f t="shared" ref="E103:E104" si="27">Y208</f>
        <v>7.3109999999999999</v>
      </c>
      <c r="F103" s="17" t="s">
        <v>1182</v>
      </c>
      <c r="G103" s="1644">
        <f t="shared" si="24"/>
        <v>2371.1473860000001</v>
      </c>
      <c r="H103" s="34" t="s">
        <v>123</v>
      </c>
      <c r="I103" s="1643" t="s">
        <v>1515</v>
      </c>
      <c r="J103" s="873"/>
    </row>
    <row r="104" spans="1:10" ht="28" hidden="1" customHeight="1" outlineLevel="1">
      <c r="A104" s="2246"/>
      <c r="B104" s="17" t="str">
        <f t="shared" si="25"/>
        <v>Crampons Rugby hybrides </v>
      </c>
      <c r="C104" s="18">
        <f t="shared" si="26"/>
        <v>1</v>
      </c>
      <c r="D104" s="1642">
        <f>C104*$C$24</f>
        <v>324326</v>
      </c>
      <c r="E104" s="253">
        <f t="shared" si="27"/>
        <v>14.762</v>
      </c>
      <c r="F104" s="17" t="s">
        <v>1182</v>
      </c>
      <c r="G104" s="1644">
        <f t="shared" si="24"/>
        <v>4787.7004120000001</v>
      </c>
      <c r="H104" s="34" t="s">
        <v>123</v>
      </c>
      <c r="I104" s="1643" t="s">
        <v>1515</v>
      </c>
      <c r="J104" s="873"/>
    </row>
    <row r="105" spans="1:10" ht="28" hidden="1" customHeight="1" outlineLevel="1">
      <c r="B105" s="57"/>
      <c r="C105" s="95"/>
      <c r="D105" s="1646"/>
      <c r="E105" s="1647"/>
      <c r="F105" s="117" t="s">
        <v>139</v>
      </c>
      <c r="G105" s="1645">
        <f>SUM(G102:G104)</f>
        <v>9909.4566039999991</v>
      </c>
      <c r="H105" s="42" t="s">
        <v>123</v>
      </c>
      <c r="I105" s="1648"/>
      <c r="J105" s="66"/>
    </row>
    <row r="106" spans="1:10" ht="28" hidden="1" customHeight="1" outlineLevel="1">
      <c r="C106" s="70"/>
      <c r="D106" s="65"/>
      <c r="E106" s="66"/>
      <c r="F106" s="103"/>
      <c r="G106" s="1735">
        <f>G105/($G$126+$G$105+$G$96)</f>
        <v>0.20962866622040166</v>
      </c>
      <c r="H106" s="103"/>
      <c r="J106"/>
    </row>
    <row r="107" spans="1:10" ht="28" hidden="1" customHeight="1" outlineLevel="1">
      <c r="B107" s="11" t="s">
        <v>1520</v>
      </c>
      <c r="E107" s="103"/>
      <c r="F107" s="103"/>
      <c r="G107" s="103"/>
      <c r="H107" s="103"/>
      <c r="J107"/>
    </row>
    <row r="108" spans="1:10" ht="28" hidden="1" customHeight="1" outlineLevel="1">
      <c r="B108" s="1641" t="s">
        <v>426</v>
      </c>
      <c r="E108" s="103"/>
      <c r="F108" s="103"/>
      <c r="G108" s="103"/>
      <c r="H108" s="103"/>
    </row>
    <row r="109" spans="1:10" ht="28" hidden="1" customHeight="1" outlineLevel="1">
      <c r="B109" s="65"/>
      <c r="E109" s="103"/>
      <c r="F109" s="103"/>
      <c r="G109" s="103"/>
      <c r="H109" s="103"/>
    </row>
    <row r="110" spans="1:10" ht="28" hidden="1" customHeight="1" outlineLevel="1">
      <c r="B110" s="41" t="s">
        <v>16</v>
      </c>
      <c r="C110" s="41" t="s">
        <v>1516</v>
      </c>
      <c r="D110" s="41" t="s">
        <v>640</v>
      </c>
      <c r="E110" s="41" t="s">
        <v>639</v>
      </c>
      <c r="F110" s="41" t="s">
        <v>18</v>
      </c>
      <c r="G110" s="41" t="s">
        <v>637</v>
      </c>
      <c r="H110" s="41" t="s">
        <v>18</v>
      </c>
      <c r="I110" s="463" t="s">
        <v>1419</v>
      </c>
      <c r="J110" s="873" t="s">
        <v>26</v>
      </c>
    </row>
    <row r="111" spans="1:10" ht="28" hidden="1" customHeight="1" outlineLevel="1">
      <c r="A111" s="6"/>
      <c r="B111" s="17" t="str">
        <f>T202</f>
        <v>Echelle d 'entrainement</v>
      </c>
      <c r="C111" s="243">
        <f>V202/W202</f>
        <v>1.6666666666666666E-2</v>
      </c>
      <c r="D111" s="1642">
        <f>C111*$C$24</f>
        <v>5405.4333333333334</v>
      </c>
      <c r="E111" s="253">
        <f>Y202</f>
        <v>2.15</v>
      </c>
      <c r="F111" s="17" t="s">
        <v>1182</v>
      </c>
      <c r="G111" s="1644">
        <f t="shared" ref="G111:G113" si="28">D111*E111/1000</f>
        <v>11.621681666666666</v>
      </c>
      <c r="H111" s="34" t="s">
        <v>123</v>
      </c>
      <c r="I111" s="1643" t="s">
        <v>1515</v>
      </c>
      <c r="J111" s="887"/>
    </row>
    <row r="112" spans="1:10" ht="28" hidden="1" customHeight="1" outlineLevel="1">
      <c r="A112" s="6"/>
      <c r="B112" s="17" t="str">
        <f>T203</f>
        <v>lot de 40 coupelles</v>
      </c>
      <c r="C112" s="243">
        <f t="shared" ref="C112:C113" si="29">V203/W203</f>
        <v>1.6666666666666666E-2</v>
      </c>
      <c r="D112" s="1642">
        <f t="shared" ref="D112:D124" si="30">C112*$C$24</f>
        <v>5405.4333333333334</v>
      </c>
      <c r="E112" s="253">
        <f>Y203</f>
        <v>4.0570000000000004</v>
      </c>
      <c r="F112" s="17" t="s">
        <v>1182</v>
      </c>
      <c r="G112" s="1644">
        <f t="shared" si="28"/>
        <v>21.929843033333334</v>
      </c>
      <c r="H112" s="34" t="s">
        <v>123</v>
      </c>
      <c r="I112" s="1643" t="s">
        <v>1515</v>
      </c>
      <c r="J112" s="887"/>
    </row>
    <row r="113" spans="1:10" ht="28" hidden="1" customHeight="1" outlineLevel="1">
      <c r="A113" s="6"/>
      <c r="B113" s="17" t="str">
        <f>T204</f>
        <v>Chasubles adulte réversibles </v>
      </c>
      <c r="C113" s="243">
        <f t="shared" si="29"/>
        <v>3.3333333333333333E-2</v>
      </c>
      <c r="D113" s="1642">
        <f t="shared" si="30"/>
        <v>10810.866666666667</v>
      </c>
      <c r="E113" s="253">
        <f>Y204</f>
        <v>6.2060000000000004</v>
      </c>
      <c r="F113" s="17" t="s">
        <v>1182</v>
      </c>
      <c r="G113" s="1644">
        <f t="shared" si="28"/>
        <v>67.092238533333344</v>
      </c>
      <c r="H113" s="34" t="s">
        <v>123</v>
      </c>
      <c r="I113" s="1643" t="s">
        <v>1515</v>
      </c>
      <c r="J113" s="887"/>
    </row>
    <row r="114" spans="1:10" ht="28" hidden="1" customHeight="1" outlineLevel="1">
      <c r="A114" s="6"/>
      <c r="B114" s="17" t="str">
        <f>T205</f>
        <v>sac a ballon</v>
      </c>
      <c r="C114" s="243">
        <f>V205/W205</f>
        <v>8.3333333333333332E-3</v>
      </c>
      <c r="D114" s="1642">
        <f t="shared" si="30"/>
        <v>2702.7166666666667</v>
      </c>
      <c r="E114" s="253">
        <f>Y205</f>
        <v>6.694</v>
      </c>
      <c r="F114" s="17" t="s">
        <v>1182</v>
      </c>
      <c r="G114" s="1644">
        <f t="shared" ref="G114:G124" si="31">D114*E114/1000</f>
        <v>18.091985366666666</v>
      </c>
      <c r="H114" s="34" t="s">
        <v>123</v>
      </c>
      <c r="I114" s="1643" t="s">
        <v>1515</v>
      </c>
      <c r="J114" s="887"/>
    </row>
    <row r="115" spans="1:10" ht="28" hidden="1" customHeight="1" outlineLevel="1">
      <c r="A115" s="6"/>
      <c r="B115" s="17" t="str">
        <f>T211</f>
        <v>Ballon entrainement </v>
      </c>
      <c r="C115" s="243">
        <f>V211/W211</f>
        <v>0.33333333333333331</v>
      </c>
      <c r="D115" s="1642">
        <f t="shared" si="30"/>
        <v>108108.66666666666</v>
      </c>
      <c r="E115" s="253">
        <f t="shared" ref="E115:E124" si="32">Y211</f>
        <v>5.66</v>
      </c>
      <c r="F115" s="17" t="s">
        <v>1182</v>
      </c>
      <c r="G115" s="1644">
        <f t="shared" si="31"/>
        <v>611.89505333333329</v>
      </c>
      <c r="H115" s="34" t="s">
        <v>123</v>
      </c>
      <c r="I115" s="1643" t="s">
        <v>1515</v>
      </c>
      <c r="J115" s="887"/>
    </row>
    <row r="116" spans="1:10" ht="28" hidden="1" customHeight="1" outlineLevel="1">
      <c r="A116" s="6"/>
      <c r="B116" s="17" t="str">
        <f t="shared" ref="B116:B124" si="33">T212</f>
        <v>Ballon entrainement pédagogie débutant </v>
      </c>
      <c r="C116" s="243">
        <f t="shared" ref="C116:C124" si="34">V212/W212</f>
        <v>0.33333333333333331</v>
      </c>
      <c r="D116" s="1642">
        <f t="shared" si="30"/>
        <v>108108.66666666666</v>
      </c>
      <c r="E116" s="253">
        <f t="shared" si="32"/>
        <v>3.335</v>
      </c>
      <c r="F116" s="17" t="s">
        <v>1182</v>
      </c>
      <c r="G116" s="1644">
        <f t="shared" si="31"/>
        <v>360.54240333333331</v>
      </c>
      <c r="H116" s="34" t="s">
        <v>123</v>
      </c>
      <c r="I116" s="1643" t="s">
        <v>1515</v>
      </c>
      <c r="J116" s="887"/>
    </row>
    <row r="117" spans="1:10" ht="28" hidden="1" customHeight="1" outlineLevel="1">
      <c r="A117" s="6"/>
      <c r="B117" s="17" t="str">
        <f t="shared" si="33"/>
        <v>Ballon du match </v>
      </c>
      <c r="C117" s="243">
        <f t="shared" si="34"/>
        <v>0.33333333333333331</v>
      </c>
      <c r="D117" s="1642">
        <f t="shared" si="30"/>
        <v>108108.66666666666</v>
      </c>
      <c r="E117" s="253">
        <f t="shared" si="32"/>
        <v>6.3239999999999998</v>
      </c>
      <c r="F117" s="17" t="s">
        <v>1182</v>
      </c>
      <c r="G117" s="1644">
        <f t="shared" si="31"/>
        <v>683.6792079999999</v>
      </c>
      <c r="H117" s="34" t="s">
        <v>123</v>
      </c>
      <c r="I117" s="1643" t="s">
        <v>1515</v>
      </c>
      <c r="J117" s="887"/>
    </row>
    <row r="118" spans="1:10" ht="28" hidden="1" customHeight="1" outlineLevel="1">
      <c r="A118" s="6"/>
      <c r="B118" s="17" t="str">
        <f t="shared" si="33"/>
        <v>hydration - 1 gourde 500 ML transparente </v>
      </c>
      <c r="C118" s="243">
        <f t="shared" si="34"/>
        <v>1</v>
      </c>
      <c r="D118" s="1642">
        <f t="shared" si="30"/>
        <v>324326</v>
      </c>
      <c r="E118" s="253">
        <f t="shared" si="32"/>
        <v>0.92200000000000004</v>
      </c>
      <c r="F118" s="17" t="s">
        <v>1182</v>
      </c>
      <c r="G118" s="1644">
        <f t="shared" si="31"/>
        <v>299.028572</v>
      </c>
      <c r="H118" s="34" t="s">
        <v>123</v>
      </c>
      <c r="I118" s="1643" t="s">
        <v>1515</v>
      </c>
      <c r="J118" s="887"/>
    </row>
    <row r="119" spans="1:10" ht="28" hidden="1" customHeight="1" outlineLevel="1">
      <c r="A119" s="6"/>
      <c r="B119" s="17" t="str">
        <f t="shared" si="33"/>
        <v>Sac de sport 75L </v>
      </c>
      <c r="C119" s="243">
        <f t="shared" si="34"/>
        <v>0.25</v>
      </c>
      <c r="D119" s="1642">
        <f t="shared" si="30"/>
        <v>81081.5</v>
      </c>
      <c r="E119" s="253">
        <f t="shared" si="32"/>
        <v>23.613</v>
      </c>
      <c r="F119" s="17" t="s">
        <v>1182</v>
      </c>
      <c r="G119" s="1644">
        <f t="shared" si="31"/>
        <v>1914.5774594999998</v>
      </c>
      <c r="H119" s="34" t="s">
        <v>123</v>
      </c>
      <c r="I119" s="1643" t="s">
        <v>1515</v>
      </c>
      <c r="J119" s="887"/>
    </row>
    <row r="120" spans="1:10" ht="28" hidden="1" customHeight="1" outlineLevel="1">
      <c r="A120" s="6"/>
      <c r="B120" s="17" t="str">
        <f t="shared" si="33"/>
        <v>Sac à ballon </v>
      </c>
      <c r="C120" s="243">
        <f t="shared" si="34"/>
        <v>8.3333333333333332E-3</v>
      </c>
      <c r="D120" s="1642">
        <f t="shared" si="30"/>
        <v>2702.7166666666667</v>
      </c>
      <c r="E120" s="253">
        <f t="shared" si="32"/>
        <v>6.694</v>
      </c>
      <c r="F120" s="17" t="s">
        <v>1182</v>
      </c>
      <c r="G120" s="1644">
        <f t="shared" si="31"/>
        <v>18.091985366666666</v>
      </c>
      <c r="H120" s="34" t="s">
        <v>123</v>
      </c>
      <c r="I120" s="1643" t="s">
        <v>1515</v>
      </c>
      <c r="J120" s="887"/>
    </row>
    <row r="121" spans="1:10" ht="28" hidden="1" customHeight="1" outlineLevel="1">
      <c r="A121" s="6"/>
      <c r="B121" s="17" t="str">
        <f t="shared" si="33"/>
        <v>Serviette de douche microfibre taille XL </v>
      </c>
      <c r="C121" s="243">
        <f t="shared" si="34"/>
        <v>1</v>
      </c>
      <c r="D121" s="1642">
        <f t="shared" si="30"/>
        <v>324326</v>
      </c>
      <c r="E121" s="253">
        <f t="shared" si="32"/>
        <v>12.853999999999999</v>
      </c>
      <c r="F121" s="17" t="s">
        <v>1182</v>
      </c>
      <c r="G121" s="1644">
        <f t="shared" si="31"/>
        <v>4168.8864039999999</v>
      </c>
      <c r="H121" s="34" t="s">
        <v>123</v>
      </c>
      <c r="I121" s="1643" t="s">
        <v>1515</v>
      </c>
      <c r="J121" s="887"/>
    </row>
    <row r="122" spans="1:10" ht="28" hidden="1" customHeight="1" outlineLevel="1">
      <c r="A122" s="6"/>
      <c r="B122" s="17" t="str">
        <f t="shared" si="33"/>
        <v>Protège dents </v>
      </c>
      <c r="C122" s="243">
        <f t="shared" si="34"/>
        <v>2.5</v>
      </c>
      <c r="D122" s="1642">
        <f t="shared" si="30"/>
        <v>810815</v>
      </c>
      <c r="E122" s="253">
        <f t="shared" si="32"/>
        <v>0.20699999999999999</v>
      </c>
      <c r="F122" s="17" t="s">
        <v>1182</v>
      </c>
      <c r="G122" s="1644">
        <f t="shared" si="31"/>
        <v>167.83870499999998</v>
      </c>
      <c r="H122" s="34" t="s">
        <v>123</v>
      </c>
      <c r="I122" s="1643" t="s">
        <v>1515</v>
      </c>
      <c r="J122" s="887"/>
    </row>
    <row r="123" spans="1:10" ht="28" hidden="1" customHeight="1" outlineLevel="1">
      <c r="A123" s="6"/>
      <c r="B123" s="17" t="str">
        <f t="shared" si="33"/>
        <v>sous-vêtement protection </v>
      </c>
      <c r="C123" s="243">
        <f t="shared" si="34"/>
        <v>1</v>
      </c>
      <c r="D123" s="1642">
        <f t="shared" si="30"/>
        <v>324326</v>
      </c>
      <c r="E123" s="253">
        <f t="shared" si="32"/>
        <v>7.8289999999999997</v>
      </c>
      <c r="F123" s="17" t="s">
        <v>1182</v>
      </c>
      <c r="G123" s="1644">
        <f t="shared" si="31"/>
        <v>2539.1482539999997</v>
      </c>
      <c r="H123" s="34" t="s">
        <v>123</v>
      </c>
      <c r="I123" s="1643" t="s">
        <v>1515</v>
      </c>
      <c r="J123" s="887"/>
    </row>
    <row r="124" spans="1:10" ht="28" hidden="1" customHeight="1" outlineLevel="1">
      <c r="A124" s="6"/>
      <c r="B124" s="17" t="str">
        <f t="shared" si="33"/>
        <v>casque de protection </v>
      </c>
      <c r="C124" s="243">
        <f t="shared" si="34"/>
        <v>0.5</v>
      </c>
      <c r="D124" s="1642">
        <f t="shared" si="30"/>
        <v>162163</v>
      </c>
      <c r="E124" s="253">
        <f t="shared" si="32"/>
        <v>3.5419999999999998</v>
      </c>
      <c r="F124" s="17" t="s">
        <v>1182</v>
      </c>
      <c r="G124" s="1644">
        <f t="shared" si="31"/>
        <v>574.38134600000001</v>
      </c>
      <c r="H124" s="34" t="s">
        <v>123</v>
      </c>
      <c r="I124" s="1643" t="s">
        <v>1515</v>
      </c>
      <c r="J124" s="887"/>
    </row>
    <row r="125" spans="1:10" ht="28" hidden="1" customHeight="1" outlineLevel="1">
      <c r="A125" s="6"/>
      <c r="B125" s="17" t="str">
        <f>T223</f>
        <v>claquettes de douche SLAP 500 Nabaiji </v>
      </c>
      <c r="C125" s="243">
        <f>V223/W223</f>
        <v>1</v>
      </c>
      <c r="D125" s="1642">
        <f t="shared" ref="D125" si="35">C125*$C$24</f>
        <v>324326</v>
      </c>
      <c r="E125" s="253">
        <f>Y223</f>
        <v>3.0920000000000001</v>
      </c>
      <c r="F125" s="17" t="s">
        <v>1182</v>
      </c>
      <c r="G125" s="1644">
        <f t="shared" ref="G125" si="36">D125*E125/1000</f>
        <v>1002.8159919999999</v>
      </c>
      <c r="H125" s="34" t="s">
        <v>123</v>
      </c>
      <c r="I125" s="1643" t="s">
        <v>1515</v>
      </c>
      <c r="J125" s="887"/>
    </row>
    <row r="126" spans="1:10" ht="28" hidden="1" customHeight="1" outlineLevel="1">
      <c r="B126"/>
      <c r="C126"/>
      <c r="D126"/>
      <c r="F126" s="117" t="s">
        <v>139</v>
      </c>
      <c r="G126" s="1645">
        <f>SUM(G111:G124)</f>
        <v>11456.805139133332</v>
      </c>
      <c r="H126" s="42" t="s">
        <v>123</v>
      </c>
      <c r="I126"/>
    </row>
    <row r="127" spans="1:10" ht="28" customHeight="1" collapsed="1">
      <c r="B127" s="11"/>
      <c r="C127"/>
      <c r="D127"/>
      <c r="E127" s="878"/>
      <c r="F127" s="879"/>
      <c r="G127" s="1735"/>
      <c r="H127"/>
    </row>
    <row r="128" spans="1:10" ht="28" customHeight="1" thickBot="1">
      <c r="B128" s="11"/>
      <c r="C128"/>
      <c r="D128"/>
      <c r="E128" s="878"/>
      <c r="F128" s="879"/>
      <c r="G128" s="876"/>
      <c r="H128"/>
    </row>
    <row r="129" spans="2:12" ht="28" customHeight="1" thickBot="1">
      <c r="B129" s="881" t="s">
        <v>106</v>
      </c>
      <c r="C129" s="882">
        <f>G78+G57+G48+G96+G105+G126</f>
        <v>387722.67612584197</v>
      </c>
      <c r="D129" s="883" t="s">
        <v>123</v>
      </c>
      <c r="E129" s="1734"/>
      <c r="F129" s="879"/>
      <c r="G129" s="876"/>
      <c r="H129"/>
    </row>
    <row r="130" spans="2:12" ht="28" customHeight="1">
      <c r="B130"/>
      <c r="C130"/>
      <c r="D130"/>
      <c r="E130" s="878"/>
      <c r="F130" s="1874"/>
      <c r="G130" s="876"/>
      <c r="H130"/>
    </row>
    <row r="131" spans="2:12" ht="18" customHeight="1">
      <c r="B131"/>
      <c r="C131"/>
      <c r="D131"/>
    </row>
    <row r="132" spans="2:12" ht="18" customHeight="1">
      <c r="B132"/>
      <c r="C132"/>
      <c r="D132"/>
    </row>
    <row r="133" spans="2:12" ht="18" customHeight="1">
      <c r="B133"/>
      <c r="C133"/>
      <c r="D133"/>
    </row>
    <row r="134" spans="2:12" ht="23">
      <c r="B134" s="378" t="s">
        <v>431</v>
      </c>
    </row>
    <row r="135" spans="2:12" ht="22" hidden="1" customHeight="1" outlineLevel="1"/>
    <row r="136" spans="2:12" ht="16" hidden="1" customHeight="1" outlineLevel="1">
      <c r="F136"/>
    </row>
    <row r="137" spans="2:12" s="10" customFormat="1" ht="16" hidden="1" customHeight="1" outlineLevel="1">
      <c r="B137" s="443" t="s">
        <v>1675</v>
      </c>
      <c r="F137"/>
      <c r="G137"/>
      <c r="H137"/>
    </row>
    <row r="138" spans="2:12" ht="16" hidden="1" customHeight="1" outlineLevel="1">
      <c r="G138"/>
      <c r="H138"/>
    </row>
    <row r="139" spans="2:12" ht="16" hidden="1" customHeight="1" outlineLevel="1">
      <c r="B139" s="35" t="s">
        <v>1421</v>
      </c>
      <c r="C139" s="10"/>
      <c r="D139" s="10"/>
      <c r="E139" s="10"/>
      <c r="G139"/>
      <c r="H139"/>
      <c r="I139"/>
      <c r="J139"/>
      <c r="K139"/>
      <c r="L139"/>
    </row>
    <row r="140" spans="2:12" ht="34" hidden="1" customHeight="1" outlineLevel="1">
      <c r="B140" s="172" t="s">
        <v>16</v>
      </c>
      <c r="C140" s="172" t="s">
        <v>17</v>
      </c>
      <c r="D140" s="172" t="s">
        <v>18</v>
      </c>
      <c r="E140" s="172" t="s">
        <v>19</v>
      </c>
      <c r="G140"/>
      <c r="H140"/>
      <c r="I140"/>
      <c r="J140"/>
      <c r="K140"/>
      <c r="L140"/>
    </row>
    <row r="141" spans="2:12" ht="16" hidden="1" customHeight="1" outlineLevel="1">
      <c r="B141" s="34" t="s">
        <v>331</v>
      </c>
      <c r="C141" s="1552">
        <v>20.100000000000001</v>
      </c>
      <c r="D141" s="34" t="s">
        <v>48</v>
      </c>
      <c r="E141" s="1635" t="s">
        <v>1438</v>
      </c>
      <c r="G141"/>
      <c r="H141"/>
      <c r="I141"/>
      <c r="J141"/>
      <c r="K141"/>
      <c r="L141"/>
    </row>
    <row r="142" spans="2:12" ht="16" hidden="1" customHeight="1" outlineLevel="1">
      <c r="B142" s="34" t="s">
        <v>1364</v>
      </c>
      <c r="C142" s="1552">
        <v>4.82</v>
      </c>
      <c r="D142" s="34" t="s">
        <v>48</v>
      </c>
      <c r="E142" s="759" t="s">
        <v>1424</v>
      </c>
    </row>
    <row r="143" spans="2:12" ht="16" hidden="1" customHeight="1" outlineLevel="1">
      <c r="B143" s="34" t="s">
        <v>636</v>
      </c>
      <c r="C143" s="1552">
        <v>2.83</v>
      </c>
      <c r="D143" s="34" t="s">
        <v>48</v>
      </c>
      <c r="E143" s="1553" t="s">
        <v>1423</v>
      </c>
    </row>
    <row r="144" spans="2:12" ht="16" hidden="1" customHeight="1" outlineLevel="1">
      <c r="B144" s="34" t="s">
        <v>1420</v>
      </c>
      <c r="C144" s="1552">
        <f>I141</f>
        <v>0</v>
      </c>
      <c r="D144" s="34" t="s">
        <v>48</v>
      </c>
      <c r="E144" s="34" t="s">
        <v>1422</v>
      </c>
    </row>
    <row r="145" spans="2:18" ht="16" hidden="1" customHeight="1" outlineLevel="1">
      <c r="B145" s="34" t="s">
        <v>330</v>
      </c>
      <c r="C145" s="1552">
        <v>7</v>
      </c>
      <c r="D145" s="34" t="s">
        <v>48</v>
      </c>
      <c r="E145" s="34" t="s">
        <v>107</v>
      </c>
    </row>
    <row r="146" spans="2:18" ht="16" hidden="1" customHeight="1" outlineLevel="1">
      <c r="B146" s="34" t="s">
        <v>110</v>
      </c>
      <c r="C146" s="1552">
        <v>4.84</v>
      </c>
      <c r="D146" s="34" t="s">
        <v>111</v>
      </c>
      <c r="E146" s="34" t="s">
        <v>107</v>
      </c>
    </row>
    <row r="147" spans="2:18" ht="16" hidden="1" customHeight="1" outlineLevel="1">
      <c r="B147" s="17" t="s">
        <v>20</v>
      </c>
      <c r="C147" s="1552">
        <v>5.0999999999999997E-2</v>
      </c>
      <c r="D147" s="34" t="s">
        <v>46</v>
      </c>
      <c r="E147" s="34" t="s">
        <v>107</v>
      </c>
    </row>
    <row r="148" spans="2:18" ht="16" hidden="1" customHeight="1" outlineLevel="1"/>
    <row r="149" spans="2:18" ht="16" hidden="1" customHeight="1" outlineLevel="1">
      <c r="F149"/>
      <c r="G149"/>
      <c r="H149"/>
      <c r="I149"/>
      <c r="J149"/>
      <c r="K149"/>
      <c r="L149"/>
      <c r="M149"/>
      <c r="N149"/>
      <c r="O149"/>
      <c r="P149"/>
      <c r="Q149"/>
      <c r="R149"/>
    </row>
    <row r="150" spans="2:18" ht="16" hidden="1" customHeight="1" outlineLevel="1">
      <c r="B150" s="443"/>
      <c r="F150"/>
      <c r="G150"/>
      <c r="H150"/>
      <c r="I150"/>
      <c r="J150"/>
      <c r="K150"/>
      <c r="L150"/>
      <c r="M150"/>
      <c r="N150"/>
      <c r="O150"/>
      <c r="P150"/>
      <c r="Q150"/>
      <c r="R150"/>
    </row>
    <row r="151" spans="2:18" hidden="1" outlineLevel="1"/>
    <row r="152" spans="2:18" ht="20" hidden="1" outlineLevel="1">
      <c r="B152" s="443" t="s">
        <v>1676</v>
      </c>
    </row>
    <row r="153" spans="2:18" ht="20" hidden="1" outlineLevel="1">
      <c r="B153" s="443"/>
    </row>
    <row r="154" spans="2:18" ht="36" hidden="1" customHeight="1" outlineLevel="1">
      <c r="B154" s="257"/>
      <c r="C154" s="2247" t="s">
        <v>1425</v>
      </c>
      <c r="D154" s="2248"/>
      <c r="E154" s="2187" t="s">
        <v>1426</v>
      </c>
      <c r="F154" s="2187"/>
    </row>
    <row r="155" spans="2:18" ht="30" hidden="1" outlineLevel="1">
      <c r="B155" s="257"/>
      <c r="C155" s="1554" t="s">
        <v>1351</v>
      </c>
      <c r="D155" s="1554" t="s">
        <v>1350</v>
      </c>
      <c r="E155" s="1554" t="s">
        <v>1351</v>
      </c>
      <c r="F155" s="1554" t="s">
        <v>1350</v>
      </c>
    </row>
    <row r="156" spans="2:18" hidden="1" outlineLevel="1">
      <c r="B156" s="1555" t="s">
        <v>638</v>
      </c>
      <c r="C156" s="1556">
        <f>$C$161*D156</f>
        <v>0.71577000000000002</v>
      </c>
      <c r="D156" s="1557">
        <v>0.14849999999999999</v>
      </c>
      <c r="E156" s="1556">
        <f>$E$161*F156</f>
        <v>0.91522200000000009</v>
      </c>
      <c r="F156" s="1557">
        <v>0.32340000000000002</v>
      </c>
    </row>
    <row r="157" spans="2:18" hidden="1" outlineLevel="1">
      <c r="B157" s="1555" t="s">
        <v>1347</v>
      </c>
      <c r="C157" s="1556">
        <f>$C$161*D157</f>
        <v>3.304592</v>
      </c>
      <c r="D157" s="1557">
        <v>0.68559999999999999</v>
      </c>
      <c r="E157" s="1556">
        <f t="shared" ref="E157:E160" si="37">$E$161*F157</f>
        <v>1.6077230000000002</v>
      </c>
      <c r="F157" s="1557">
        <v>0.56810000000000005</v>
      </c>
    </row>
    <row r="158" spans="2:18" hidden="1" outlineLevel="1">
      <c r="B158" s="1555" t="s">
        <v>1348</v>
      </c>
      <c r="C158" s="1556">
        <f>$C$161*D158</f>
        <v>0.20629600000000001</v>
      </c>
      <c r="D158" s="1557">
        <v>4.2799999999999998E-2</v>
      </c>
      <c r="E158" s="1556">
        <f t="shared" si="37"/>
        <v>0.11687900000000001</v>
      </c>
      <c r="F158" s="1557">
        <v>4.1300000000000003E-2</v>
      </c>
    </row>
    <row r="159" spans="2:18" hidden="1" outlineLevel="1">
      <c r="B159" s="1555" t="s">
        <v>1345</v>
      </c>
      <c r="C159" s="1556">
        <f>$C$161*D159</f>
        <v>0.41789400000000004</v>
      </c>
      <c r="D159" s="1557">
        <v>8.6699999999999999E-2</v>
      </c>
      <c r="E159" s="1556">
        <f t="shared" si="37"/>
        <v>8.5466E-2</v>
      </c>
      <c r="F159" s="1557">
        <v>3.0200000000000001E-2</v>
      </c>
    </row>
    <row r="160" spans="2:18" hidden="1" outlineLevel="1">
      <c r="B160" s="1555" t="s">
        <v>1346</v>
      </c>
      <c r="C160" s="1556">
        <f>$C$161*D160</f>
        <v>0.17496600000000001</v>
      </c>
      <c r="D160" s="1557">
        <v>3.6299999999999999E-2</v>
      </c>
      <c r="E160" s="1556">
        <f t="shared" si="37"/>
        <v>0.10471</v>
      </c>
      <c r="F160" s="1557">
        <v>3.6999999999999998E-2</v>
      </c>
    </row>
    <row r="161" spans="2:6" hidden="1" outlineLevel="1">
      <c r="B161" s="1558" t="s">
        <v>139</v>
      </c>
      <c r="C161" s="1559">
        <f>C142</f>
        <v>4.82</v>
      </c>
      <c r="D161" s="1560">
        <f>SUM(D156:D160)</f>
        <v>0.9998999999999999</v>
      </c>
      <c r="E161" s="1559">
        <f>C143</f>
        <v>2.83</v>
      </c>
      <c r="F161" s="1560">
        <f>SUM(F156:F160)</f>
        <v>1</v>
      </c>
    </row>
    <row r="162" spans="2:6" hidden="1" outlineLevel="1"/>
    <row r="163" spans="2:6" hidden="1" outlineLevel="1"/>
    <row r="164" spans="2:6" hidden="1" outlineLevel="1"/>
    <row r="165" spans="2:6" hidden="1" outlineLevel="1"/>
    <row r="166" spans="2:6" hidden="1" outlineLevel="1"/>
    <row r="167" spans="2:6" hidden="1" outlineLevel="1"/>
    <row r="168" spans="2:6" hidden="1" outlineLevel="1"/>
    <row r="169" spans="2:6" hidden="1" outlineLevel="1"/>
    <row r="170" spans="2:6" hidden="1" outlineLevel="1"/>
    <row r="171" spans="2:6" hidden="1" outlineLevel="1"/>
    <row r="172" spans="2:6" hidden="1" outlineLevel="1"/>
    <row r="173" spans="2:6" hidden="1" outlineLevel="1"/>
    <row r="174" spans="2:6" hidden="1" outlineLevel="1"/>
    <row r="175" spans="2:6" hidden="1" outlineLevel="1"/>
    <row r="176" spans="2:6" hidden="1" outlineLevel="1"/>
    <row r="177" spans="1:47" hidden="1" outlineLevel="1"/>
    <row r="178" spans="1:47" hidden="1" outlineLevel="1"/>
    <row r="179" spans="1:47" hidden="1" outlineLevel="1"/>
    <row r="180" spans="1:47" hidden="1" outlineLevel="1"/>
    <row r="181" spans="1:47" hidden="1" outlineLevel="1"/>
    <row r="182" spans="1:47" hidden="1" outlineLevel="1"/>
    <row r="183" spans="1:47" hidden="1" outlineLevel="1"/>
    <row r="184" spans="1:47" hidden="1" outlineLevel="1"/>
    <row r="185" spans="1:47" ht="20" hidden="1" outlineLevel="1">
      <c r="B185" s="443" t="s">
        <v>1677</v>
      </c>
    </row>
    <row r="186" spans="1:47" ht="20" hidden="1" outlineLevel="1">
      <c r="B186" s="443"/>
    </row>
    <row r="187" spans="1:47" customFormat="1" ht="75" hidden="1" outlineLevel="1">
      <c r="A187" s="1638"/>
      <c r="B187" s="47" t="s">
        <v>1452</v>
      </c>
      <c r="C187" s="47" t="s">
        <v>1453</v>
      </c>
      <c r="D187" s="47" t="s">
        <v>1454</v>
      </c>
      <c r="E187" s="47" t="s">
        <v>1455</v>
      </c>
      <c r="F187" s="47" t="s">
        <v>26</v>
      </c>
      <c r="G187" s="47" t="s">
        <v>1506</v>
      </c>
      <c r="H187" s="47" t="s">
        <v>1481</v>
      </c>
      <c r="I187" s="47" t="s">
        <v>1482</v>
      </c>
      <c r="J187" s="47" t="s">
        <v>1483</v>
      </c>
      <c r="K187" s="107" t="s">
        <v>1456</v>
      </c>
      <c r="L187" s="107" t="s">
        <v>1457</v>
      </c>
      <c r="M187" s="107" t="s">
        <v>1458</v>
      </c>
      <c r="N187" s="107" t="s">
        <v>1459</v>
      </c>
      <c r="O187" s="107" t="s">
        <v>1460</v>
      </c>
      <c r="P187" s="107" t="s">
        <v>1461</v>
      </c>
      <c r="Q187" s="1768"/>
      <c r="R187" s="47" t="s">
        <v>1452</v>
      </c>
      <c r="S187" s="47" t="s">
        <v>1453</v>
      </c>
      <c r="T187" s="47" t="s">
        <v>1454</v>
      </c>
      <c r="U187" s="47" t="s">
        <v>1455</v>
      </c>
      <c r="V187" s="47" t="s">
        <v>1506</v>
      </c>
      <c r="W187" s="47" t="s">
        <v>1481</v>
      </c>
      <c r="X187" s="47" t="s">
        <v>1482</v>
      </c>
      <c r="Y187" s="47" t="s">
        <v>1483</v>
      </c>
      <c r="Z187" s="107" t="s">
        <v>1456</v>
      </c>
      <c r="AA187" s="107" t="s">
        <v>1457</v>
      </c>
      <c r="AB187" s="107" t="s">
        <v>1458</v>
      </c>
      <c r="AC187" s="107" t="s">
        <v>1459</v>
      </c>
      <c r="AD187" s="107" t="s">
        <v>1460</v>
      </c>
      <c r="AE187" s="107" t="s">
        <v>1461</v>
      </c>
      <c r="AF187" s="5"/>
      <c r="AG187" s="5"/>
      <c r="AH187" s="5"/>
      <c r="AI187" s="5"/>
    </row>
    <row r="188" spans="1:47" customFormat="1" ht="16" hidden="1" customHeight="1" outlineLevel="1">
      <c r="A188" s="1638"/>
      <c r="B188" s="34" t="s">
        <v>1484</v>
      </c>
      <c r="C188" s="34" t="s">
        <v>1462</v>
      </c>
      <c r="D188" s="34" t="s">
        <v>1467</v>
      </c>
      <c r="E188" s="17" t="s">
        <v>1468</v>
      </c>
      <c r="F188" s="17" t="s">
        <v>1485</v>
      </c>
      <c r="G188" s="18">
        <v>1</v>
      </c>
      <c r="H188" s="18">
        <v>1</v>
      </c>
      <c r="I188" s="34"/>
      <c r="J188" s="1674">
        <f>SUM(K188:P188)</f>
        <v>6.1569999999999991</v>
      </c>
      <c r="K188" s="1675">
        <v>4.08</v>
      </c>
      <c r="L188" s="1675">
        <v>6.8000000000000005E-2</v>
      </c>
      <c r="M188" s="1675">
        <v>7.1999999999999995E-2</v>
      </c>
      <c r="N188" s="1675">
        <v>0.14099999999999999</v>
      </c>
      <c r="O188" s="1675">
        <v>1.778</v>
      </c>
      <c r="P188" s="1675">
        <v>1.7999999999999999E-2</v>
      </c>
      <c r="Q188" s="1769"/>
      <c r="R188" s="34" t="s">
        <v>1622</v>
      </c>
      <c r="S188" s="34" t="s">
        <v>1462</v>
      </c>
      <c r="T188" s="34" t="s">
        <v>1467</v>
      </c>
      <c r="U188" s="34" t="s">
        <v>1623</v>
      </c>
      <c r="V188" s="34">
        <v>2</v>
      </c>
      <c r="W188" s="34">
        <v>1</v>
      </c>
      <c r="X188" s="34" t="s">
        <v>1466</v>
      </c>
      <c r="Y188" s="34">
        <v>4.0609999999999999</v>
      </c>
      <c r="Z188" s="34">
        <v>2.4187500000000002</v>
      </c>
      <c r="AA188" s="34">
        <v>6.8000000000000005E-2</v>
      </c>
      <c r="AB188" s="34">
        <v>6.3E-2</v>
      </c>
      <c r="AC188" s="34">
        <v>0.124</v>
      </c>
      <c r="AD188" s="34">
        <v>1.3819999999999999</v>
      </c>
      <c r="AE188" s="34">
        <v>5.2500000000000003E-3</v>
      </c>
      <c r="AF188" s="5"/>
      <c r="AG188" s="1671"/>
      <c r="AH188" s="1671"/>
      <c r="AI188" s="1671"/>
      <c r="AJ188" s="1671"/>
      <c r="AK188" s="1671"/>
      <c r="AL188" s="1671"/>
      <c r="AM188" s="1671"/>
      <c r="AN188" s="1671"/>
      <c r="AO188" s="1671"/>
      <c r="AP188" s="1671"/>
      <c r="AQ188" s="1671"/>
      <c r="AR188" s="1671"/>
      <c r="AS188" s="1671"/>
      <c r="AT188" s="1671"/>
      <c r="AU188" s="1671"/>
    </row>
    <row r="189" spans="1:47" customFormat="1" ht="16" hidden="1" customHeight="1" outlineLevel="1">
      <c r="A189" s="1638"/>
      <c r="B189" s="34" t="s">
        <v>1484</v>
      </c>
      <c r="C189" s="34" t="s">
        <v>1462</v>
      </c>
      <c r="D189" s="34" t="s">
        <v>1486</v>
      </c>
      <c r="E189" s="17" t="s">
        <v>1469</v>
      </c>
      <c r="F189" s="17" t="s">
        <v>1507</v>
      </c>
      <c r="G189" s="18">
        <v>1</v>
      </c>
      <c r="H189" s="18">
        <v>1</v>
      </c>
      <c r="I189" s="34"/>
      <c r="J189" s="1674">
        <f t="shared" ref="J189:J219" si="38">SUM(K189:P189)</f>
        <v>2.9489999999999998</v>
      </c>
      <c r="K189" s="1675">
        <v>1.744</v>
      </c>
      <c r="L189" s="1675">
        <v>0.104</v>
      </c>
      <c r="M189" s="1675">
        <v>5.0000000000000001E-3</v>
      </c>
      <c r="N189" s="1675">
        <v>0.16500000000000001</v>
      </c>
      <c r="O189" s="1675">
        <v>0.89</v>
      </c>
      <c r="P189" s="1675">
        <v>4.1000000000000002E-2</v>
      </c>
      <c r="Q189" s="1769"/>
      <c r="R189" s="34" t="s">
        <v>1622</v>
      </c>
      <c r="S189" s="34" t="s">
        <v>1462</v>
      </c>
      <c r="T189" s="34" t="s">
        <v>1624</v>
      </c>
      <c r="U189" s="34" t="s">
        <v>1625</v>
      </c>
      <c r="V189" s="34">
        <v>2</v>
      </c>
      <c r="W189" s="34">
        <v>1</v>
      </c>
      <c r="X189" s="34" t="s">
        <v>1463</v>
      </c>
      <c r="Y189" s="34">
        <v>6.1449999999999996</v>
      </c>
      <c r="Z189" s="34">
        <v>4.101</v>
      </c>
      <c r="AA189" s="34">
        <v>0.104</v>
      </c>
      <c r="AB189" s="34">
        <v>7.8E-2</v>
      </c>
      <c r="AC189" s="34">
        <v>0.19700000000000001</v>
      </c>
      <c r="AD189" s="34">
        <v>1.655</v>
      </c>
      <c r="AE189" s="34">
        <v>0.01</v>
      </c>
      <c r="AF189" s="5"/>
      <c r="AG189" s="1671"/>
      <c r="AH189" s="1671"/>
      <c r="AI189" s="1671"/>
      <c r="AJ189" s="1671"/>
      <c r="AK189" s="1671"/>
      <c r="AL189" s="1671"/>
      <c r="AM189" s="1671"/>
      <c r="AN189" s="1671"/>
      <c r="AO189" s="1671"/>
      <c r="AP189" s="1671"/>
      <c r="AQ189" s="1671"/>
      <c r="AR189" s="1671"/>
      <c r="AS189" s="1671"/>
      <c r="AT189" s="1671"/>
      <c r="AU189" s="1671"/>
    </row>
    <row r="190" spans="1:47" customFormat="1" ht="16" hidden="1" customHeight="1" outlineLevel="1">
      <c r="A190" s="1638"/>
      <c r="B190" s="34" t="s">
        <v>1484</v>
      </c>
      <c r="C190" s="34" t="s">
        <v>1462</v>
      </c>
      <c r="D190" s="34" t="s">
        <v>1487</v>
      </c>
      <c r="E190" s="17" t="s">
        <v>1470</v>
      </c>
      <c r="F190" s="17" t="s">
        <v>1488</v>
      </c>
      <c r="G190" s="18">
        <v>1</v>
      </c>
      <c r="H190" s="18">
        <v>1</v>
      </c>
      <c r="I190" s="34"/>
      <c r="J190" s="1674">
        <f t="shared" si="38"/>
        <v>2.7549999999999999</v>
      </c>
      <c r="K190" s="1675">
        <v>1.7529999999999999</v>
      </c>
      <c r="L190" s="1675">
        <v>0</v>
      </c>
      <c r="M190" s="1675">
        <v>0.61299999999999999</v>
      </c>
      <c r="N190" s="1675">
        <v>9.0999999999999998E-2</v>
      </c>
      <c r="O190" s="1675">
        <v>0.36199999999999999</v>
      </c>
      <c r="P190" s="1675">
        <v>-6.4000000000000001E-2</v>
      </c>
      <c r="Q190" s="1769"/>
      <c r="R190" s="34" t="s">
        <v>1622</v>
      </c>
      <c r="S190" s="34" t="s">
        <v>1462</v>
      </c>
      <c r="T190" s="34" t="s">
        <v>1626</v>
      </c>
      <c r="U190" s="34" t="s">
        <v>1627</v>
      </c>
      <c r="V190" s="34">
        <v>1</v>
      </c>
      <c r="W190" s="34">
        <v>1</v>
      </c>
      <c r="X190" s="34" t="s">
        <v>1463</v>
      </c>
      <c r="Y190" s="34">
        <v>2.7549999999999999</v>
      </c>
      <c r="Z190" s="34">
        <v>1.706</v>
      </c>
      <c r="AA190" s="34">
        <v>0</v>
      </c>
      <c r="AB190" s="34">
        <v>0.65700000000000003</v>
      </c>
      <c r="AC190" s="34">
        <v>9.0999999999999998E-2</v>
      </c>
      <c r="AD190" s="34">
        <v>0.36499999999999999</v>
      </c>
      <c r="AE190" s="34">
        <v>-6.4000000000000001E-2</v>
      </c>
      <c r="AF190" s="5"/>
      <c r="AG190" s="1671"/>
      <c r="AH190" s="1671"/>
      <c r="AI190" s="1671"/>
      <c r="AJ190" s="1671"/>
      <c r="AK190" s="1671"/>
      <c r="AL190" s="1671"/>
      <c r="AM190" s="1671"/>
      <c r="AN190" s="1671"/>
      <c r="AO190" s="1671"/>
      <c r="AP190" s="1671"/>
      <c r="AQ190" s="1671"/>
      <c r="AR190" s="1671"/>
      <c r="AS190" s="1671"/>
      <c r="AT190" s="1671"/>
      <c r="AU190" s="1671"/>
    </row>
    <row r="191" spans="1:47" customFormat="1" ht="16" hidden="1" customHeight="1" outlineLevel="1">
      <c r="A191" s="1638"/>
      <c r="B191" s="34" t="s">
        <v>1484</v>
      </c>
      <c r="C191" s="34" t="s">
        <v>1462</v>
      </c>
      <c r="D191" s="34" t="s">
        <v>1472</v>
      </c>
      <c r="E191" s="17" t="s">
        <v>1473</v>
      </c>
      <c r="F191" s="18"/>
      <c r="G191" s="18">
        <v>2</v>
      </c>
      <c r="H191" s="18">
        <v>1</v>
      </c>
      <c r="I191" s="34" t="s">
        <v>1463</v>
      </c>
      <c r="J191" s="1674">
        <f t="shared" si="38"/>
        <v>2.9489999999999998</v>
      </c>
      <c r="K191" s="1675">
        <v>1.744</v>
      </c>
      <c r="L191" s="1675">
        <v>0.104</v>
      </c>
      <c r="M191" s="1675">
        <v>5.0000000000000001E-3</v>
      </c>
      <c r="N191" s="1675">
        <v>0.16500000000000001</v>
      </c>
      <c r="O191" s="1675">
        <v>0.89</v>
      </c>
      <c r="P191" s="1675">
        <v>4.1000000000000002E-2</v>
      </c>
      <c r="Q191" s="1769"/>
      <c r="R191" s="34" t="s">
        <v>1622</v>
      </c>
      <c r="S191" s="34" t="s">
        <v>1462</v>
      </c>
      <c r="T191" s="34" t="s">
        <v>1629</v>
      </c>
      <c r="U191" s="34" t="s">
        <v>1625</v>
      </c>
      <c r="V191" s="34">
        <v>2.5</v>
      </c>
      <c r="W191" s="34">
        <v>1</v>
      </c>
      <c r="X191" s="34" t="s">
        <v>1463</v>
      </c>
      <c r="Y191" s="34">
        <v>6.1449999999999996</v>
      </c>
      <c r="Z191" s="34">
        <v>4.101</v>
      </c>
      <c r="AA191" s="34">
        <v>0.104</v>
      </c>
      <c r="AB191" s="34">
        <v>7.8E-2</v>
      </c>
      <c r="AC191" s="34">
        <v>0.19700000000000001</v>
      </c>
      <c r="AD191" s="34">
        <v>1.655</v>
      </c>
      <c r="AE191" s="34">
        <v>0.01</v>
      </c>
      <c r="AF191" s="5"/>
      <c r="AG191" s="1671"/>
      <c r="AH191" s="1671"/>
      <c r="AI191" s="1671"/>
      <c r="AJ191" s="1671"/>
      <c r="AK191" s="1671"/>
      <c r="AL191" s="1671"/>
      <c r="AM191" s="1671"/>
      <c r="AN191" s="1671"/>
      <c r="AO191" s="1671"/>
      <c r="AP191" s="1671"/>
      <c r="AQ191" s="1671"/>
      <c r="AR191" s="1671"/>
      <c r="AS191" s="1671"/>
      <c r="AT191" s="1671"/>
      <c r="AU191" s="1671"/>
    </row>
    <row r="192" spans="1:47" customFormat="1" ht="16" hidden="1" customHeight="1" outlineLevel="1">
      <c r="A192" s="1638"/>
      <c r="B192" s="34" t="s">
        <v>1484</v>
      </c>
      <c r="C192" s="34" t="s">
        <v>1462</v>
      </c>
      <c r="D192" s="34" t="s">
        <v>1476</v>
      </c>
      <c r="E192" s="17"/>
      <c r="F192" s="18"/>
      <c r="G192" s="18">
        <v>3</v>
      </c>
      <c r="H192" s="18">
        <v>1</v>
      </c>
      <c r="I192" s="34" t="s">
        <v>1463</v>
      </c>
      <c r="J192" s="1674">
        <f t="shared" si="38"/>
        <v>2.7549999999999999</v>
      </c>
      <c r="K192" s="1675">
        <v>1.7529999999999999</v>
      </c>
      <c r="L192" s="1675">
        <v>0</v>
      </c>
      <c r="M192" s="1675">
        <v>0.61299999999999999</v>
      </c>
      <c r="N192" s="1675">
        <v>9.0999999999999998E-2</v>
      </c>
      <c r="O192" s="1675">
        <v>0.36199999999999999</v>
      </c>
      <c r="P192" s="1675">
        <v>-6.4000000000000001E-2</v>
      </c>
      <c r="Q192" s="1769"/>
      <c r="R192" s="34" t="s">
        <v>1622</v>
      </c>
      <c r="S192" s="34" t="s">
        <v>1462</v>
      </c>
      <c r="T192" s="34" t="s">
        <v>1632</v>
      </c>
      <c r="U192" s="34" t="s">
        <v>1633</v>
      </c>
      <c r="V192" s="34">
        <v>1</v>
      </c>
      <c r="W192" s="34">
        <v>1</v>
      </c>
      <c r="X192" s="34" t="s">
        <v>1463</v>
      </c>
      <c r="Y192" s="34">
        <v>2.7549999999999999</v>
      </c>
      <c r="Z192" s="34">
        <v>1.706</v>
      </c>
      <c r="AA192" s="34">
        <v>0</v>
      </c>
      <c r="AB192" s="34">
        <v>0.65700000000000003</v>
      </c>
      <c r="AC192" s="34">
        <v>9.0999999999999998E-2</v>
      </c>
      <c r="AD192" s="34">
        <v>0.36499999999999999</v>
      </c>
      <c r="AE192" s="34">
        <v>-6.4000000000000001E-2</v>
      </c>
      <c r="AF192" s="5"/>
      <c r="AG192" s="1671"/>
      <c r="AH192" s="1671"/>
      <c r="AI192" s="1671"/>
      <c r="AJ192" s="1671"/>
      <c r="AK192" s="1671"/>
      <c r="AL192" s="1671"/>
      <c r="AM192" s="1671"/>
      <c r="AN192" s="1671"/>
      <c r="AO192" s="1671"/>
      <c r="AP192" s="1671"/>
      <c r="AQ192" s="1671"/>
      <c r="AR192" s="1671"/>
      <c r="AS192" s="1671"/>
      <c r="AT192" s="1671"/>
      <c r="AU192" s="1671"/>
    </row>
    <row r="193" spans="1:47" customFormat="1" ht="16" hidden="1" customHeight="1" outlineLevel="1">
      <c r="A193" s="1638"/>
      <c r="B193" s="34" t="s">
        <v>1484</v>
      </c>
      <c r="C193" s="34" t="s">
        <v>1462</v>
      </c>
      <c r="D193" s="34" t="s">
        <v>1495</v>
      </c>
      <c r="E193" s="17"/>
      <c r="F193" s="18"/>
      <c r="G193" s="18">
        <v>0.5</v>
      </c>
      <c r="H193" s="18">
        <v>1</v>
      </c>
      <c r="I193" s="34" t="s">
        <v>1463</v>
      </c>
      <c r="J193" s="1674">
        <f t="shared" si="38"/>
        <v>12.57</v>
      </c>
      <c r="K193" s="1675">
        <v>8.1080000000000005</v>
      </c>
      <c r="L193" s="1675">
        <v>8.4000000000000005E-2</v>
      </c>
      <c r="M193" s="1675">
        <v>0.153</v>
      </c>
      <c r="N193" s="1675">
        <v>0.20599999999999999</v>
      </c>
      <c r="O193" s="1675">
        <v>4.0069999999999997</v>
      </c>
      <c r="P193" s="1675">
        <v>1.2E-2</v>
      </c>
      <c r="Q193" s="1769"/>
      <c r="R193" s="34" t="s">
        <v>1622</v>
      </c>
      <c r="S193" s="34" t="s">
        <v>1462</v>
      </c>
      <c r="T193" s="34" t="s">
        <v>1645</v>
      </c>
      <c r="U193" s="34" t="s">
        <v>1646</v>
      </c>
      <c r="V193" s="34">
        <v>1</v>
      </c>
      <c r="W193" s="34">
        <v>1</v>
      </c>
      <c r="X193" s="34" t="s">
        <v>1463</v>
      </c>
      <c r="Y193" s="34">
        <v>5.3079999999999998</v>
      </c>
      <c r="Z193" s="34">
        <v>3.3719999999999999</v>
      </c>
      <c r="AA193" s="34">
        <v>8.4000000000000005E-2</v>
      </c>
      <c r="AB193" s="34">
        <v>7.9000000000000001E-2</v>
      </c>
      <c r="AC193" s="34">
        <v>0.109</v>
      </c>
      <c r="AD193" s="34">
        <v>1.5509999999999999</v>
      </c>
      <c r="AE193" s="34">
        <v>0.113</v>
      </c>
      <c r="AF193" s="5"/>
      <c r="AG193" s="1671"/>
      <c r="AH193" s="1671"/>
      <c r="AI193" s="1671"/>
      <c r="AJ193" s="1637"/>
      <c r="AK193" s="1671"/>
      <c r="AL193" s="1671"/>
      <c r="AM193" s="1671"/>
      <c r="AN193" s="1671"/>
      <c r="AO193" s="1671"/>
      <c r="AP193" s="1671"/>
      <c r="AQ193" s="1671"/>
      <c r="AR193" s="1671"/>
      <c r="AS193" s="1671"/>
      <c r="AT193" s="1671"/>
      <c r="AU193" s="1671"/>
    </row>
    <row r="194" spans="1:47" customFormat="1" ht="16" hidden="1" customHeight="1" outlineLevel="1">
      <c r="A194" s="1638"/>
      <c r="B194" s="34" t="s">
        <v>1484</v>
      </c>
      <c r="C194" s="34" t="s">
        <v>1462</v>
      </c>
      <c r="D194" s="34" t="s">
        <v>1496</v>
      </c>
      <c r="E194" s="17"/>
      <c r="F194" s="18"/>
      <c r="G194" s="18">
        <v>1</v>
      </c>
      <c r="H194" s="18">
        <v>1</v>
      </c>
      <c r="I194" s="34" t="s">
        <v>1463</v>
      </c>
      <c r="J194" s="1674">
        <f t="shared" si="38"/>
        <v>6.645999999999999</v>
      </c>
      <c r="K194" s="1675">
        <v>4.3220000000000001</v>
      </c>
      <c r="L194" s="1675">
        <v>6.8000000000000005E-2</v>
      </c>
      <c r="M194" s="1675">
        <v>7.5999999999999998E-2</v>
      </c>
      <c r="N194" s="1675">
        <v>0.14799999999999999</v>
      </c>
      <c r="O194" s="1675">
        <v>1.95</v>
      </c>
      <c r="P194" s="1675">
        <v>8.2000000000000003E-2</v>
      </c>
      <c r="Q194" s="1769"/>
      <c r="R194" s="34" t="s">
        <v>1622</v>
      </c>
      <c r="S194" s="34" t="s">
        <v>1462</v>
      </c>
      <c r="T194" s="34" t="s">
        <v>1648</v>
      </c>
      <c r="U194" s="34" t="s">
        <v>1649</v>
      </c>
      <c r="V194" s="34">
        <v>1</v>
      </c>
      <c r="W194" s="34">
        <v>1</v>
      </c>
      <c r="X194" s="34" t="s">
        <v>1463</v>
      </c>
      <c r="Y194" s="34">
        <v>6.6459999999999999</v>
      </c>
      <c r="Z194" s="34">
        <v>4.3220000000000001</v>
      </c>
      <c r="AA194" s="34">
        <v>6.8000000000000005E-2</v>
      </c>
      <c r="AB194" s="34">
        <v>7.5999999999999998E-2</v>
      </c>
      <c r="AC194" s="34">
        <v>0.14799999999999999</v>
      </c>
      <c r="AD194" s="34">
        <v>1.95</v>
      </c>
      <c r="AE194" s="34">
        <v>8.2000000000000003E-2</v>
      </c>
      <c r="AF194" s="5"/>
      <c r="AG194" s="1671"/>
      <c r="AH194" s="1671"/>
      <c r="AI194" s="1671"/>
      <c r="AJ194" s="1637"/>
      <c r="AK194" s="1671"/>
      <c r="AL194" s="1671"/>
      <c r="AM194" s="1671"/>
      <c r="AN194" s="1671"/>
      <c r="AO194" s="1671"/>
      <c r="AP194" s="1671"/>
      <c r="AQ194" s="1671"/>
      <c r="AR194" s="1671"/>
      <c r="AS194" s="1671"/>
      <c r="AT194" s="1671"/>
      <c r="AU194" s="1671"/>
    </row>
    <row r="195" spans="1:47" customFormat="1" ht="16" hidden="1" customHeight="1" outlineLevel="1">
      <c r="A195" s="1638"/>
      <c r="B195" s="34" t="s">
        <v>1484</v>
      </c>
      <c r="C195" s="34" t="s">
        <v>1462</v>
      </c>
      <c r="D195" s="34" t="s">
        <v>1497</v>
      </c>
      <c r="E195" s="17"/>
      <c r="F195" s="18"/>
      <c r="G195" s="18">
        <v>0.5</v>
      </c>
      <c r="H195" s="18">
        <v>1</v>
      </c>
      <c r="I195" s="34" t="s">
        <v>1463</v>
      </c>
      <c r="J195" s="1674">
        <f t="shared" si="38"/>
        <v>11.668999999999999</v>
      </c>
      <c r="K195" s="1675">
        <v>6.8259999999999996</v>
      </c>
      <c r="L195" s="1675">
        <v>0.121</v>
      </c>
      <c r="M195" s="1675">
        <v>1.7999999999999999E-2</v>
      </c>
      <c r="N195" s="1675">
        <v>0.47299999999999998</v>
      </c>
      <c r="O195" s="1675">
        <v>4.1619999999999999</v>
      </c>
      <c r="P195" s="1675">
        <v>6.9000000000000006E-2</v>
      </c>
      <c r="Q195" s="1769"/>
      <c r="R195" s="34" t="s">
        <v>1622</v>
      </c>
      <c r="S195" s="34" t="s">
        <v>1462</v>
      </c>
      <c r="T195" s="34" t="s">
        <v>1650</v>
      </c>
      <c r="U195" s="34"/>
      <c r="V195" s="34"/>
      <c r="W195" s="34"/>
      <c r="X195" s="34" t="s">
        <v>1463</v>
      </c>
      <c r="Y195" s="34">
        <v>11.669</v>
      </c>
      <c r="Z195" s="34">
        <v>6.8259999999999996</v>
      </c>
      <c r="AA195" s="34">
        <v>0.121</v>
      </c>
      <c r="AB195" s="34">
        <v>1.7999999999999999E-2</v>
      </c>
      <c r="AC195" s="34">
        <v>0.47299999999999998</v>
      </c>
      <c r="AD195" s="34">
        <v>4.1619999999999999</v>
      </c>
      <c r="AE195" s="34">
        <v>6.9000000000000006E-2</v>
      </c>
      <c r="AF195" s="5"/>
      <c r="AG195" s="1671"/>
      <c r="AH195" s="1671"/>
      <c r="AI195" s="1671"/>
      <c r="AJ195" s="1637"/>
      <c r="AK195" s="1671"/>
      <c r="AL195" s="1671"/>
      <c r="AM195" s="1671"/>
      <c r="AN195" s="1671"/>
      <c r="AO195" s="1671"/>
      <c r="AP195" s="1671"/>
      <c r="AQ195" s="1671"/>
      <c r="AR195" s="1671"/>
      <c r="AS195" s="1671"/>
      <c r="AT195" s="1671"/>
      <c r="AU195" s="1671"/>
    </row>
    <row r="196" spans="1:47" customFormat="1" ht="16" hidden="1" customHeight="1" outlineLevel="1">
      <c r="A196" s="1638"/>
      <c r="B196" s="34" t="s">
        <v>1484</v>
      </c>
      <c r="C196" s="34" t="s">
        <v>1462</v>
      </c>
      <c r="D196" s="34" t="s">
        <v>1498</v>
      </c>
      <c r="E196" s="17"/>
      <c r="F196" s="18"/>
      <c r="G196" s="18">
        <v>0.33</v>
      </c>
      <c r="H196" s="18">
        <v>1</v>
      </c>
      <c r="I196" s="34" t="s">
        <v>1463</v>
      </c>
      <c r="J196" s="1674">
        <f t="shared" si="38"/>
        <v>21.223000000000003</v>
      </c>
      <c r="K196" s="1675">
        <v>18.632999999999999</v>
      </c>
      <c r="L196" s="1675">
        <v>0.40200000000000002</v>
      </c>
      <c r="M196" s="1675">
        <v>4.0000000000000001E-3</v>
      </c>
      <c r="N196" s="1675">
        <v>0.83799999999999997</v>
      </c>
      <c r="O196" s="1675">
        <v>1.0049999999999999</v>
      </c>
      <c r="P196" s="1675">
        <v>0.34100000000000003</v>
      </c>
      <c r="Q196" s="1769"/>
      <c r="R196" s="34" t="s">
        <v>1622</v>
      </c>
      <c r="S196" s="34" t="s">
        <v>1462</v>
      </c>
      <c r="T196" s="34" t="s">
        <v>1651</v>
      </c>
      <c r="U196" s="34"/>
      <c r="V196" s="34"/>
      <c r="W196" s="34"/>
      <c r="X196" s="34" t="s">
        <v>1463</v>
      </c>
      <c r="Y196" s="34">
        <v>21.222999999999999</v>
      </c>
      <c r="Z196" s="34">
        <v>18.632999999999999</v>
      </c>
      <c r="AA196" s="34">
        <v>0.40200000000000002</v>
      </c>
      <c r="AB196" s="34">
        <v>4.0000000000000001E-3</v>
      </c>
      <c r="AC196" s="34">
        <v>0.83799999999999997</v>
      </c>
      <c r="AD196" s="34">
        <v>1.0049999999999999</v>
      </c>
      <c r="AE196" s="34">
        <v>0.34100000000000003</v>
      </c>
      <c r="AF196" s="5"/>
      <c r="AG196" s="1671"/>
      <c r="AH196" s="1671"/>
      <c r="AI196" s="1671"/>
      <c r="AJ196" s="1671"/>
      <c r="AK196" s="1671"/>
      <c r="AL196" s="1671"/>
      <c r="AM196" s="1671"/>
      <c r="AN196" s="1671"/>
      <c r="AO196" s="1671"/>
      <c r="AP196" s="1671"/>
      <c r="AQ196" s="1671"/>
      <c r="AR196" s="1671"/>
      <c r="AS196" s="1671"/>
      <c r="AT196" s="1671"/>
      <c r="AU196" s="1671"/>
    </row>
    <row r="197" spans="1:47" customFormat="1" ht="16" hidden="1" customHeight="1" outlineLevel="1">
      <c r="A197" s="1638"/>
      <c r="B197" s="34" t="s">
        <v>1484</v>
      </c>
      <c r="C197" s="34" t="s">
        <v>1462</v>
      </c>
      <c r="D197" s="34" t="s">
        <v>1499</v>
      </c>
      <c r="E197" s="17"/>
      <c r="F197" s="18"/>
      <c r="G197" s="18">
        <v>2</v>
      </c>
      <c r="H197" s="18">
        <v>1</v>
      </c>
      <c r="I197" s="34" t="s">
        <v>1463</v>
      </c>
      <c r="J197" s="1674">
        <f t="shared" si="38"/>
        <v>6.1569999999999991</v>
      </c>
      <c r="K197" s="1675">
        <v>4.08</v>
      </c>
      <c r="L197" s="1675">
        <v>6.8000000000000005E-2</v>
      </c>
      <c r="M197" s="1675">
        <v>7.1999999999999995E-2</v>
      </c>
      <c r="N197" s="1675">
        <v>0.14099999999999999</v>
      </c>
      <c r="O197" s="1675">
        <v>1.778</v>
      </c>
      <c r="P197" s="1675">
        <v>1.7999999999999999E-2</v>
      </c>
      <c r="Q197" s="1769"/>
      <c r="R197" s="34" t="s">
        <v>1622</v>
      </c>
      <c r="S197" s="34" t="s">
        <v>1462</v>
      </c>
      <c r="T197" s="34" t="s">
        <v>1652</v>
      </c>
      <c r="U197" s="34"/>
      <c r="V197" s="34"/>
      <c r="W197" s="34"/>
      <c r="X197" s="34" t="s">
        <v>1463</v>
      </c>
      <c r="Y197" s="34">
        <v>6.157</v>
      </c>
      <c r="Z197" s="34">
        <v>4.08</v>
      </c>
      <c r="AA197" s="34">
        <v>6.8000000000000005E-2</v>
      </c>
      <c r="AB197" s="34">
        <v>7.1999999999999995E-2</v>
      </c>
      <c r="AC197" s="34">
        <v>0.14099999999999999</v>
      </c>
      <c r="AD197" s="34">
        <v>1.778</v>
      </c>
      <c r="AE197" s="34">
        <v>1.7999999999999999E-2</v>
      </c>
      <c r="AF197" s="5"/>
      <c r="AG197" s="1671"/>
      <c r="AH197" s="1671"/>
      <c r="AI197" s="1671"/>
      <c r="AJ197" s="1671"/>
      <c r="AK197" s="1671"/>
      <c r="AL197" s="1671"/>
      <c r="AM197" s="1671"/>
      <c r="AN197" s="1671"/>
      <c r="AO197" s="1671"/>
      <c r="AP197" s="1671"/>
      <c r="AQ197" s="1671"/>
      <c r="AR197" s="1671"/>
      <c r="AS197" s="1671"/>
      <c r="AT197" s="1671"/>
      <c r="AU197" s="1671"/>
    </row>
    <row r="198" spans="1:47" customFormat="1" ht="16" hidden="1" customHeight="1" outlineLevel="1">
      <c r="A198" s="1638"/>
      <c r="B198" s="34" t="s">
        <v>1484</v>
      </c>
      <c r="C198" s="34" t="s">
        <v>1462</v>
      </c>
      <c r="D198" s="34" t="s">
        <v>1477</v>
      </c>
      <c r="E198" s="17"/>
      <c r="F198" s="18"/>
      <c r="G198" s="18">
        <v>0.33</v>
      </c>
      <c r="H198" s="18">
        <v>1</v>
      </c>
      <c r="I198" s="34" t="s">
        <v>1463</v>
      </c>
      <c r="J198" s="1674">
        <f t="shared" si="38"/>
        <v>4.63</v>
      </c>
      <c r="K198" s="1675">
        <v>2.9550000000000001</v>
      </c>
      <c r="L198" s="1675">
        <v>0.121</v>
      </c>
      <c r="M198" s="1675">
        <v>4.0000000000000001E-3</v>
      </c>
      <c r="N198" s="1675">
        <v>0.375</v>
      </c>
      <c r="O198" s="1675">
        <v>1.1719999999999999</v>
      </c>
      <c r="P198" s="1675">
        <v>3.0000000000000001E-3</v>
      </c>
      <c r="Q198" s="1769"/>
      <c r="R198" s="34" t="s">
        <v>1622</v>
      </c>
      <c r="S198" s="34" t="s">
        <v>1462</v>
      </c>
      <c r="T198" s="34" t="s">
        <v>1653</v>
      </c>
      <c r="U198" s="34" t="s">
        <v>1654</v>
      </c>
      <c r="V198" s="34">
        <v>0.5</v>
      </c>
      <c r="W198" s="34">
        <v>1</v>
      </c>
      <c r="X198" s="34" t="s">
        <v>1463</v>
      </c>
      <c r="Y198" s="34">
        <v>14.007</v>
      </c>
      <c r="Z198" s="34">
        <v>11.930999999999999</v>
      </c>
      <c r="AA198" s="34">
        <v>0.121</v>
      </c>
      <c r="AB198" s="34">
        <v>7.1999999999999995E-2</v>
      </c>
      <c r="AC198" s="34">
        <v>0.49099999999999999</v>
      </c>
      <c r="AD198" s="34">
        <v>1.379</v>
      </c>
      <c r="AE198" s="34">
        <v>1.2999999999999999E-2</v>
      </c>
      <c r="AF198" s="5"/>
      <c r="AG198" s="1671"/>
      <c r="AH198" s="1671"/>
      <c r="AI198" s="1671"/>
      <c r="AJ198" s="1637"/>
      <c r="AK198" s="1671"/>
      <c r="AL198" s="1671"/>
      <c r="AM198" s="1671"/>
      <c r="AN198" s="1671"/>
      <c r="AO198" s="1671"/>
      <c r="AP198" s="1671"/>
      <c r="AQ198" s="1671"/>
      <c r="AR198" s="1671"/>
      <c r="AS198" s="1671"/>
      <c r="AT198" s="1671"/>
      <c r="AU198" s="1671"/>
    </row>
    <row r="199" spans="1:47" customFormat="1" ht="16" hidden="1" customHeight="1" outlineLevel="1">
      <c r="A199" s="1638"/>
      <c r="B199" s="34" t="s">
        <v>1484</v>
      </c>
      <c r="C199" s="34" t="s">
        <v>1462</v>
      </c>
      <c r="D199" s="34" t="s">
        <v>1501</v>
      </c>
      <c r="E199" s="17"/>
      <c r="F199" s="18"/>
      <c r="G199" s="18">
        <v>0.5</v>
      </c>
      <c r="H199" s="18">
        <v>1</v>
      </c>
      <c r="I199" s="34" t="s">
        <v>1463</v>
      </c>
      <c r="J199" s="1674">
        <f t="shared" si="38"/>
        <v>11.412000000000001</v>
      </c>
      <c r="K199" s="1675">
        <v>7.3230000000000004</v>
      </c>
      <c r="L199" s="1675">
        <v>0.26700000000000002</v>
      </c>
      <c r="M199" s="1675">
        <v>5.0000000000000001E-3</v>
      </c>
      <c r="N199" s="1675">
        <v>0.251</v>
      </c>
      <c r="O199" s="1675">
        <v>3.5640000000000001</v>
      </c>
      <c r="P199" s="1675">
        <v>2E-3</v>
      </c>
      <c r="Q199" s="1769"/>
      <c r="R199" s="34" t="s">
        <v>1622</v>
      </c>
      <c r="S199" s="34" t="s">
        <v>1462</v>
      </c>
      <c r="T199" s="34" t="s">
        <v>1656</v>
      </c>
      <c r="U199" s="34" t="s">
        <v>1657</v>
      </c>
      <c r="V199" s="34">
        <v>0.5</v>
      </c>
      <c r="W199" s="34">
        <v>1</v>
      </c>
      <c r="X199" s="34" t="s">
        <v>1463</v>
      </c>
      <c r="Y199" s="34">
        <v>19.331</v>
      </c>
      <c r="Z199" s="34">
        <v>14.473000000000001</v>
      </c>
      <c r="AA199" s="34">
        <v>0.26700000000000002</v>
      </c>
      <c r="AB199" s="34">
        <v>7.8E-2</v>
      </c>
      <c r="AC199" s="34">
        <v>0.40400000000000003</v>
      </c>
      <c r="AD199" s="34">
        <v>4.0910000000000002</v>
      </c>
      <c r="AE199" s="34">
        <v>1.7999999999999999E-2</v>
      </c>
      <c r="AF199" s="5"/>
      <c r="AG199" s="1671"/>
      <c r="AH199" s="1671"/>
      <c r="AI199" s="1671"/>
      <c r="AJ199" s="1637"/>
      <c r="AK199" s="1671"/>
      <c r="AL199" s="1671"/>
      <c r="AM199" s="1671"/>
      <c r="AN199" s="1671"/>
      <c r="AO199" s="1671"/>
      <c r="AP199" s="1671"/>
      <c r="AQ199" s="1671"/>
      <c r="AR199" s="1671"/>
      <c r="AS199" s="1671"/>
      <c r="AT199" s="1671"/>
      <c r="AU199" s="1671"/>
    </row>
    <row r="200" spans="1:47" customFormat="1" ht="16" hidden="1" customHeight="1" outlineLevel="1">
      <c r="A200" s="1638"/>
      <c r="B200" s="34" t="s">
        <v>1484</v>
      </c>
      <c r="C200" s="34" t="s">
        <v>1462</v>
      </c>
      <c r="D200" s="34" t="s">
        <v>1504</v>
      </c>
      <c r="E200" s="17"/>
      <c r="F200" s="18"/>
      <c r="G200" s="18">
        <v>0.5</v>
      </c>
      <c r="H200" s="18">
        <v>1</v>
      </c>
      <c r="I200" s="34" t="s">
        <v>1463</v>
      </c>
      <c r="J200" s="1674">
        <f t="shared" si="38"/>
        <v>11.839</v>
      </c>
      <c r="K200" s="1675">
        <v>7.407</v>
      </c>
      <c r="L200" s="1675">
        <v>7.9000000000000001E-2</v>
      </c>
      <c r="M200" s="1675">
        <v>0.105</v>
      </c>
      <c r="N200" s="1675">
        <v>0.46600000000000003</v>
      </c>
      <c r="O200" s="1675">
        <v>3.7509999999999999</v>
      </c>
      <c r="P200" s="1675">
        <v>3.1E-2</v>
      </c>
      <c r="Q200" s="1769"/>
      <c r="R200" s="34" t="s">
        <v>1622</v>
      </c>
      <c r="S200" s="34" t="s">
        <v>1462</v>
      </c>
      <c r="T200" s="34" t="s">
        <v>1671</v>
      </c>
      <c r="U200" s="34"/>
      <c r="V200" s="34"/>
      <c r="W200" s="34"/>
      <c r="X200" s="34" t="s">
        <v>1463</v>
      </c>
      <c r="Y200" s="34">
        <v>11.839</v>
      </c>
      <c r="Z200" s="34">
        <v>7.407</v>
      </c>
      <c r="AA200" s="34">
        <v>7.9000000000000001E-2</v>
      </c>
      <c r="AB200" s="34">
        <v>0.105</v>
      </c>
      <c r="AC200" s="34">
        <v>0.46600000000000003</v>
      </c>
      <c r="AD200" s="34">
        <v>3.7509999999999999</v>
      </c>
      <c r="AE200" s="34">
        <v>3.1E-2</v>
      </c>
      <c r="AF200" s="5"/>
      <c r="AG200" s="1671"/>
      <c r="AH200" s="1671"/>
      <c r="AI200" s="1671"/>
      <c r="AJ200" s="1637"/>
      <c r="AK200" s="1671"/>
      <c r="AL200" s="1671"/>
      <c r="AM200" s="1671"/>
      <c r="AN200" s="1671"/>
      <c r="AO200" s="1671"/>
      <c r="AP200" s="1671"/>
      <c r="AQ200" s="1671"/>
      <c r="AR200" s="1671"/>
      <c r="AS200" s="1671"/>
      <c r="AT200" s="1671"/>
      <c r="AU200" s="1671"/>
    </row>
    <row r="201" spans="1:47" customFormat="1" ht="16" hidden="1" customHeight="1" outlineLevel="1">
      <c r="A201" s="1638"/>
      <c r="B201" s="34" t="s">
        <v>1484</v>
      </c>
      <c r="C201" s="34" t="s">
        <v>1462</v>
      </c>
      <c r="D201" s="34" t="s">
        <v>1479</v>
      </c>
      <c r="E201" s="17"/>
      <c r="F201" s="18"/>
      <c r="G201" s="18">
        <v>1</v>
      </c>
      <c r="H201" s="18">
        <v>1</v>
      </c>
      <c r="I201" s="34" t="s">
        <v>1466</v>
      </c>
      <c r="J201" s="1674">
        <f t="shared" si="38"/>
        <v>3.9983333326600006</v>
      </c>
      <c r="K201" s="1675">
        <v>2.6363333330000001</v>
      </c>
      <c r="L201" s="1675">
        <v>6.8000000000000005E-2</v>
      </c>
      <c r="M201" s="1675">
        <v>8.933333333E-2</v>
      </c>
      <c r="N201" s="1675">
        <v>0.115</v>
      </c>
      <c r="O201" s="1675">
        <v>1.0553333330000001</v>
      </c>
      <c r="P201" s="1675">
        <v>3.433333333E-2</v>
      </c>
      <c r="Q201" s="1769"/>
      <c r="R201" s="34" t="s">
        <v>1622</v>
      </c>
      <c r="S201" s="34" t="s">
        <v>1462</v>
      </c>
      <c r="T201" s="34" t="s">
        <v>1672</v>
      </c>
      <c r="U201" s="34"/>
      <c r="V201" s="34">
        <v>2</v>
      </c>
      <c r="W201" s="34">
        <v>1</v>
      </c>
      <c r="X201" s="34" t="s">
        <v>1466</v>
      </c>
      <c r="Y201" s="34">
        <v>4.98325</v>
      </c>
      <c r="Z201" s="34">
        <v>2.8134999999999999</v>
      </c>
      <c r="AA201" s="34">
        <v>6.8000000000000005E-2</v>
      </c>
      <c r="AB201" s="34">
        <v>0.45224999999999999</v>
      </c>
      <c r="AC201" s="34">
        <v>0.13750000000000001</v>
      </c>
      <c r="AD201" s="34">
        <v>1.4452499999999999</v>
      </c>
      <c r="AE201" s="34">
        <v>6.6750000000000004E-2</v>
      </c>
      <c r="AF201" s="5"/>
      <c r="AG201" s="1671"/>
      <c r="AH201" s="1671"/>
      <c r="AI201" s="1671"/>
      <c r="AJ201" s="1671"/>
      <c r="AK201" s="1671"/>
      <c r="AL201" s="1671"/>
      <c r="AM201" s="1671"/>
      <c r="AN201" s="1671"/>
      <c r="AO201" s="1671"/>
      <c r="AP201" s="1671"/>
      <c r="AQ201" s="1671"/>
      <c r="AR201" s="1671"/>
      <c r="AS201" s="1671"/>
      <c r="AT201" s="1671"/>
      <c r="AU201" s="1671"/>
    </row>
    <row r="202" spans="1:47" customFormat="1" ht="16" hidden="1" customHeight="1" outlineLevel="1">
      <c r="A202" s="1638"/>
      <c r="B202" s="34" t="s">
        <v>1484</v>
      </c>
      <c r="C202" s="34" t="s">
        <v>1474</v>
      </c>
      <c r="D202" s="34" t="s">
        <v>1475</v>
      </c>
      <c r="E202" s="17"/>
      <c r="F202" s="18"/>
      <c r="G202" s="18"/>
      <c r="H202" s="18"/>
      <c r="I202" s="34" t="s">
        <v>1463</v>
      </c>
      <c r="J202" s="1674">
        <f t="shared" si="38"/>
        <v>2.15</v>
      </c>
      <c r="K202" s="1675">
        <v>1.8620000000000001</v>
      </c>
      <c r="L202" s="1675">
        <v>0</v>
      </c>
      <c r="M202" s="1675">
        <v>7.0000000000000001E-3</v>
      </c>
      <c r="N202" s="1675">
        <v>8.5999999999999993E-2</v>
      </c>
      <c r="O202" s="1675">
        <v>0</v>
      </c>
      <c r="P202" s="1675">
        <v>0.19500000000000001</v>
      </c>
      <c r="Q202" s="1769"/>
      <c r="R202" s="34" t="s">
        <v>1622</v>
      </c>
      <c r="S202" s="34" t="s">
        <v>1474</v>
      </c>
      <c r="T202" s="34" t="s">
        <v>1475</v>
      </c>
      <c r="U202" s="34"/>
      <c r="V202" s="34">
        <v>0.5</v>
      </c>
      <c r="W202" s="34">
        <v>30</v>
      </c>
      <c r="X202" s="34" t="s">
        <v>1463</v>
      </c>
      <c r="Y202" s="34">
        <v>2.15</v>
      </c>
      <c r="Z202" s="34">
        <v>1.8620000000000001</v>
      </c>
      <c r="AA202" s="34">
        <v>0</v>
      </c>
      <c r="AB202" s="34">
        <v>7.0000000000000001E-3</v>
      </c>
      <c r="AC202" s="34">
        <v>8.5999999999999993E-2</v>
      </c>
      <c r="AD202" s="34">
        <v>0</v>
      </c>
      <c r="AE202" s="34">
        <v>0.19500000000000001</v>
      </c>
      <c r="AF202" s="5"/>
      <c r="AG202" s="1671"/>
      <c r="AH202" s="1671"/>
      <c r="AI202" s="1671"/>
      <c r="AJ202" s="1671"/>
      <c r="AK202" s="1671"/>
      <c r="AL202" s="1671"/>
      <c r="AM202" s="1671"/>
      <c r="AN202" s="1671"/>
      <c r="AO202" s="1671"/>
      <c r="AP202" s="1671"/>
      <c r="AQ202" s="1671"/>
      <c r="AR202" s="1671"/>
      <c r="AS202" s="1671"/>
      <c r="AT202" s="1671"/>
      <c r="AU202" s="1671"/>
    </row>
    <row r="203" spans="1:47" customFormat="1" ht="16" hidden="1" customHeight="1" outlineLevel="1">
      <c r="A203" s="1638"/>
      <c r="B203" s="34" t="s">
        <v>1484</v>
      </c>
      <c r="C203" s="34" t="s">
        <v>1474</v>
      </c>
      <c r="D203" s="34" t="s">
        <v>1508</v>
      </c>
      <c r="E203" s="17"/>
      <c r="F203" s="18"/>
      <c r="G203" s="18"/>
      <c r="H203" s="18"/>
      <c r="I203" s="34" t="s">
        <v>1463</v>
      </c>
      <c r="J203" s="1674">
        <f t="shared" si="38"/>
        <v>4.0569999999999995</v>
      </c>
      <c r="K203" s="1675">
        <v>3.2679999999999998</v>
      </c>
      <c r="L203" s="1675">
        <v>0</v>
      </c>
      <c r="M203" s="1675">
        <v>6.0000000000000001E-3</v>
      </c>
      <c r="N203" s="1675">
        <v>0.23699999999999999</v>
      </c>
      <c r="O203" s="1675">
        <v>0</v>
      </c>
      <c r="P203" s="1675">
        <v>0.54600000000000004</v>
      </c>
      <c r="Q203" s="1769"/>
      <c r="R203" s="34" t="s">
        <v>1622</v>
      </c>
      <c r="S203" s="34" t="s">
        <v>1474</v>
      </c>
      <c r="T203" s="34" t="s">
        <v>1631</v>
      </c>
      <c r="U203" s="34"/>
      <c r="V203" s="34">
        <v>0.5</v>
      </c>
      <c r="W203" s="34">
        <v>30</v>
      </c>
      <c r="X203" s="34" t="s">
        <v>1463</v>
      </c>
      <c r="Y203" s="34">
        <v>4.0570000000000004</v>
      </c>
      <c r="Z203" s="34">
        <v>3.2679999999999998</v>
      </c>
      <c r="AA203" s="34">
        <v>0</v>
      </c>
      <c r="AB203" s="34">
        <v>6.0000000000000001E-3</v>
      </c>
      <c r="AC203" s="34">
        <v>0.23699999999999999</v>
      </c>
      <c r="AD203" s="34">
        <v>0</v>
      </c>
      <c r="AE203" s="34">
        <v>0.54600000000000004</v>
      </c>
      <c r="AF203" s="5"/>
      <c r="AG203" s="1671"/>
      <c r="AH203" s="1671"/>
      <c r="AI203" s="1671"/>
      <c r="AJ203" s="1671"/>
      <c r="AK203" s="1671"/>
      <c r="AL203" s="1671"/>
      <c r="AM203" s="1671"/>
      <c r="AN203" s="1671"/>
      <c r="AO203" s="1671"/>
      <c r="AP203" s="1671"/>
      <c r="AQ203" s="1671"/>
      <c r="AR203" s="1671"/>
      <c r="AS203" s="1671"/>
      <c r="AT203" s="1671"/>
      <c r="AU203" s="1671"/>
    </row>
    <row r="204" spans="1:47" customFormat="1" ht="16" hidden="1" customHeight="1" outlineLevel="1">
      <c r="A204" s="1638"/>
      <c r="B204" s="34" t="s">
        <v>1484</v>
      </c>
      <c r="C204" s="34" t="s">
        <v>1474</v>
      </c>
      <c r="D204" s="34" t="s">
        <v>1490</v>
      </c>
      <c r="E204" s="17"/>
      <c r="F204" s="18"/>
      <c r="G204" s="18" t="s">
        <v>1491</v>
      </c>
      <c r="H204" s="18">
        <v>1</v>
      </c>
      <c r="I204" s="34" t="s">
        <v>1463</v>
      </c>
      <c r="J204" s="1674">
        <f t="shared" si="38"/>
        <v>2.585</v>
      </c>
      <c r="K204" s="1675">
        <v>1.5629999999999999</v>
      </c>
      <c r="L204" s="1675">
        <v>6.8000000000000005E-2</v>
      </c>
      <c r="M204" s="1675">
        <v>3.0000000000000001E-3</v>
      </c>
      <c r="N204" s="1675">
        <v>0.1</v>
      </c>
      <c r="O204" s="1675">
        <v>0.85</v>
      </c>
      <c r="P204" s="1675">
        <v>1E-3</v>
      </c>
      <c r="Q204" s="1769"/>
      <c r="R204" s="34" t="s">
        <v>1622</v>
      </c>
      <c r="S204" s="34" t="s">
        <v>1474</v>
      </c>
      <c r="T204" s="34" t="s">
        <v>1634</v>
      </c>
      <c r="U204" s="34" t="s">
        <v>1635</v>
      </c>
      <c r="V204" s="34">
        <v>1</v>
      </c>
      <c r="W204" s="34">
        <v>30</v>
      </c>
      <c r="X204" s="34" t="s">
        <v>1463</v>
      </c>
      <c r="Y204" s="34">
        <v>6.2060000000000004</v>
      </c>
      <c r="Z204" s="34">
        <v>3.4660000000000002</v>
      </c>
      <c r="AA204" s="34">
        <v>0.121</v>
      </c>
      <c r="AB204" s="34">
        <v>7.4999999999999997E-2</v>
      </c>
      <c r="AC204" s="34">
        <v>0.40699999999999997</v>
      </c>
      <c r="AD204" s="34">
        <v>2</v>
      </c>
      <c r="AE204" s="34">
        <v>0.13700000000000001</v>
      </c>
      <c r="AF204" s="5"/>
      <c r="AG204" s="1671"/>
      <c r="AH204" s="1671"/>
      <c r="AI204" s="1671"/>
      <c r="AJ204" s="1671"/>
      <c r="AK204" s="1671"/>
      <c r="AL204" s="1671"/>
      <c r="AM204" s="1671"/>
      <c r="AN204" s="1671"/>
      <c r="AO204" s="1671"/>
      <c r="AP204" s="1671"/>
      <c r="AQ204" s="1671"/>
      <c r="AR204" s="1671"/>
      <c r="AS204" s="1671"/>
      <c r="AT204" s="1671"/>
      <c r="AU204" s="1671"/>
    </row>
    <row r="205" spans="1:47" customFormat="1" ht="16" hidden="1" customHeight="1" outlineLevel="1">
      <c r="A205" s="1638"/>
      <c r="B205" s="34" t="s">
        <v>1484</v>
      </c>
      <c r="C205" s="34" t="s">
        <v>1474</v>
      </c>
      <c r="D205" s="34" t="s">
        <v>1509</v>
      </c>
      <c r="E205" s="17"/>
      <c r="F205" s="18"/>
      <c r="G205" s="18"/>
      <c r="H205" s="18"/>
      <c r="I205" s="34" t="s">
        <v>1463</v>
      </c>
      <c r="J205" s="1674">
        <f t="shared" si="38"/>
        <v>6.6940000000000008</v>
      </c>
      <c r="K205" s="1675">
        <v>6.2350000000000003</v>
      </c>
      <c r="L205" s="1675">
        <v>0</v>
      </c>
      <c r="M205" s="1675">
        <v>5.0999999999999997E-2</v>
      </c>
      <c r="N205" s="1675">
        <v>0.13400000000000001</v>
      </c>
      <c r="O205" s="1675">
        <v>0</v>
      </c>
      <c r="P205" s="1675">
        <v>0.27400000000000002</v>
      </c>
      <c r="Q205" s="1769"/>
      <c r="R205" s="34" t="s">
        <v>1622</v>
      </c>
      <c r="S205" s="34" t="s">
        <v>1474</v>
      </c>
      <c r="T205" s="34" t="s">
        <v>1637</v>
      </c>
      <c r="U205" s="34"/>
      <c r="V205" s="34">
        <v>0.25</v>
      </c>
      <c r="W205" s="34">
        <v>30</v>
      </c>
      <c r="X205" s="34" t="s">
        <v>1463</v>
      </c>
      <c r="Y205" s="34">
        <v>6.694</v>
      </c>
      <c r="Z205" s="34">
        <v>6.2350000000000003</v>
      </c>
      <c r="AA205" s="34">
        <v>0</v>
      </c>
      <c r="AB205" s="34">
        <v>5.0999999999999997E-2</v>
      </c>
      <c r="AC205" s="34">
        <v>0.13400000000000001</v>
      </c>
      <c r="AD205" s="34">
        <v>0</v>
      </c>
      <c r="AE205" s="34">
        <v>0.27400000000000002</v>
      </c>
      <c r="AF205" s="5"/>
      <c r="AG205" s="1671"/>
      <c r="AH205" s="1671"/>
      <c r="AI205" s="1671"/>
      <c r="AJ205" s="1637"/>
      <c r="AK205" s="1671"/>
      <c r="AL205" s="1637"/>
      <c r="AM205" s="1637"/>
      <c r="AN205" s="1671"/>
      <c r="AO205" s="1671"/>
      <c r="AP205" s="1671"/>
      <c r="AQ205" s="1671"/>
      <c r="AR205" s="1671"/>
      <c r="AS205" s="1671"/>
      <c r="AT205" s="1671"/>
      <c r="AU205" s="1671"/>
    </row>
    <row r="206" spans="1:47" customFormat="1" ht="16" hidden="1" customHeight="1" outlineLevel="1">
      <c r="A206" s="1638"/>
      <c r="B206" s="34" t="s">
        <v>1484</v>
      </c>
      <c r="C206" s="34" t="s">
        <v>1474</v>
      </c>
      <c r="D206" s="34" t="s">
        <v>1510</v>
      </c>
      <c r="E206" s="17"/>
      <c r="F206" s="18"/>
      <c r="G206" s="18"/>
      <c r="H206" s="18"/>
      <c r="I206" s="34" t="s">
        <v>1463</v>
      </c>
      <c r="J206" s="1674">
        <f t="shared" si="38"/>
        <v>2.1790000000000003</v>
      </c>
      <c r="K206" s="1675">
        <v>1.784</v>
      </c>
      <c r="L206" s="1675">
        <v>0</v>
      </c>
      <c r="M206" s="1675">
        <v>3.0000000000000001E-3</v>
      </c>
      <c r="N206" s="1675">
        <v>0.12</v>
      </c>
      <c r="O206" s="1675">
        <v>0</v>
      </c>
      <c r="P206" s="1675">
        <v>0.27200000000000002</v>
      </c>
      <c r="Q206" s="1769"/>
      <c r="R206" s="34" t="s">
        <v>1622</v>
      </c>
      <c r="S206" s="34" t="s">
        <v>1474</v>
      </c>
      <c r="T206" s="34" t="s">
        <v>1658</v>
      </c>
      <c r="U206" s="34"/>
      <c r="V206" s="34"/>
      <c r="W206" s="34"/>
      <c r="X206" s="34" t="s">
        <v>1463</v>
      </c>
      <c r="Y206" s="34">
        <v>2.1789999999999998</v>
      </c>
      <c r="Z206" s="34">
        <v>1.784</v>
      </c>
      <c r="AA206" s="34">
        <v>0</v>
      </c>
      <c r="AB206" s="34">
        <v>3.0000000000000001E-3</v>
      </c>
      <c r="AC206" s="34">
        <v>0.12</v>
      </c>
      <c r="AD206" s="34">
        <v>0</v>
      </c>
      <c r="AE206" s="34">
        <v>0.27200000000000002</v>
      </c>
      <c r="AF206" s="5"/>
      <c r="AG206" s="1671"/>
      <c r="AH206" s="1671"/>
      <c r="AI206" s="1671"/>
      <c r="AJ206" s="1671"/>
      <c r="AK206" s="1671"/>
      <c r="AL206" s="1671"/>
      <c r="AM206" s="1671"/>
      <c r="AN206" s="1671"/>
      <c r="AO206" s="1671"/>
      <c r="AP206" s="1671"/>
      <c r="AQ206" s="1671"/>
      <c r="AR206" s="1671"/>
      <c r="AS206" s="1671"/>
      <c r="AT206" s="1671"/>
      <c r="AU206" s="1671"/>
    </row>
    <row r="207" spans="1:47" customFormat="1" ht="16" hidden="1" customHeight="1" outlineLevel="1">
      <c r="A207" s="1638"/>
      <c r="B207" s="34" t="s">
        <v>1484</v>
      </c>
      <c r="C207" s="34" t="s">
        <v>1464</v>
      </c>
      <c r="D207" s="34" t="s">
        <v>1478</v>
      </c>
      <c r="E207" s="17"/>
      <c r="F207" s="18"/>
      <c r="G207" s="18">
        <v>1</v>
      </c>
      <c r="H207" s="18">
        <v>1</v>
      </c>
      <c r="I207" s="34" t="s">
        <v>1463</v>
      </c>
      <c r="J207" s="1674">
        <f t="shared" si="38"/>
        <v>10.974</v>
      </c>
      <c r="K207" s="1675">
        <v>8.4930000000000003</v>
      </c>
      <c r="L207" s="1675">
        <v>0.7</v>
      </c>
      <c r="M207" s="1675">
        <v>0.54800000000000004</v>
      </c>
      <c r="N207" s="1675">
        <v>0.94</v>
      </c>
      <c r="O207" s="1675">
        <v>0.105</v>
      </c>
      <c r="P207" s="1675">
        <v>0.188</v>
      </c>
      <c r="Q207" s="1769"/>
      <c r="R207" s="34" t="s">
        <v>1622</v>
      </c>
      <c r="S207" s="34" t="s">
        <v>1464</v>
      </c>
      <c r="T207" s="34" t="s">
        <v>1659</v>
      </c>
      <c r="U207" s="34" t="s">
        <v>1660</v>
      </c>
      <c r="V207" s="34">
        <v>1</v>
      </c>
      <c r="W207" s="34">
        <v>1</v>
      </c>
      <c r="X207" s="34" t="s">
        <v>1463</v>
      </c>
      <c r="Y207" s="34">
        <v>8.4809999999999999</v>
      </c>
      <c r="Z207" s="34">
        <v>6.6449999999999996</v>
      </c>
      <c r="AA207" s="34">
        <v>0.7</v>
      </c>
      <c r="AB207" s="34">
        <v>3.0000000000000001E-3</v>
      </c>
      <c r="AC207" s="34">
        <v>0.77</v>
      </c>
      <c r="AD207" s="34">
        <v>8.5999999999999993E-2</v>
      </c>
      <c r="AE207" s="34">
        <v>0.27700000000000002</v>
      </c>
      <c r="AF207" s="5"/>
      <c r="AG207" s="1671"/>
      <c r="AH207" s="1671"/>
      <c r="AI207" s="1671"/>
      <c r="AJ207" s="1637"/>
      <c r="AK207" s="1671"/>
      <c r="AL207" s="1637"/>
      <c r="AM207" s="1637"/>
      <c r="AN207" s="1671"/>
      <c r="AO207" s="1671"/>
      <c r="AP207" s="1671"/>
      <c r="AQ207" s="1671"/>
      <c r="AR207" s="1671"/>
      <c r="AS207" s="1671"/>
      <c r="AT207" s="1671"/>
      <c r="AU207" s="1671"/>
    </row>
    <row r="208" spans="1:47" customFormat="1" ht="16" hidden="1" customHeight="1" outlineLevel="1">
      <c r="A208" s="1638"/>
      <c r="B208" s="34" t="s">
        <v>1484</v>
      </c>
      <c r="C208" s="34" t="s">
        <v>1464</v>
      </c>
      <c r="D208" s="34" t="s">
        <v>1503</v>
      </c>
      <c r="E208" s="17"/>
      <c r="F208" s="18"/>
      <c r="G208" s="18">
        <v>1</v>
      </c>
      <c r="H208" s="18">
        <v>1</v>
      </c>
      <c r="I208" s="34" t="s">
        <v>1463</v>
      </c>
      <c r="J208" s="1674">
        <f t="shared" si="38"/>
        <v>7.1660000000000004</v>
      </c>
      <c r="K208" s="1675">
        <v>5.5819999999999999</v>
      </c>
      <c r="L208" s="1675">
        <v>0.7</v>
      </c>
      <c r="M208" s="1675">
        <v>6.0000000000000001E-3</v>
      </c>
      <c r="N208" s="1675">
        <v>0.71199999999999997</v>
      </c>
      <c r="O208" s="1675">
        <v>5.8999999999999997E-2</v>
      </c>
      <c r="P208" s="1675">
        <v>0.107</v>
      </c>
      <c r="Q208" s="1769"/>
      <c r="R208" s="34" t="s">
        <v>1622</v>
      </c>
      <c r="S208" s="34" t="s">
        <v>1464</v>
      </c>
      <c r="T208" s="34" t="s">
        <v>1661</v>
      </c>
      <c r="U208" s="34" t="s">
        <v>1662</v>
      </c>
      <c r="V208" s="34">
        <v>1</v>
      </c>
      <c r="W208" s="34">
        <v>1</v>
      </c>
      <c r="X208" s="34" t="s">
        <v>1463</v>
      </c>
      <c r="Y208" s="34">
        <v>7.3109999999999999</v>
      </c>
      <c r="Z208" s="34">
        <v>5.6020000000000003</v>
      </c>
      <c r="AA208" s="34">
        <v>0.7</v>
      </c>
      <c r="AB208" s="34">
        <v>8.0000000000000002E-3</v>
      </c>
      <c r="AC208" s="34">
        <v>0.74099999999999999</v>
      </c>
      <c r="AD208" s="34">
        <v>7.1999999999999995E-2</v>
      </c>
      <c r="AE208" s="34">
        <v>0.188</v>
      </c>
      <c r="AF208" s="5"/>
      <c r="AG208" s="1671"/>
      <c r="AH208" s="1671"/>
      <c r="AI208" s="1671"/>
      <c r="AJ208" s="1637"/>
      <c r="AK208" s="1671"/>
      <c r="AL208" s="1637"/>
      <c r="AM208" s="1637"/>
      <c r="AN208" s="1671"/>
      <c r="AO208" s="1671"/>
      <c r="AP208" s="1671"/>
      <c r="AQ208" s="1671"/>
      <c r="AR208" s="1671"/>
      <c r="AS208" s="1671"/>
      <c r="AT208" s="1671"/>
      <c r="AU208" s="1671"/>
    </row>
    <row r="209" spans="1:47" customFormat="1" ht="16" hidden="1" customHeight="1" outlineLevel="1">
      <c r="A209" s="1638"/>
      <c r="B209" s="34" t="s">
        <v>1484</v>
      </c>
      <c r="C209" s="34" t="s">
        <v>1464</v>
      </c>
      <c r="D209" s="34" t="s">
        <v>1480</v>
      </c>
      <c r="E209" s="17"/>
      <c r="F209" s="18"/>
      <c r="G209" s="18">
        <v>1</v>
      </c>
      <c r="H209" s="18">
        <v>1</v>
      </c>
      <c r="I209" s="34" t="s">
        <v>1463</v>
      </c>
      <c r="J209" s="1674">
        <f t="shared" si="38"/>
        <v>12.150999999999998</v>
      </c>
      <c r="K209" s="1675">
        <v>9.7370000000000001</v>
      </c>
      <c r="L209" s="1675">
        <v>0.7</v>
      </c>
      <c r="M209" s="1675">
        <v>0.43099999999999999</v>
      </c>
      <c r="N209" s="1675">
        <v>0.93200000000000005</v>
      </c>
      <c r="O209" s="1675">
        <v>0.106</v>
      </c>
      <c r="P209" s="1675">
        <v>0.245</v>
      </c>
      <c r="Q209" s="1769"/>
      <c r="R209" s="34" t="s">
        <v>1622</v>
      </c>
      <c r="S209" s="34" t="s">
        <v>1464</v>
      </c>
      <c r="T209" s="34" t="s">
        <v>1663</v>
      </c>
      <c r="U209" s="34" t="s">
        <v>1664</v>
      </c>
      <c r="V209" s="34">
        <v>1</v>
      </c>
      <c r="W209" s="34">
        <v>1</v>
      </c>
      <c r="X209" s="34" t="s">
        <v>1463</v>
      </c>
      <c r="Y209" s="34">
        <v>14.762</v>
      </c>
      <c r="Z209" s="34">
        <v>12.1</v>
      </c>
      <c r="AA209" s="34">
        <v>0.7</v>
      </c>
      <c r="AB209" s="34">
        <v>5.0000000000000001E-3</v>
      </c>
      <c r="AC209" s="34">
        <v>1.0129999999999999</v>
      </c>
      <c r="AD209" s="34">
        <v>0.19800000000000001</v>
      </c>
      <c r="AE209" s="34">
        <v>0.746</v>
      </c>
      <c r="AF209" s="5"/>
      <c r="AG209" s="1671"/>
      <c r="AH209" s="1671"/>
      <c r="AI209" s="1671"/>
      <c r="AJ209" s="1637"/>
      <c r="AK209" s="1671"/>
      <c r="AL209" s="1637"/>
      <c r="AM209" s="1637"/>
      <c r="AN209" s="1671"/>
      <c r="AO209" s="1671"/>
      <c r="AP209" s="1671"/>
      <c r="AQ209" s="1671"/>
      <c r="AR209" s="1671"/>
      <c r="AS209" s="1671"/>
      <c r="AT209" s="1671"/>
      <c r="AU209" s="1671"/>
    </row>
    <row r="210" spans="1:47" customFormat="1" ht="16" hidden="1" customHeight="1" outlineLevel="1">
      <c r="A210" s="1638"/>
      <c r="B210" s="34" t="s">
        <v>1484</v>
      </c>
      <c r="C210" s="34" t="s">
        <v>330</v>
      </c>
      <c r="D210" s="34" t="s">
        <v>1502</v>
      </c>
      <c r="E210" s="17"/>
      <c r="F210" s="18"/>
      <c r="G210" s="93">
        <v>20</v>
      </c>
      <c r="H210" s="18">
        <v>20</v>
      </c>
      <c r="I210" s="34" t="s">
        <v>1463</v>
      </c>
      <c r="J210" s="1674">
        <f t="shared" si="38"/>
        <v>4.0169999999999995</v>
      </c>
      <c r="K210" s="1675">
        <v>3.57</v>
      </c>
      <c r="L210" s="1675">
        <v>0</v>
      </c>
      <c r="M210" s="1675">
        <v>0.17100000000000001</v>
      </c>
      <c r="N210" s="1675">
        <v>0.14599999999999999</v>
      </c>
      <c r="O210" s="1675">
        <v>0</v>
      </c>
      <c r="P210" s="1675">
        <v>0.13</v>
      </c>
      <c r="Q210" s="1769"/>
      <c r="R210" s="34" t="s">
        <v>1622</v>
      </c>
      <c r="S210" s="34" t="s">
        <v>1464</v>
      </c>
      <c r="T210" s="34" t="s">
        <v>1670</v>
      </c>
      <c r="U210" s="34"/>
      <c r="V210" s="34"/>
      <c r="W210" s="34"/>
      <c r="X210" s="34" t="s">
        <v>1463</v>
      </c>
      <c r="Y210" s="34">
        <v>7.1660000000000004</v>
      </c>
      <c r="Z210" s="34">
        <v>5.5819999999999999</v>
      </c>
      <c r="AA210" s="34">
        <v>0.7</v>
      </c>
      <c r="AB210" s="34">
        <v>6.0000000000000001E-3</v>
      </c>
      <c r="AC210" s="34">
        <v>0.71199999999999997</v>
      </c>
      <c r="AD210" s="34">
        <v>5.8999999999999997E-2</v>
      </c>
      <c r="AE210" s="34">
        <v>0.107</v>
      </c>
      <c r="AF210" s="5"/>
      <c r="AG210" s="1671"/>
      <c r="AH210" s="1671"/>
      <c r="AI210" s="1671"/>
      <c r="AJ210" s="1671"/>
      <c r="AK210" s="1671"/>
      <c r="AL210" s="1671"/>
      <c r="AM210" s="1671"/>
      <c r="AN210" s="1671"/>
      <c r="AO210" s="1671"/>
      <c r="AP210" s="1671"/>
      <c r="AQ210" s="1671"/>
      <c r="AR210" s="1671"/>
      <c r="AS210" s="1671"/>
      <c r="AT210" s="1671"/>
      <c r="AU210" s="1671"/>
    </row>
    <row r="211" spans="1:47" customFormat="1" ht="16" hidden="1" customHeight="1" outlineLevel="1">
      <c r="A211" s="1638"/>
      <c r="B211" s="34" t="s">
        <v>1484</v>
      </c>
      <c r="C211" s="34" t="s">
        <v>330</v>
      </c>
      <c r="D211" s="34" t="s">
        <v>1505</v>
      </c>
      <c r="E211" s="17"/>
      <c r="F211" s="18"/>
      <c r="G211" s="18">
        <v>2</v>
      </c>
      <c r="H211" s="18">
        <v>22</v>
      </c>
      <c r="I211" s="34" t="s">
        <v>1463</v>
      </c>
      <c r="J211" s="1674">
        <f t="shared" si="38"/>
        <v>4.847999999999999</v>
      </c>
      <c r="K211" s="1675">
        <v>4.4059999999999997</v>
      </c>
      <c r="L211" s="1675">
        <v>0</v>
      </c>
      <c r="M211" s="1675">
        <v>0.16400000000000001</v>
      </c>
      <c r="N211" s="1675">
        <v>0.161</v>
      </c>
      <c r="O211" s="1675">
        <v>0</v>
      </c>
      <c r="P211" s="1675">
        <v>0.11700000000000001</v>
      </c>
      <c r="Q211" s="1769"/>
      <c r="R211" s="34" t="s">
        <v>1622</v>
      </c>
      <c r="S211" s="34" t="s">
        <v>330</v>
      </c>
      <c r="T211" s="34" t="s">
        <v>1665</v>
      </c>
      <c r="U211" s="34" t="s">
        <v>1666</v>
      </c>
      <c r="V211" s="34">
        <v>10</v>
      </c>
      <c r="W211" s="34">
        <v>30</v>
      </c>
      <c r="X211" s="34" t="s">
        <v>1463</v>
      </c>
      <c r="Y211" s="34">
        <v>5.66</v>
      </c>
      <c r="Z211" s="34">
        <v>5.2670000000000003</v>
      </c>
      <c r="AA211" s="34">
        <v>0</v>
      </c>
      <c r="AB211" s="34">
        <v>0.06</v>
      </c>
      <c r="AC211" s="34">
        <v>0.16300000000000001</v>
      </c>
      <c r="AD211" s="34">
        <v>0</v>
      </c>
      <c r="AE211" s="34">
        <v>0.17</v>
      </c>
      <c r="AF211" s="5"/>
      <c r="AG211" s="1671"/>
      <c r="AH211" s="1671"/>
      <c r="AI211" s="1671"/>
      <c r="AJ211" s="1637"/>
      <c r="AK211" s="1671"/>
      <c r="AL211" s="1637"/>
      <c r="AM211" s="1637"/>
      <c r="AN211" s="1671"/>
      <c r="AO211" s="1671"/>
      <c r="AP211" s="1671"/>
      <c r="AQ211" s="1671"/>
      <c r="AR211" s="1671"/>
      <c r="AS211" s="1671"/>
      <c r="AT211" s="1671"/>
      <c r="AU211" s="1671"/>
    </row>
    <row r="212" spans="1:47" customFormat="1" ht="16" hidden="1" customHeight="1" outlineLevel="1">
      <c r="A212" s="1638"/>
      <c r="B212" s="34" t="s">
        <v>1484</v>
      </c>
      <c r="C212" s="34" t="s">
        <v>1465</v>
      </c>
      <c r="D212" s="34" t="s">
        <v>1511</v>
      </c>
      <c r="E212" s="17" t="s">
        <v>1471</v>
      </c>
      <c r="F212" s="18"/>
      <c r="G212" s="18">
        <v>1</v>
      </c>
      <c r="H212" s="18">
        <v>1</v>
      </c>
      <c r="I212" s="34" t="s">
        <v>1463</v>
      </c>
      <c r="J212" s="1674">
        <f t="shared" si="38"/>
        <v>0.92200000000000004</v>
      </c>
      <c r="K212" s="1675">
        <v>0.34799999999999998</v>
      </c>
      <c r="L212" s="1675">
        <v>0</v>
      </c>
      <c r="M212" s="1675">
        <v>4.0000000000000001E-3</v>
      </c>
      <c r="N212" s="1675">
        <v>2.1999999999999999E-2</v>
      </c>
      <c r="O212" s="1675">
        <v>0.503</v>
      </c>
      <c r="P212" s="1675">
        <v>4.4999999999999998E-2</v>
      </c>
      <c r="Q212" s="1769"/>
      <c r="R212" s="34" t="s">
        <v>1622</v>
      </c>
      <c r="S212" s="34" t="s">
        <v>330</v>
      </c>
      <c r="T212" s="34" t="s">
        <v>1667</v>
      </c>
      <c r="U212" s="34" t="s">
        <v>1668</v>
      </c>
      <c r="V212" s="34">
        <v>10</v>
      </c>
      <c r="W212" s="34">
        <v>30</v>
      </c>
      <c r="X212" s="34" t="s">
        <v>1463</v>
      </c>
      <c r="Y212" s="34">
        <v>3.335</v>
      </c>
      <c r="Z212" s="34">
        <v>3.077</v>
      </c>
      <c r="AA212" s="34">
        <v>0</v>
      </c>
      <c r="AB212" s="34">
        <v>4.4999999999999998E-2</v>
      </c>
      <c r="AC212" s="34">
        <v>0.10100000000000001</v>
      </c>
      <c r="AD212" s="34">
        <v>0</v>
      </c>
      <c r="AE212" s="34">
        <v>0.112</v>
      </c>
      <c r="AF212" s="5"/>
      <c r="AG212" s="1671"/>
      <c r="AH212" s="1671"/>
      <c r="AI212" s="1671"/>
      <c r="AJ212" s="1671"/>
      <c r="AK212" s="1671"/>
      <c r="AL212" s="1671"/>
      <c r="AM212" s="1671"/>
      <c r="AN212" s="1671"/>
      <c r="AO212" s="1671"/>
      <c r="AP212" s="1671"/>
      <c r="AQ212" s="1671"/>
      <c r="AR212" s="1671"/>
      <c r="AS212" s="1671"/>
      <c r="AT212" s="1671"/>
      <c r="AU212" s="1671"/>
    </row>
    <row r="213" spans="1:47" customFormat="1" ht="16" hidden="1" customHeight="1" outlineLevel="1">
      <c r="A213" s="1638"/>
      <c r="B213" s="34" t="s">
        <v>1484</v>
      </c>
      <c r="C213" s="34" t="s">
        <v>1465</v>
      </c>
      <c r="D213" s="34" t="s">
        <v>1489</v>
      </c>
      <c r="E213" s="17"/>
      <c r="F213" s="18"/>
      <c r="G213" s="18">
        <v>0.5</v>
      </c>
      <c r="H213" s="18">
        <v>1</v>
      </c>
      <c r="I213" s="34" t="s">
        <v>1463</v>
      </c>
      <c r="J213" s="1674">
        <f t="shared" si="38"/>
        <v>23.613</v>
      </c>
      <c r="K213" s="1675">
        <v>21.001999999999999</v>
      </c>
      <c r="L213" s="1675">
        <v>0</v>
      </c>
      <c r="M213" s="1675">
        <v>0.20799999999999999</v>
      </c>
      <c r="N213" s="1675">
        <v>0.80300000000000005</v>
      </c>
      <c r="O213" s="1675">
        <v>0</v>
      </c>
      <c r="P213" s="1675">
        <v>1.6</v>
      </c>
      <c r="Q213" s="1769"/>
      <c r="R213" s="34" t="s">
        <v>1622</v>
      </c>
      <c r="S213" s="34" t="s">
        <v>330</v>
      </c>
      <c r="T213" s="34" t="s">
        <v>1673</v>
      </c>
      <c r="U213" s="34" t="s">
        <v>1674</v>
      </c>
      <c r="V213" s="34">
        <v>10</v>
      </c>
      <c r="W213" s="34">
        <v>30</v>
      </c>
      <c r="X213" s="34" t="s">
        <v>1463</v>
      </c>
      <c r="Y213" s="34">
        <v>6.3239999999999998</v>
      </c>
      <c r="Z213" s="34">
        <v>5.9240000000000004</v>
      </c>
      <c r="AA213" s="34">
        <v>0</v>
      </c>
      <c r="AB213" s="34">
        <v>6.6000000000000003E-2</v>
      </c>
      <c r="AC213" s="34">
        <v>0.16900000000000001</v>
      </c>
      <c r="AD213" s="34">
        <v>0</v>
      </c>
      <c r="AE213" s="34">
        <v>0.16500000000000001</v>
      </c>
      <c r="AF213" s="5"/>
      <c r="AG213" s="1671"/>
      <c r="AH213" s="1671"/>
      <c r="AI213" s="1671"/>
      <c r="AJ213" s="1637"/>
      <c r="AK213" s="1671"/>
      <c r="AL213" s="1637"/>
      <c r="AM213" s="1637"/>
      <c r="AN213" s="1671"/>
      <c r="AO213" s="1671"/>
      <c r="AP213" s="1671"/>
      <c r="AQ213" s="1671"/>
      <c r="AR213" s="1671"/>
      <c r="AS213" s="1671"/>
      <c r="AT213" s="1671"/>
      <c r="AU213" s="1671"/>
    </row>
    <row r="214" spans="1:47" customFormat="1" ht="16" hidden="1" customHeight="1" outlineLevel="1">
      <c r="A214" s="1638"/>
      <c r="B214" s="34" t="s">
        <v>1484</v>
      </c>
      <c r="C214" s="34" t="s">
        <v>1465</v>
      </c>
      <c r="D214" s="34" t="s">
        <v>1492</v>
      </c>
      <c r="E214" s="17"/>
      <c r="F214" s="18"/>
      <c r="G214" s="18">
        <v>0.25</v>
      </c>
      <c r="H214" s="18"/>
      <c r="I214" s="34" t="s">
        <v>1463</v>
      </c>
      <c r="J214" s="1674">
        <f t="shared" si="38"/>
        <v>6.6940000000000008</v>
      </c>
      <c r="K214" s="1675">
        <v>6.2350000000000003</v>
      </c>
      <c r="L214" s="1675">
        <v>0</v>
      </c>
      <c r="M214" s="1675">
        <v>5.0999999999999997E-2</v>
      </c>
      <c r="N214" s="1675">
        <v>0.13400000000000001</v>
      </c>
      <c r="O214" s="1675">
        <v>0</v>
      </c>
      <c r="P214" s="1675">
        <v>0.27400000000000002</v>
      </c>
      <c r="Q214" s="1769"/>
      <c r="R214" s="34" t="s">
        <v>1622</v>
      </c>
      <c r="S214" s="34" t="s">
        <v>1465</v>
      </c>
      <c r="T214" s="34" t="s">
        <v>1628</v>
      </c>
      <c r="U214" s="34" t="s">
        <v>1471</v>
      </c>
      <c r="V214" s="34">
        <v>1</v>
      </c>
      <c r="W214" s="34">
        <v>1</v>
      </c>
      <c r="X214" s="34" t="s">
        <v>1463</v>
      </c>
      <c r="Y214" s="34">
        <v>0.92200000000000004</v>
      </c>
      <c r="Z214" s="34">
        <v>0.34799999999999998</v>
      </c>
      <c r="AA214" s="34">
        <v>0</v>
      </c>
      <c r="AB214" s="34">
        <v>4.0000000000000001E-3</v>
      </c>
      <c r="AC214" s="34">
        <v>2.1999999999999999E-2</v>
      </c>
      <c r="AD214" s="34">
        <v>0.503</v>
      </c>
      <c r="AE214" s="34">
        <v>4.4999999999999998E-2</v>
      </c>
      <c r="AF214" s="5"/>
      <c r="AG214" s="1671"/>
      <c r="AH214" s="1671"/>
      <c r="AI214" s="1671"/>
      <c r="AJ214" s="1671"/>
      <c r="AK214" s="1671"/>
      <c r="AL214" s="1671"/>
      <c r="AM214" s="1671"/>
      <c r="AN214" s="1671"/>
      <c r="AO214" s="1671"/>
      <c r="AP214" s="1671"/>
      <c r="AQ214" s="1671"/>
      <c r="AR214" s="1671"/>
      <c r="AS214" s="1671"/>
      <c r="AT214" s="1671"/>
      <c r="AU214" s="1671"/>
    </row>
    <row r="215" spans="1:47" customFormat="1" ht="16" hidden="1" customHeight="1" outlineLevel="1">
      <c r="A215" s="1638"/>
      <c r="B215" s="34" t="s">
        <v>1484</v>
      </c>
      <c r="C215" s="34" t="s">
        <v>1465</v>
      </c>
      <c r="D215" s="34" t="s">
        <v>1493</v>
      </c>
      <c r="E215" s="17"/>
      <c r="F215" s="18"/>
      <c r="G215" s="18">
        <v>0.5</v>
      </c>
      <c r="H215" s="18">
        <v>1</v>
      </c>
      <c r="I215" s="34" t="s">
        <v>1463</v>
      </c>
      <c r="J215" s="1674">
        <f t="shared" si="38"/>
        <v>12.854000000000001</v>
      </c>
      <c r="K215" s="1675">
        <v>6.95</v>
      </c>
      <c r="L215" s="1675">
        <v>4.7E-2</v>
      </c>
      <c r="M215" s="1675">
        <v>8.2000000000000003E-2</v>
      </c>
      <c r="N215" s="1675">
        <v>9.9000000000000005E-2</v>
      </c>
      <c r="O215" s="1675">
        <v>5.5519999999999996</v>
      </c>
      <c r="P215" s="1675">
        <v>0.124</v>
      </c>
      <c r="Q215" s="1769"/>
      <c r="R215" s="34" t="s">
        <v>1622</v>
      </c>
      <c r="S215" s="34" t="s">
        <v>1465</v>
      </c>
      <c r="T215" s="34" t="s">
        <v>1630</v>
      </c>
      <c r="U215" s="34"/>
      <c r="V215" s="34">
        <v>0.25</v>
      </c>
      <c r="W215" s="34">
        <v>1</v>
      </c>
      <c r="X215" s="34" t="s">
        <v>1463</v>
      </c>
      <c r="Y215" s="34">
        <v>23.613</v>
      </c>
      <c r="Z215" s="34">
        <v>21.001999999999999</v>
      </c>
      <c r="AA215" s="34">
        <v>0</v>
      </c>
      <c r="AB215" s="34">
        <v>0.20799999999999999</v>
      </c>
      <c r="AC215" s="34">
        <v>0.80300000000000005</v>
      </c>
      <c r="AD215" s="34">
        <v>0</v>
      </c>
      <c r="AE215" s="34">
        <v>1.6</v>
      </c>
      <c r="AF215" s="5"/>
      <c r="AG215" s="1671"/>
      <c r="AH215" s="1671"/>
      <c r="AI215" s="1671"/>
      <c r="AJ215" s="1671"/>
      <c r="AK215" s="1671"/>
      <c r="AL215" s="1671"/>
      <c r="AM215" s="1671"/>
      <c r="AN215" s="1671"/>
      <c r="AO215" s="1671"/>
      <c r="AP215" s="1671"/>
      <c r="AQ215" s="1671"/>
      <c r="AR215" s="1671"/>
      <c r="AS215" s="1671"/>
      <c r="AT215" s="1671"/>
      <c r="AU215" s="1671"/>
    </row>
    <row r="216" spans="1:47" customFormat="1" ht="16" hidden="1" customHeight="1" outlineLevel="1">
      <c r="A216" s="1638"/>
      <c r="B216" s="34" t="s">
        <v>1484</v>
      </c>
      <c r="C216" s="34" t="s">
        <v>1465</v>
      </c>
      <c r="D216" s="34" t="s">
        <v>1494</v>
      </c>
      <c r="E216" s="17"/>
      <c r="F216" s="18"/>
      <c r="G216" s="18">
        <v>1</v>
      </c>
      <c r="H216" s="18">
        <v>1</v>
      </c>
      <c r="I216" s="34" t="s">
        <v>1463</v>
      </c>
      <c r="J216" s="1674">
        <f t="shared" si="38"/>
        <v>0.63</v>
      </c>
      <c r="K216" s="1675">
        <v>0.47299999999999998</v>
      </c>
      <c r="L216" s="1675">
        <v>0</v>
      </c>
      <c r="M216" s="1675">
        <v>1.7000000000000001E-2</v>
      </c>
      <c r="N216" s="1675">
        <v>6.0000000000000001E-3</v>
      </c>
      <c r="O216" s="1675">
        <v>0.14199999999999999</v>
      </c>
      <c r="P216" s="1675">
        <v>-8.0000000000000002E-3</v>
      </c>
      <c r="Q216" s="1769"/>
      <c r="R216" s="34" t="s">
        <v>1622</v>
      </c>
      <c r="S216" s="34" t="s">
        <v>1465</v>
      </c>
      <c r="T216" s="34" t="s">
        <v>1636</v>
      </c>
      <c r="U216" s="34"/>
      <c r="V216" s="34">
        <v>0.25</v>
      </c>
      <c r="W216" s="34">
        <v>30</v>
      </c>
      <c r="X216" s="34" t="s">
        <v>1463</v>
      </c>
      <c r="Y216" s="34">
        <v>6.694</v>
      </c>
      <c r="Z216" s="34">
        <v>6.2350000000000003</v>
      </c>
      <c r="AA216" s="34">
        <v>0</v>
      </c>
      <c r="AB216" s="34">
        <v>5.0999999999999997E-2</v>
      </c>
      <c r="AC216" s="34">
        <v>0.13400000000000001</v>
      </c>
      <c r="AD216" s="34">
        <v>0</v>
      </c>
      <c r="AE216" s="34">
        <v>0.27400000000000002</v>
      </c>
      <c r="AF216" s="5"/>
      <c r="AG216" s="1671"/>
      <c r="AH216" s="1671"/>
      <c r="AI216" s="1671"/>
      <c r="AJ216" s="1671"/>
      <c r="AK216" s="1671"/>
      <c r="AL216" s="1671"/>
      <c r="AM216" s="1671"/>
      <c r="AN216" s="1671"/>
      <c r="AO216" s="1671"/>
      <c r="AP216" s="1671"/>
      <c r="AQ216" s="1671"/>
      <c r="AR216" s="1671"/>
      <c r="AS216" s="1671"/>
      <c r="AT216" s="1671"/>
      <c r="AU216" s="1671"/>
    </row>
    <row r="217" spans="1:47" customFormat="1" ht="16" hidden="1" customHeight="1" outlineLevel="1">
      <c r="A217" s="1638"/>
      <c r="B217" s="34" t="s">
        <v>1484</v>
      </c>
      <c r="C217" s="34" t="s">
        <v>1465</v>
      </c>
      <c r="D217" s="34" t="s">
        <v>1512</v>
      </c>
      <c r="E217" s="17"/>
      <c r="F217" s="18"/>
      <c r="G217" s="18">
        <v>12</v>
      </c>
      <c r="H217" s="18">
        <v>1</v>
      </c>
      <c r="I217" s="34" t="s">
        <v>1463</v>
      </c>
      <c r="J217" s="1674">
        <f t="shared" si="38"/>
        <v>0.82299999999999995</v>
      </c>
      <c r="K217" s="1675">
        <v>0.48499999999999999</v>
      </c>
      <c r="L217" s="1675">
        <v>0</v>
      </c>
      <c r="M217" s="1675">
        <v>0.126</v>
      </c>
      <c r="N217" s="1675">
        <v>7.6999999999999999E-2</v>
      </c>
      <c r="O217" s="1675">
        <v>0</v>
      </c>
      <c r="P217" s="1675">
        <v>0.13500000000000001</v>
      </c>
      <c r="Q217" s="1769"/>
      <c r="R217" s="34" t="s">
        <v>1622</v>
      </c>
      <c r="S217" s="34" t="s">
        <v>1465</v>
      </c>
      <c r="T217" s="34" t="s">
        <v>1638</v>
      </c>
      <c r="U217" s="34"/>
      <c r="V217" s="34">
        <v>1</v>
      </c>
      <c r="W217" s="34">
        <v>1</v>
      </c>
      <c r="X217" s="34" t="s">
        <v>1463</v>
      </c>
      <c r="Y217" s="34">
        <v>12.853999999999999</v>
      </c>
      <c r="Z217" s="34">
        <v>6.95</v>
      </c>
      <c r="AA217" s="34">
        <v>4.7E-2</v>
      </c>
      <c r="AB217" s="34">
        <v>8.2000000000000003E-2</v>
      </c>
      <c r="AC217" s="34">
        <v>9.9000000000000005E-2</v>
      </c>
      <c r="AD217" s="34">
        <v>5.5519999999999996</v>
      </c>
      <c r="AE217" s="34">
        <v>0.124</v>
      </c>
      <c r="AF217" s="5"/>
      <c r="AG217" s="1671"/>
      <c r="AH217" s="1671"/>
      <c r="AI217" s="1671"/>
      <c r="AJ217" s="1671"/>
      <c r="AK217" s="1671"/>
      <c r="AL217" s="1671"/>
      <c r="AM217" s="1671"/>
      <c r="AN217" s="1671"/>
      <c r="AO217" s="1671"/>
      <c r="AP217" s="1671"/>
      <c r="AQ217" s="1671"/>
      <c r="AR217" s="1671"/>
      <c r="AS217" s="1671"/>
      <c r="AT217" s="1671"/>
      <c r="AU217" s="1671"/>
    </row>
    <row r="218" spans="1:47" customFormat="1" ht="16" hidden="1" customHeight="1" outlineLevel="1">
      <c r="A218" s="1638"/>
      <c r="B218" s="34" t="s">
        <v>1484</v>
      </c>
      <c r="C218" s="34" t="s">
        <v>1465</v>
      </c>
      <c r="D218" s="34" t="s">
        <v>1500</v>
      </c>
      <c r="E218" s="17"/>
      <c r="F218" s="18"/>
      <c r="G218" s="18"/>
      <c r="H218" s="18"/>
      <c r="I218" s="34" t="s">
        <v>1463</v>
      </c>
      <c r="J218" s="1674">
        <f t="shared" si="38"/>
        <v>1.373</v>
      </c>
      <c r="K218" s="1675">
        <v>1.2370000000000001</v>
      </c>
      <c r="L218" s="1675">
        <v>0</v>
      </c>
      <c r="M218" s="1675">
        <v>7.0000000000000001E-3</v>
      </c>
      <c r="N218" s="1675">
        <v>7.1999999999999995E-2</v>
      </c>
      <c r="O218" s="1675">
        <v>4.9000000000000002E-2</v>
      </c>
      <c r="P218" s="1675">
        <v>8.0000000000000002E-3</v>
      </c>
      <c r="Q218" s="1769"/>
      <c r="R218" s="34" t="s">
        <v>1622</v>
      </c>
      <c r="S218" s="34" t="s">
        <v>1465</v>
      </c>
      <c r="T218" s="34" t="s">
        <v>1639</v>
      </c>
      <c r="U218" s="34" t="s">
        <v>1640</v>
      </c>
      <c r="V218" s="34">
        <v>2.5</v>
      </c>
      <c r="W218" s="34">
        <v>1</v>
      </c>
      <c r="X218" s="34" t="s">
        <v>1463</v>
      </c>
      <c r="Y218" s="34">
        <v>0.20699999999999999</v>
      </c>
      <c r="Z218" s="34">
        <v>0.13800000000000001</v>
      </c>
      <c r="AA218" s="34">
        <v>0</v>
      </c>
      <c r="AB218" s="34">
        <v>2.7E-2</v>
      </c>
      <c r="AC218" s="34">
        <v>1.7999999999999999E-2</v>
      </c>
      <c r="AD218" s="34">
        <v>0</v>
      </c>
      <c r="AE218" s="34">
        <v>2.4E-2</v>
      </c>
      <c r="AF218" s="5"/>
      <c r="AG218" s="1671"/>
      <c r="AH218" s="1671"/>
      <c r="AI218" s="1671"/>
      <c r="AJ218" s="1671"/>
      <c r="AK218" s="1671"/>
      <c r="AL218" s="1671"/>
      <c r="AM218" s="1671"/>
      <c r="AN218" s="1671"/>
      <c r="AO218" s="1671"/>
      <c r="AP218" s="1671"/>
      <c r="AQ218" s="1671"/>
      <c r="AR218" s="1671"/>
      <c r="AS218" s="1671"/>
      <c r="AT218" s="1671"/>
      <c r="AU218" s="1671"/>
    </row>
    <row r="219" spans="1:47" customFormat="1" ht="16" hidden="1" customHeight="1" outlineLevel="1">
      <c r="A219" s="1638"/>
      <c r="B219" s="34" t="s">
        <v>1484</v>
      </c>
      <c r="C219" s="34" t="s">
        <v>1465</v>
      </c>
      <c r="D219" s="34" t="s">
        <v>1513</v>
      </c>
      <c r="E219" s="17"/>
      <c r="F219" s="18"/>
      <c r="G219" s="18">
        <v>0.5</v>
      </c>
      <c r="H219" s="18">
        <v>1</v>
      </c>
      <c r="I219" s="34" t="s">
        <v>1463</v>
      </c>
      <c r="J219" s="1674">
        <f t="shared" si="38"/>
        <v>3.0920000000000001</v>
      </c>
      <c r="K219" s="1675">
        <v>2.6579999999999999</v>
      </c>
      <c r="L219" s="1675">
        <v>0</v>
      </c>
      <c r="M219" s="1675">
        <v>3.5000000000000003E-2</v>
      </c>
      <c r="N219" s="1675">
        <v>0.26200000000000001</v>
      </c>
      <c r="O219" s="1675">
        <v>4.3999999999999997E-2</v>
      </c>
      <c r="P219" s="1675">
        <v>9.2999999999999999E-2</v>
      </c>
      <c r="Q219" s="1769"/>
      <c r="R219" s="34" t="s">
        <v>1622</v>
      </c>
      <c r="S219" s="34" t="s">
        <v>1465</v>
      </c>
      <c r="T219" s="34" t="s">
        <v>1641</v>
      </c>
      <c r="U219" s="34" t="s">
        <v>1642</v>
      </c>
      <c r="V219" s="34">
        <v>1</v>
      </c>
      <c r="W219" s="34">
        <v>1</v>
      </c>
      <c r="X219" s="34" t="s">
        <v>1463</v>
      </c>
      <c r="Y219" s="34">
        <v>7.8289999999999997</v>
      </c>
      <c r="Z219" s="34">
        <v>5.1360000000000001</v>
      </c>
      <c r="AA219" s="34">
        <v>6.8000000000000005E-2</v>
      </c>
      <c r="AB219" s="34">
        <v>0.08</v>
      </c>
      <c r="AC219" s="34">
        <v>0.16500000000000001</v>
      </c>
      <c r="AD219" s="34">
        <v>2.3359999999999999</v>
      </c>
      <c r="AE219" s="34">
        <v>4.3999999999999997E-2</v>
      </c>
      <c r="AF219" s="5"/>
      <c r="AG219" s="1671"/>
      <c r="AH219" s="1671"/>
      <c r="AI219" s="1671"/>
      <c r="AJ219" s="1637"/>
      <c r="AK219" s="1671"/>
      <c r="AL219" s="1671"/>
      <c r="AM219" s="1671"/>
      <c r="AN219" s="1671"/>
      <c r="AO219" s="1671"/>
      <c r="AP219" s="1671"/>
      <c r="AQ219" s="1671"/>
      <c r="AR219" s="1671"/>
      <c r="AS219" s="1671"/>
      <c r="AT219" s="1671"/>
      <c r="AU219" s="1671"/>
    </row>
    <row r="220" spans="1:47" hidden="1" outlineLevel="1">
      <c r="B220" s="1637"/>
      <c r="C220" s="1637"/>
      <c r="D220" s="1637"/>
      <c r="E220" s="1637"/>
      <c r="F220" s="1637"/>
      <c r="G220" s="1637"/>
      <c r="H220" s="1637"/>
      <c r="I220" s="1637"/>
      <c r="J220" s="1637"/>
      <c r="K220" s="1639"/>
      <c r="L220" s="1639"/>
      <c r="M220" s="1639"/>
      <c r="N220" s="1639"/>
      <c r="O220" s="1639"/>
      <c r="P220" s="1639"/>
      <c r="Q220" s="1770"/>
      <c r="R220" s="34" t="s">
        <v>1622</v>
      </c>
      <c r="S220" s="34" t="s">
        <v>1465</v>
      </c>
      <c r="T220" s="34" t="s">
        <v>1643</v>
      </c>
      <c r="U220" s="34" t="s">
        <v>1644</v>
      </c>
      <c r="V220" s="34">
        <v>0.5</v>
      </c>
      <c r="W220" s="34">
        <v>1</v>
      </c>
      <c r="X220" s="34" t="s">
        <v>1463</v>
      </c>
      <c r="Y220" s="34">
        <v>3.5419999999999998</v>
      </c>
      <c r="Z220" s="34">
        <v>3.306</v>
      </c>
      <c r="AA220" s="34">
        <v>0</v>
      </c>
      <c r="AB220" s="34">
        <v>0.01</v>
      </c>
      <c r="AC220" s="34">
        <v>8.7999999999999995E-2</v>
      </c>
      <c r="AD220" s="34">
        <v>0</v>
      </c>
      <c r="AE220" s="34">
        <v>0.13800000000000001</v>
      </c>
      <c r="AG220" s="1671"/>
      <c r="AH220" s="1671"/>
      <c r="AI220" s="1671"/>
      <c r="AJ220" s="1637"/>
      <c r="AK220" s="1671"/>
      <c r="AL220" s="1637"/>
      <c r="AM220" s="1637"/>
      <c r="AN220" s="1671"/>
      <c r="AO220" s="1671"/>
      <c r="AP220" s="1671"/>
      <c r="AQ220" s="1671"/>
      <c r="AR220" s="1671"/>
      <c r="AS220" s="1671"/>
      <c r="AT220" s="1671"/>
      <c r="AU220" s="1671"/>
    </row>
    <row r="221" spans="1:47" hidden="1" outlineLevel="1">
      <c r="R221" s="34" t="s">
        <v>1622</v>
      </c>
      <c r="S221" s="34" t="s">
        <v>1465</v>
      </c>
      <c r="T221" s="34" t="s">
        <v>1647</v>
      </c>
      <c r="U221" s="34"/>
      <c r="V221" s="34"/>
      <c r="W221" s="34"/>
      <c r="X221" s="34" t="s">
        <v>1463</v>
      </c>
      <c r="Y221" s="34">
        <v>0.82299999999999995</v>
      </c>
      <c r="Z221" s="34">
        <v>0.48499999999999999</v>
      </c>
      <c r="AA221" s="34">
        <v>0</v>
      </c>
      <c r="AB221" s="34">
        <v>0.126</v>
      </c>
      <c r="AC221" s="34">
        <v>7.6999999999999999E-2</v>
      </c>
      <c r="AD221" s="34">
        <v>0</v>
      </c>
      <c r="AE221" s="34">
        <v>0.13500000000000001</v>
      </c>
      <c r="AG221" s="1671"/>
      <c r="AH221" s="1671"/>
      <c r="AI221" s="1671"/>
      <c r="AJ221" s="1637"/>
      <c r="AK221" s="1671"/>
      <c r="AL221" s="1637"/>
      <c r="AM221" s="1637"/>
      <c r="AN221" s="1671"/>
      <c r="AO221" s="1671"/>
      <c r="AP221" s="1671"/>
      <c r="AQ221" s="1671"/>
      <c r="AR221" s="1671"/>
      <c r="AS221" s="1671"/>
      <c r="AT221" s="1671"/>
      <c r="AU221" s="1671"/>
    </row>
    <row r="222" spans="1:47" hidden="1" outlineLevel="1">
      <c r="R222" s="34" t="s">
        <v>1622</v>
      </c>
      <c r="S222" s="34" t="s">
        <v>1465</v>
      </c>
      <c r="T222" s="34" t="s">
        <v>1655</v>
      </c>
      <c r="U222" s="34"/>
      <c r="V222" s="34"/>
      <c r="W222" s="34"/>
      <c r="X222" s="34" t="s">
        <v>1463</v>
      </c>
      <c r="Y222" s="34">
        <v>1.373</v>
      </c>
      <c r="Z222" s="34">
        <v>1.2370000000000001</v>
      </c>
      <c r="AA222" s="34">
        <v>0</v>
      </c>
      <c r="AB222" s="34">
        <v>7.0000000000000001E-3</v>
      </c>
      <c r="AC222" s="34">
        <v>7.1999999999999995E-2</v>
      </c>
      <c r="AD222" s="34">
        <v>4.9000000000000002E-2</v>
      </c>
      <c r="AE222" s="34">
        <v>8.0000000000000002E-3</v>
      </c>
      <c r="AG222" s="1671"/>
      <c r="AH222" s="1671"/>
      <c r="AI222" s="1671"/>
      <c r="AJ222" s="1637"/>
      <c r="AK222" s="1671"/>
      <c r="AL222" s="1671"/>
      <c r="AM222" s="1671"/>
      <c r="AN222" s="1671"/>
      <c r="AO222" s="1671"/>
      <c r="AP222" s="1671"/>
      <c r="AQ222" s="1671"/>
      <c r="AR222" s="1671"/>
      <c r="AS222" s="1671"/>
      <c r="AT222" s="1671"/>
      <c r="AU222" s="1671"/>
    </row>
    <row r="223" spans="1:47" ht="20" hidden="1" outlineLevel="1">
      <c r="B223" s="443" t="s">
        <v>1589</v>
      </c>
      <c r="R223" s="34" t="s">
        <v>1622</v>
      </c>
      <c r="S223" s="34" t="s">
        <v>1465</v>
      </c>
      <c r="T223" s="34" t="s">
        <v>1669</v>
      </c>
      <c r="U223" s="34"/>
      <c r="V223" s="34">
        <v>1</v>
      </c>
      <c r="W223" s="34">
        <v>1</v>
      </c>
      <c r="X223" s="34" t="s">
        <v>1463</v>
      </c>
      <c r="Y223" s="34">
        <v>3.0920000000000001</v>
      </c>
      <c r="Z223" s="34">
        <v>2.6579999999999999</v>
      </c>
      <c r="AA223" s="34">
        <v>0</v>
      </c>
      <c r="AB223" s="34">
        <v>3.5000000000000003E-2</v>
      </c>
      <c r="AC223" s="34">
        <v>0.26200000000000001</v>
      </c>
      <c r="AD223" s="34">
        <v>4.3999999999999997E-2</v>
      </c>
      <c r="AE223" s="34">
        <v>9.2999999999999999E-2</v>
      </c>
      <c r="AG223" s="1671"/>
      <c r="AH223" s="1671"/>
      <c r="AI223" s="1671"/>
      <c r="AJ223" s="1671"/>
      <c r="AK223" s="1671"/>
      <c r="AL223" s="1671"/>
      <c r="AM223" s="1671"/>
      <c r="AN223" s="1671"/>
      <c r="AO223" s="1671"/>
      <c r="AP223" s="1671"/>
      <c r="AQ223" s="1671"/>
      <c r="AR223" s="1671"/>
      <c r="AS223" s="1671"/>
      <c r="AT223" s="1671"/>
      <c r="AU223" s="1671"/>
    </row>
    <row r="224" spans="1:47" hidden="1" outlineLevel="2">
      <c r="D224" s="6"/>
      <c r="R224" s="1671"/>
      <c r="S224" s="1671"/>
      <c r="T224" s="1671"/>
      <c r="U224" s="1637"/>
      <c r="V224" s="1637"/>
      <c r="W224" s="1637"/>
      <c r="X224" s="1637"/>
      <c r="Y224" s="1637"/>
      <c r="Z224" s="1637"/>
      <c r="AA224" s="1637"/>
      <c r="AB224" s="1637"/>
      <c r="AC224" s="1637"/>
      <c r="AD224" s="1637"/>
      <c r="AE224" s="1637"/>
      <c r="AF224" s="1637"/>
      <c r="AG224" s="1671"/>
      <c r="AH224" s="1671"/>
      <c r="AI224" s="1671"/>
      <c r="AJ224" s="1637"/>
      <c r="AK224" s="1637"/>
      <c r="AL224" s="1637"/>
      <c r="AM224" s="1637"/>
      <c r="AN224" s="1637"/>
      <c r="AO224" s="1637"/>
      <c r="AP224" s="1637"/>
      <c r="AQ224" s="1637"/>
      <c r="AR224" s="1637"/>
      <c r="AS224" s="1637"/>
      <c r="AT224" s="1637"/>
      <c r="AU224" s="1637"/>
    </row>
    <row r="225" spans="2:47" hidden="1" outlineLevel="2">
      <c r="B225" s="1729" t="s">
        <v>488</v>
      </c>
      <c r="C225" s="1729" t="s">
        <v>1592</v>
      </c>
      <c r="D225" s="1725"/>
      <c r="E225" s="1725"/>
      <c r="F225" s="1725"/>
      <c r="R225" s="1671"/>
      <c r="S225" s="1671"/>
      <c r="T225" s="1672"/>
      <c r="U225" s="1637"/>
      <c r="V225" s="1637"/>
      <c r="W225" s="1671"/>
      <c r="X225" s="1637"/>
      <c r="Y225" s="1637"/>
      <c r="Z225" s="1637"/>
      <c r="AA225" s="1637"/>
      <c r="AB225" s="1637"/>
      <c r="AC225" s="1637"/>
      <c r="AD225" s="1637"/>
      <c r="AE225" s="1637"/>
      <c r="AF225" s="1637"/>
      <c r="AG225" s="1671"/>
      <c r="AH225" s="1671"/>
      <c r="AI225" s="1672"/>
      <c r="AJ225" s="1637"/>
      <c r="AK225" s="1637"/>
      <c r="AL225" s="1671"/>
      <c r="AM225" s="1637"/>
      <c r="AN225" s="1637"/>
      <c r="AO225" s="1637"/>
      <c r="AP225" s="1637"/>
      <c r="AQ225" s="1637"/>
      <c r="AR225" s="1637"/>
      <c r="AS225" s="1637"/>
      <c r="AT225" s="1637"/>
      <c r="AU225" s="1637"/>
    </row>
    <row r="226" spans="2:47" hidden="1" outlineLevel="2">
      <c r="B226" s="40" t="s">
        <v>1593</v>
      </c>
      <c r="C226" s="1728">
        <f>AVERAGE(E102:E104,E54:E56)</f>
        <v>10.140833333333333</v>
      </c>
      <c r="D226" s="1725"/>
      <c r="R226" s="1671"/>
      <c r="S226" s="1671"/>
      <c r="T226" s="1672"/>
      <c r="U226" s="1637"/>
      <c r="V226" s="1637"/>
      <c r="W226" s="1637"/>
      <c r="X226" s="1637"/>
      <c r="Y226" s="1637"/>
      <c r="Z226" s="1637"/>
      <c r="AA226" s="1637"/>
      <c r="AB226" s="1637"/>
      <c r="AC226" s="1637"/>
      <c r="AD226" s="1637"/>
      <c r="AE226" s="1637"/>
      <c r="AF226" s="1637"/>
      <c r="AG226" s="1671"/>
      <c r="AH226" s="1671"/>
      <c r="AI226" s="1672"/>
      <c r="AJ226" s="1637"/>
      <c r="AK226" s="1637"/>
      <c r="AL226" s="1637"/>
      <c r="AM226" s="1637"/>
      <c r="AN226" s="1637"/>
      <c r="AO226" s="1637"/>
      <c r="AP226" s="1637"/>
      <c r="AQ226" s="1637"/>
      <c r="AR226" s="1637"/>
      <c r="AS226" s="1637"/>
      <c r="AT226" s="1637"/>
      <c r="AU226" s="1637"/>
    </row>
    <row r="227" spans="2:47" hidden="1" outlineLevel="2">
      <c r="B227" s="40" t="s">
        <v>1590</v>
      </c>
      <c r="C227" s="1727">
        <f>AVERAGE(E34,E47,E43,E86,E95)</f>
        <v>5.0713166665320006</v>
      </c>
      <c r="D227" s="1726"/>
      <c r="R227" s="1671"/>
      <c r="S227" s="1671"/>
      <c r="T227" s="1672"/>
      <c r="U227" s="1637"/>
      <c r="V227" s="1637"/>
      <c r="W227" s="1637"/>
      <c r="X227" s="1637"/>
      <c r="Y227" s="1637"/>
      <c r="Z227" s="1637"/>
      <c r="AA227" s="1637"/>
      <c r="AB227" s="1637"/>
      <c r="AC227" s="1637"/>
      <c r="AD227" s="1637"/>
      <c r="AE227" s="1637"/>
      <c r="AF227"/>
      <c r="AG227" s="1671"/>
      <c r="AH227" s="1671"/>
      <c r="AI227" s="1672"/>
      <c r="AJ227" s="1637"/>
      <c r="AK227" s="1637"/>
      <c r="AL227" s="1637"/>
      <c r="AM227" s="1637"/>
      <c r="AN227" s="1637"/>
      <c r="AO227" s="1637"/>
      <c r="AP227" s="1637"/>
      <c r="AQ227" s="1637"/>
      <c r="AR227" s="1637"/>
      <c r="AS227" s="1637"/>
      <c r="AT227" s="1637"/>
      <c r="AU227"/>
    </row>
    <row r="228" spans="2:47" hidden="1" outlineLevel="2">
      <c r="B228" s="40" t="s">
        <v>1594</v>
      </c>
      <c r="C228" s="1728">
        <f>AVERAGE(E115:E117,E68:E69)</f>
        <v>4.8367999999999993</v>
      </c>
      <c r="D228" s="1726"/>
    </row>
    <row r="229" spans="2:47" hidden="1" outlineLevel="2">
      <c r="B229" s="40" t="s">
        <v>635</v>
      </c>
      <c r="C229" s="1673">
        <f>AVERAGE(E35,E37,E87,E89)</f>
        <v>4.5469999999999997</v>
      </c>
      <c r="D229" s="1726"/>
    </row>
    <row r="230" spans="2:47" hidden="1" outlineLevel="2">
      <c r="B230" s="40" t="s">
        <v>1591</v>
      </c>
      <c r="C230" s="1673">
        <f>AVERAGE(E38,E36,E90,E88)</f>
        <v>2.7549999999999999</v>
      </c>
      <c r="D230" s="1726"/>
    </row>
    <row r="231" spans="2:47" hidden="1" outlineLevel="2">
      <c r="B231"/>
      <c r="C231"/>
      <c r="D231"/>
    </row>
    <row r="232" spans="2:47" hidden="1" outlineLevel="2"/>
    <row r="233" spans="2:47" hidden="1" outlineLevel="2"/>
    <row r="234" spans="2:47" hidden="1" outlineLevel="2">
      <c r="E234" s="1725"/>
    </row>
    <row r="235" spans="2:47" hidden="1" outlineLevel="2">
      <c r="C235" s="781"/>
      <c r="D235" s="781"/>
      <c r="E235" s="1731"/>
      <c r="F235" s="781"/>
    </row>
    <row r="236" spans="2:47" hidden="1" outlineLevel="2">
      <c r="B236" s="1729" t="s">
        <v>488</v>
      </c>
      <c r="C236" s="1732" t="s">
        <v>1599</v>
      </c>
      <c r="D236" s="1732" t="s">
        <v>105</v>
      </c>
      <c r="E236" s="1733" t="s">
        <v>1596</v>
      </c>
      <c r="F236" s="1732" t="s">
        <v>1598</v>
      </c>
    </row>
    <row r="237" spans="2:47" hidden="1" outlineLevel="2">
      <c r="B237" s="40" t="s">
        <v>1753</v>
      </c>
      <c r="C237" s="1727">
        <f>(D34+D43+D47+D86+D95)/1000</f>
        <v>10160.448</v>
      </c>
      <c r="D237" s="1727">
        <f>G34+G43+G47+G86+G95</f>
        <v>55653.805078841368</v>
      </c>
      <c r="E237" s="1730">
        <f>C237/SUM($C$237:$C$241)</f>
        <v>0.27563606364548465</v>
      </c>
      <c r="F237" s="1730">
        <f>D237/SUM($D$237:$D$241)</f>
        <v>0.27022001157815956</v>
      </c>
    </row>
    <row r="238" spans="2:47" hidden="1" outlineLevel="2">
      <c r="B238" s="40" t="s">
        <v>1754</v>
      </c>
      <c r="C238" s="1727">
        <f>(D35+D37+D87+D89)/1000</f>
        <v>8106.8249999999998</v>
      </c>
      <c r="D238" s="1727">
        <f>G35+G37+G87+G89</f>
        <v>28571.483457000002</v>
      </c>
      <c r="E238" s="1730">
        <f>C238/SUM($C$237:$C$241)</f>
        <v>0.21992468557122738</v>
      </c>
      <c r="F238" s="1730">
        <f>D238/SUM($D$237:$D$241)</f>
        <v>0.13872522426127823</v>
      </c>
    </row>
    <row r="239" spans="2:47" hidden="1" outlineLevel="2">
      <c r="B239" s="40" t="s">
        <v>1591</v>
      </c>
      <c r="C239" s="1727">
        <f>(D36+D88+D90+D38)/1000</f>
        <v>9511.7960000000003</v>
      </c>
      <c r="D239" s="1727">
        <f>G36+G88+G90+G38</f>
        <v>26204.99798</v>
      </c>
      <c r="E239" s="1730">
        <f>C239/SUM($C$237:$C$241)</f>
        <v>0.25803921319599948</v>
      </c>
      <c r="F239" s="1730">
        <f>D239/SUM($D$237:$D$241)</f>
        <v>0.12723505333606322</v>
      </c>
    </row>
    <row r="240" spans="2:47" hidden="1" outlineLevel="2">
      <c r="B240" s="40" t="str">
        <f>B92</f>
        <v>Underwear entraînement manches longues </v>
      </c>
      <c r="C240" s="1727">
        <f>(D40+D92)/1000</f>
        <v>2540.1120000000001</v>
      </c>
      <c r="D240" s="1727">
        <f>G40+G92</f>
        <v>16881.584351999998</v>
      </c>
      <c r="E240" s="1730">
        <f>C240/SUM($C$237:$C$241)</f>
        <v>6.8909015911371163E-2</v>
      </c>
      <c r="F240" s="1730">
        <f>D240/SUM($D$237:$D$241)</f>
        <v>8.1966397672050884E-2</v>
      </c>
    </row>
    <row r="241" spans="2:6" hidden="1" outlineLevel="2">
      <c r="B241" s="40" t="s">
        <v>1595</v>
      </c>
      <c r="C241" s="1727">
        <f>(D39+SUM(D44:D46)+D91+SUM(D93:D94)+SUM(D41:D42))/1000</f>
        <v>6542.6427599999997</v>
      </c>
      <c r="D241" s="1727">
        <f>G39+SUM(G44:G46)+G91+SUM(G93:G94)+SUM(G41:G42)</f>
        <v>78645.507173139995</v>
      </c>
      <c r="E241" s="1730">
        <f>C241/SUM($C$237:$C$241)</f>
        <v>0.17749102167591718</v>
      </c>
      <c r="F241" s="1730">
        <f>D241/SUM($D$237:$D$241)</f>
        <v>0.38185331315244808</v>
      </c>
    </row>
    <row r="242" spans="2:6" hidden="1" outlineLevel="2">
      <c r="B242" s="1828" t="s">
        <v>139</v>
      </c>
      <c r="C242" s="1829">
        <f>SUM(C237:C241)</f>
        <v>36861.823760000007</v>
      </c>
      <c r="D242" s="1829">
        <f t="shared" ref="D242:F242" si="39">SUM(D237:D241)</f>
        <v>205957.37804098136</v>
      </c>
      <c r="E242" s="1830">
        <f t="shared" si="39"/>
        <v>0.99999999999999978</v>
      </c>
      <c r="F242" s="1830">
        <f t="shared" si="39"/>
        <v>0.99999999999999989</v>
      </c>
    </row>
    <row r="243" spans="2:6" hidden="1" outlineLevel="2"/>
    <row r="244" spans="2:6" hidden="1" outlineLevel="2"/>
    <row r="245" spans="2:6" hidden="1" outlineLevel="2"/>
    <row r="246" spans="2:6" hidden="1" outlineLevel="2"/>
    <row r="247" spans="2:6" hidden="1" outlineLevel="2"/>
    <row r="248" spans="2:6" hidden="1" outlineLevel="2"/>
    <row r="249" spans="2:6" hidden="1" outlineLevel="2"/>
    <row r="250" spans="2:6" hidden="1" outlineLevel="2"/>
    <row r="251" spans="2:6" hidden="1" outlineLevel="2"/>
    <row r="252" spans="2:6" hidden="1" outlineLevel="2"/>
    <row r="253" spans="2:6" hidden="1" outlineLevel="2"/>
    <row r="254" spans="2:6" hidden="1" outlineLevel="2"/>
    <row r="255" spans="2:6" hidden="1" outlineLevel="2"/>
    <row r="256" spans="2:6" hidden="1" outlineLevel="2"/>
    <row r="257" spans="2:9" hidden="1" outlineLevel="2"/>
    <row r="258" spans="2:9" hidden="1" outlineLevel="2"/>
    <row r="259" spans="2:9" hidden="1" outlineLevel="2"/>
    <row r="260" spans="2:9" hidden="1" outlineLevel="2"/>
    <row r="261" spans="2:9" hidden="1" outlineLevel="2"/>
    <row r="262" spans="2:9" hidden="1" outlineLevel="2"/>
    <row r="263" spans="2:9" hidden="1" outlineLevel="2"/>
    <row r="264" spans="2:9" hidden="1" outlineLevel="2"/>
    <row r="265" spans="2:9" hidden="1" outlineLevel="2"/>
    <row r="266" spans="2:9" ht="21" hidden="1" customHeight="1" outlineLevel="2">
      <c r="B266" s="34"/>
      <c r="C266" s="41" t="s">
        <v>1775</v>
      </c>
      <c r="D266" s="41" t="s">
        <v>1776</v>
      </c>
      <c r="E266" s="41" t="s">
        <v>1715</v>
      </c>
      <c r="F266" s="41" t="s">
        <v>1459</v>
      </c>
      <c r="G266" s="41" t="s">
        <v>1345</v>
      </c>
      <c r="H266" s="41" t="s">
        <v>1346</v>
      </c>
      <c r="I266" s="41" t="s">
        <v>0</v>
      </c>
    </row>
    <row r="267" spans="2:9" ht="21" hidden="1" customHeight="1" outlineLevel="2">
      <c r="B267" s="2230" t="s">
        <v>1597</v>
      </c>
      <c r="C267" s="466">
        <f>AVERAGE(K188:K201)</f>
        <v>5.2403095237857134</v>
      </c>
      <c r="D267" s="466">
        <f t="shared" ref="D267:G267" si="40">AVERAGE(L188:L201)</f>
        <v>0.111</v>
      </c>
      <c r="E267" s="466">
        <f t="shared" si="40"/>
        <v>0.13102380952357143</v>
      </c>
      <c r="F267" s="466">
        <f t="shared" si="40"/>
        <v>0.2618571428571429</v>
      </c>
      <c r="G267" s="466">
        <f t="shared" si="40"/>
        <v>1.9090238095000001</v>
      </c>
      <c r="H267" s="466">
        <f>AVERAGE(P188:P201)</f>
        <v>4.0309523809285715E-2</v>
      </c>
      <c r="I267" s="466">
        <f>SUM(C267:H267)</f>
        <v>7.693523809475713</v>
      </c>
    </row>
    <row r="268" spans="2:9" ht="21" hidden="1" customHeight="1" outlineLevel="2">
      <c r="B268" s="2230"/>
      <c r="C268" s="96">
        <f t="shared" ref="C268:I268" si="41">C267/$I$267</f>
        <v>0.68113255428305775</v>
      </c>
      <c r="D268" s="96">
        <f t="shared" si="41"/>
        <v>1.4427719046412397E-2</v>
      </c>
      <c r="E268" s="96">
        <f t="shared" si="41"/>
        <v>1.7030402812583254E-2</v>
      </c>
      <c r="F268" s="96">
        <f t="shared" si="41"/>
        <v>3.4036047634586779E-2</v>
      </c>
      <c r="G268" s="96">
        <f t="shared" si="41"/>
        <v>0.24813386645385496</v>
      </c>
      <c r="H268" s="96">
        <f t="shared" si="41"/>
        <v>5.2394097695049142E-3</v>
      </c>
      <c r="I268" s="96">
        <f t="shared" si="41"/>
        <v>1</v>
      </c>
    </row>
    <row r="269" spans="2:9" ht="21" hidden="1" customHeight="1" outlineLevel="2">
      <c r="B269" s="2231" t="s">
        <v>1600</v>
      </c>
      <c r="C269" s="1674">
        <f>AVERAGE(K207:K209)</f>
        <v>7.9373333333333322</v>
      </c>
      <c r="D269" s="1674">
        <f t="shared" ref="D269:H269" si="42">AVERAGE(L207:L209)</f>
        <v>0.69999999999999984</v>
      </c>
      <c r="E269" s="1674">
        <f t="shared" si="42"/>
        <v>0.32833333333333337</v>
      </c>
      <c r="F269" s="1674">
        <f t="shared" si="42"/>
        <v>0.8613333333333334</v>
      </c>
      <c r="G269" s="1674">
        <f t="shared" si="42"/>
        <v>8.9999999999999983E-2</v>
      </c>
      <c r="H269" s="1674">
        <f t="shared" si="42"/>
        <v>0.18000000000000002</v>
      </c>
      <c r="I269" s="466">
        <f>SUM(C269:H269)</f>
        <v>10.096999999999998</v>
      </c>
    </row>
    <row r="270" spans="2:9" ht="21" hidden="1" customHeight="1" outlineLevel="2">
      <c r="B270" s="2232"/>
      <c r="C270" s="96">
        <f>C269/$I$269</f>
        <v>0.78610808490970918</v>
      </c>
      <c r="D270" s="96">
        <f t="shared" ref="D270:I270" si="43">D269/$I$269</f>
        <v>6.932752302664158E-2</v>
      </c>
      <c r="E270" s="96">
        <f t="shared" si="43"/>
        <v>3.2517909610115227E-2</v>
      </c>
      <c r="F270" s="96">
        <f t="shared" si="43"/>
        <v>8.5305866428972324E-2</v>
      </c>
      <c r="G270" s="96">
        <f t="shared" si="43"/>
        <v>8.9135386748539179E-3</v>
      </c>
      <c r="H270" s="96">
        <f t="shared" si="43"/>
        <v>1.7827077349707839E-2</v>
      </c>
      <c r="I270" s="96">
        <f t="shared" si="43"/>
        <v>1</v>
      </c>
    </row>
    <row r="271" spans="2:9" ht="21" hidden="1" customHeight="1" outlineLevel="2">
      <c r="B271" s="2231" t="s">
        <v>1601</v>
      </c>
      <c r="C271" s="1674">
        <f>AVERAGE(J202:J206:J210:J219)</f>
        <v>5.9345555555555549</v>
      </c>
      <c r="D271" s="1674">
        <f>AVERAGE(K202:K206:K210:K219)</f>
        <v>4.7715555555555547</v>
      </c>
      <c r="E271" s="1674">
        <f>AVERAGE(L202:L206:L210:L219)</f>
        <v>0.12305555555555557</v>
      </c>
      <c r="F271" s="1674">
        <f>AVERAGE(M202:M206:M210:M219)</f>
        <v>0.10666666666666666</v>
      </c>
      <c r="G271" s="1674">
        <f>AVERAGE(N202:N206:N210:N219)</f>
        <v>0.28016666666666673</v>
      </c>
      <c r="H271" s="1674">
        <f>AVERAGE(O202:O206:O210:O219)</f>
        <v>0.41166666666666668</v>
      </c>
      <c r="I271" s="466">
        <f>SUM(C271:H271)</f>
        <v>11.627666666666666</v>
      </c>
    </row>
    <row r="272" spans="2:9" ht="21" hidden="1" customHeight="1" outlineLevel="2">
      <c r="B272" s="2232"/>
      <c r="C272" s="96">
        <f>C271/$I$271</f>
        <v>0.51038232567917508</v>
      </c>
      <c r="D272" s="96">
        <f t="shared" ref="D272:I272" si="44">D271/$I$271</f>
        <v>0.41036225859778874</v>
      </c>
      <c r="E272" s="96">
        <f t="shared" si="44"/>
        <v>1.0582996493038635E-2</v>
      </c>
      <c r="F272" s="96">
        <f t="shared" si="44"/>
        <v>9.173522919473669E-3</v>
      </c>
      <c r="G272" s="96">
        <f t="shared" si="44"/>
        <v>2.4094831293180064E-2</v>
      </c>
      <c r="H272" s="96">
        <f t="shared" si="44"/>
        <v>3.5404065017343694E-2</v>
      </c>
      <c r="I272" s="96">
        <f t="shared" si="44"/>
        <v>1</v>
      </c>
    </row>
    <row r="273" hidden="1" outlineLevel="2"/>
    <row r="274" hidden="1" outlineLevel="2"/>
    <row r="275" hidden="1" outlineLevel="2"/>
    <row r="276" hidden="1" outlineLevel="2"/>
    <row r="277" hidden="1" outlineLevel="2"/>
    <row r="278" hidden="1" outlineLevel="2"/>
    <row r="279" hidden="1" outlineLevel="2"/>
    <row r="280" hidden="1" outlineLevel="2"/>
    <row r="281" hidden="1" outlineLevel="2"/>
    <row r="282" hidden="1" outlineLevel="2"/>
    <row r="283" hidden="1" outlineLevel="2"/>
    <row r="284" hidden="1" outlineLevel="2"/>
    <row r="285" hidden="1" outlineLevel="2"/>
    <row r="286" hidden="1" outlineLevel="2"/>
    <row r="287" hidden="1" outlineLevel="2"/>
    <row r="288" hidden="1" outlineLevel="2"/>
    <row r="289" spans="2:4" hidden="1" outlineLevel="2"/>
    <row r="290" spans="2:4" hidden="1" outlineLevel="2"/>
    <row r="291" spans="2:4" hidden="1" outlineLevel="2"/>
    <row r="292" spans="2:4" hidden="1" outlineLevel="2"/>
    <row r="293" spans="2:4" ht="15" hidden="1" outlineLevel="2" thickBot="1"/>
    <row r="294" spans="2:4" hidden="1" outlineLevel="2">
      <c r="B294" s="1780" t="s">
        <v>1680</v>
      </c>
      <c r="C294" s="1781" t="s">
        <v>1182</v>
      </c>
    </row>
    <row r="295" spans="2:4" hidden="1" outlineLevel="2">
      <c r="B295" s="1776" t="s">
        <v>1678</v>
      </c>
      <c r="C295" s="1777">
        <f>(G48+G57+G78)/C23*1000</f>
        <v>153.64805060538728</v>
      </c>
    </row>
    <row r="296" spans="2:4" ht="15" hidden="1" outlineLevel="2" thickBot="1">
      <c r="B296" s="1778" t="s">
        <v>1679</v>
      </c>
      <c r="C296" s="1779">
        <f>(G126+G105+G96)/$C$24*1000</f>
        <v>145.75296666666668</v>
      </c>
    </row>
    <row r="297" spans="2:4" hidden="1" outlineLevel="2"/>
    <row r="298" spans="2:4" hidden="1" outlineLevel="2"/>
    <row r="299" spans="2:4" hidden="1" outlineLevel="2"/>
    <row r="300" spans="2:4" hidden="1" outlineLevel="2"/>
    <row r="301" spans="2:4" hidden="1" outlineLevel="2">
      <c r="B301" s="40" t="s">
        <v>1410</v>
      </c>
      <c r="C301" s="1882" t="s">
        <v>1769</v>
      </c>
      <c r="D301" s="5" t="s">
        <v>89</v>
      </c>
    </row>
    <row r="302" spans="2:4" hidden="1" outlineLevel="2">
      <c r="B302" s="40" t="s">
        <v>1597</v>
      </c>
      <c r="C302" s="1880">
        <f>G48</f>
        <v>180052.16311698136</v>
      </c>
      <c r="D302" s="1730">
        <f>C302/$C$305</f>
        <v>0.52886335370017945</v>
      </c>
    </row>
    <row r="303" spans="2:4" hidden="1" outlineLevel="2">
      <c r="B303" s="40" t="s">
        <v>1768</v>
      </c>
      <c r="C303" s="1880">
        <f>G57</f>
        <v>67118.373725999991</v>
      </c>
      <c r="D303" s="1730">
        <f t="shared" ref="D303:D304" si="45">C303/$C$305</f>
        <v>0.19714535837357328</v>
      </c>
    </row>
    <row r="304" spans="2:4" hidden="1" outlineLevel="2">
      <c r="B304" s="40" t="s">
        <v>1600</v>
      </c>
      <c r="C304" s="1880">
        <f>G78</f>
        <v>93280.662615727269</v>
      </c>
      <c r="D304" s="1730">
        <f t="shared" si="45"/>
        <v>0.27399128792624727</v>
      </c>
    </row>
    <row r="305" spans="2:4" hidden="1" outlineLevel="2">
      <c r="C305" s="1881">
        <f>SUM(C302:C304)</f>
        <v>340451.19945870864</v>
      </c>
    </row>
    <row r="306" spans="2:4" hidden="1" outlineLevel="2"/>
    <row r="307" spans="2:4" hidden="1" outlineLevel="2"/>
    <row r="308" spans="2:4" hidden="1" outlineLevel="2"/>
    <row r="309" spans="2:4" hidden="1" outlineLevel="2"/>
    <row r="310" spans="2:4" hidden="1" outlineLevel="2">
      <c r="B310" s="5" t="s">
        <v>1783</v>
      </c>
      <c r="C310" s="1725">
        <f>SUM(D34:D47)+SUM(D63:D77)+SUM(D54:D56)</f>
        <v>79770310.350909084</v>
      </c>
    </row>
    <row r="311" spans="2:4" hidden="1" outlineLevel="2">
      <c r="B311" s="5" t="s">
        <v>1784</v>
      </c>
      <c r="C311" s="252">
        <f>SUM(D34:D47)/C310</f>
        <v>0.40721193909244718</v>
      </c>
      <c r="D311" s="5" t="s">
        <v>1785</v>
      </c>
    </row>
    <row r="312" spans="2:4" hidden="1" outlineLevel="2">
      <c r="B312" s="5" t="s">
        <v>1784</v>
      </c>
      <c r="C312" s="252">
        <f>SUM(D54:D56)/C310</f>
        <v>8.3331229009368457E-2</v>
      </c>
      <c r="D312" s="5" t="s">
        <v>1786</v>
      </c>
    </row>
    <row r="313" spans="2:4" hidden="1" outlineLevel="2">
      <c r="B313" s="5" t="s">
        <v>1784</v>
      </c>
      <c r="C313" s="252">
        <f>1-C311-C312</f>
        <v>0.50945683189818447</v>
      </c>
      <c r="D313" s="5" t="s">
        <v>1787</v>
      </c>
    </row>
    <row r="314" spans="2:4" hidden="1" outlineLevel="2"/>
    <row r="315" spans="2:4" hidden="1" outlineLevel="2"/>
    <row r="316" spans="2:4" hidden="1" outlineLevel="1" collapsed="1"/>
    <row r="317" spans="2:4" hidden="1" outlineLevel="1"/>
    <row r="318" spans="2:4" collapsed="1"/>
    <row r="320" spans="2:4">
      <c r="B320" s="1886"/>
    </row>
    <row r="321" spans="2:2">
      <c r="B321" s="1886"/>
    </row>
    <row r="322" spans="2:2">
      <c r="B322" s="1886"/>
    </row>
    <row r="323" spans="2:2">
      <c r="B323" s="1886"/>
    </row>
    <row r="324" spans="2:2">
      <c r="B324" s="1886"/>
    </row>
    <row r="325" spans="2:2">
      <c r="B325" s="1886"/>
    </row>
    <row r="326" spans="2:2">
      <c r="B326" s="1886"/>
    </row>
    <row r="327" spans="2:2">
      <c r="B327" s="1886"/>
    </row>
    <row r="328" spans="2:2">
      <c r="B328" s="1886"/>
    </row>
    <row r="329" spans="2:2">
      <c r="B329" s="1886"/>
    </row>
    <row r="330" spans="2:2">
      <c r="B330" s="1886"/>
    </row>
    <row r="331" spans="2:2">
      <c r="B331" s="1886"/>
    </row>
    <row r="332" spans="2:2">
      <c r="B332" s="1886"/>
    </row>
    <row r="333" spans="2:2">
      <c r="B333" s="1886"/>
    </row>
    <row r="334" spans="2:2">
      <c r="B334" s="1886"/>
    </row>
    <row r="335" spans="2:2">
      <c r="B335" s="1886"/>
    </row>
    <row r="336" spans="2:2">
      <c r="B336" s="1886"/>
    </row>
    <row r="337" spans="2:2">
      <c r="B337" s="1886"/>
    </row>
    <row r="338" spans="2:2">
      <c r="B338" s="1886"/>
    </row>
    <row r="339" spans="2:2">
      <c r="B339" s="1886"/>
    </row>
    <row r="340" spans="2:2">
      <c r="B340" s="1886"/>
    </row>
    <row r="341" spans="2:2">
      <c r="B341" s="1886"/>
    </row>
    <row r="342" spans="2:2">
      <c r="B342" s="1886"/>
    </row>
    <row r="343" spans="2:2">
      <c r="B343" s="1886"/>
    </row>
    <row r="344" spans="2:2">
      <c r="B344" s="1886"/>
    </row>
    <row r="345" spans="2:2">
      <c r="B345" s="1886"/>
    </row>
    <row r="346" spans="2:2">
      <c r="B346" s="1886"/>
    </row>
    <row r="347" spans="2:2">
      <c r="B347" s="1886"/>
    </row>
    <row r="348" spans="2:2">
      <c r="B348" s="1886"/>
    </row>
    <row r="349" spans="2:2">
      <c r="B349" s="1886"/>
    </row>
    <row r="350" spans="2:2">
      <c r="B350" s="1886"/>
    </row>
    <row r="351" spans="2:2">
      <c r="B351" s="1886"/>
    </row>
    <row r="352" spans="2:2">
      <c r="B352" s="1886"/>
    </row>
    <row r="353" spans="2:2">
      <c r="B353" s="1886"/>
    </row>
    <row r="354" spans="2:2">
      <c r="B354" s="1886"/>
    </row>
    <row r="355" spans="2:2">
      <c r="B355" s="1886"/>
    </row>
    <row r="356" spans="2:2">
      <c r="B356" s="1886"/>
    </row>
    <row r="357" spans="2:2">
      <c r="B357" s="1886"/>
    </row>
    <row r="358" spans="2:2">
      <c r="B358" s="1886"/>
    </row>
    <row r="359" spans="2:2">
      <c r="B359" s="1886"/>
    </row>
    <row r="360" spans="2:2">
      <c r="B360" s="1886"/>
    </row>
    <row r="361" spans="2:2">
      <c r="B361" s="1886"/>
    </row>
    <row r="362" spans="2:2">
      <c r="B362" s="1886"/>
    </row>
    <row r="363" spans="2:2">
      <c r="B363" s="1886"/>
    </row>
    <row r="364" spans="2:2">
      <c r="B364" s="1886"/>
    </row>
    <row r="365" spans="2:2">
      <c r="B365" s="1886"/>
    </row>
    <row r="366" spans="2:2">
      <c r="B366" s="1886"/>
    </row>
    <row r="367" spans="2:2" ht="20">
      <c r="B367" s="1888"/>
    </row>
    <row r="368" spans="2:2">
      <c r="B368" s="1887"/>
    </row>
    <row r="369" spans="2:2">
      <c r="B369" s="1886"/>
    </row>
    <row r="370" spans="2:2">
      <c r="B370" s="1886"/>
    </row>
    <row r="371" spans="2:2">
      <c r="B371" s="1886"/>
    </row>
    <row r="372" spans="2:2">
      <c r="B372" s="1886"/>
    </row>
    <row r="373" spans="2:2">
      <c r="B373" s="1886"/>
    </row>
    <row r="374" spans="2:2">
      <c r="B374" s="1886"/>
    </row>
    <row r="375" spans="2:2">
      <c r="B375" s="1886"/>
    </row>
    <row r="376" spans="2:2">
      <c r="B376" s="1886"/>
    </row>
    <row r="377" spans="2:2">
      <c r="B377" s="1886"/>
    </row>
    <row r="378" spans="2:2">
      <c r="B378" s="1886"/>
    </row>
    <row r="379" spans="2:2">
      <c r="B379" s="1886"/>
    </row>
    <row r="380" spans="2:2">
      <c r="B380" s="1886"/>
    </row>
    <row r="381" spans="2:2">
      <c r="B381" s="1886"/>
    </row>
    <row r="382" spans="2:2">
      <c r="B382" s="1886"/>
    </row>
    <row r="383" spans="2:2">
      <c r="B383" s="1886"/>
    </row>
    <row r="384" spans="2:2">
      <c r="B384" s="1886"/>
    </row>
    <row r="385" spans="2:2">
      <c r="B385" s="1886"/>
    </row>
    <row r="386" spans="2:2">
      <c r="B386" s="1886"/>
    </row>
    <row r="387" spans="2:2">
      <c r="B387" s="1886"/>
    </row>
    <row r="388" spans="2:2">
      <c r="B388" s="1886"/>
    </row>
    <row r="389" spans="2:2">
      <c r="B389" s="1886"/>
    </row>
    <row r="390" spans="2:2">
      <c r="B390" s="1886"/>
    </row>
    <row r="391" spans="2:2">
      <c r="B391" s="1886"/>
    </row>
    <row r="392" spans="2:2">
      <c r="B392" s="1886"/>
    </row>
    <row r="393" spans="2:2">
      <c r="B393" s="1886"/>
    </row>
    <row r="394" spans="2:2">
      <c r="B394" s="1886"/>
    </row>
    <row r="395" spans="2:2">
      <c r="B395" s="1886"/>
    </row>
    <row r="396" spans="2:2">
      <c r="B396" s="1886"/>
    </row>
    <row r="397" spans="2:2">
      <c r="B397" s="1886"/>
    </row>
    <row r="398" spans="2:2">
      <c r="B398" s="1886"/>
    </row>
    <row r="399" spans="2:2">
      <c r="B399" s="1886"/>
    </row>
    <row r="400" spans="2:2">
      <c r="B400" s="1886"/>
    </row>
    <row r="401" spans="2:2">
      <c r="B401" s="1886"/>
    </row>
    <row r="402" spans="2:2">
      <c r="B402" s="1886"/>
    </row>
    <row r="403" spans="2:2">
      <c r="B403" s="1886"/>
    </row>
    <row r="404" spans="2:2">
      <c r="B404" s="1886"/>
    </row>
    <row r="405" spans="2:2">
      <c r="B405" s="1886"/>
    </row>
    <row r="406" spans="2:2">
      <c r="B406" s="1886"/>
    </row>
    <row r="407" spans="2:2">
      <c r="B407" s="1886"/>
    </row>
    <row r="408" spans="2:2">
      <c r="B408" s="1886"/>
    </row>
    <row r="409" spans="2:2">
      <c r="B409" s="1886"/>
    </row>
    <row r="410" spans="2:2">
      <c r="B410" s="1886"/>
    </row>
    <row r="411" spans="2:2">
      <c r="B411" s="1886"/>
    </row>
    <row r="412" spans="2:2">
      <c r="B412" s="1886"/>
    </row>
    <row r="413" spans="2:2">
      <c r="B413" s="1886"/>
    </row>
    <row r="414" spans="2:2">
      <c r="B414" s="1886"/>
    </row>
    <row r="415" spans="2:2">
      <c r="B415" s="1886"/>
    </row>
    <row r="416" spans="2:2">
      <c r="B416" s="1886"/>
    </row>
    <row r="417" spans="2:2">
      <c r="B417" s="1886"/>
    </row>
    <row r="418" spans="2:2">
      <c r="B418" s="1886"/>
    </row>
    <row r="419" spans="2:2">
      <c r="B419" s="1886"/>
    </row>
    <row r="420" spans="2:2">
      <c r="B420" s="1886"/>
    </row>
    <row r="421" spans="2:2">
      <c r="B421" s="1886"/>
    </row>
    <row r="422" spans="2:2">
      <c r="B422" s="1886"/>
    </row>
    <row r="423" spans="2:2">
      <c r="B423" s="1886"/>
    </row>
    <row r="424" spans="2:2">
      <c r="B424" s="1886"/>
    </row>
    <row r="425" spans="2:2">
      <c r="B425" s="1886"/>
    </row>
    <row r="426" spans="2:2">
      <c r="B426" s="1886"/>
    </row>
    <row r="427" spans="2:2">
      <c r="B427" s="1886"/>
    </row>
    <row r="428" spans="2:2">
      <c r="B428" s="1886"/>
    </row>
    <row r="429" spans="2:2">
      <c r="B429" s="1886"/>
    </row>
    <row r="430" spans="2:2">
      <c r="B430" s="1886"/>
    </row>
    <row r="431" spans="2:2">
      <c r="B431" s="1886"/>
    </row>
    <row r="432" spans="2:2">
      <c r="B432" s="1886"/>
    </row>
    <row r="433" spans="2:2">
      <c r="B433" s="1886"/>
    </row>
    <row r="434" spans="2:2">
      <c r="B434" s="1886"/>
    </row>
    <row r="435" spans="2:2">
      <c r="B435" s="1886"/>
    </row>
    <row r="436" spans="2:2">
      <c r="B436" s="1886"/>
    </row>
    <row r="437" spans="2:2">
      <c r="B437" s="1886"/>
    </row>
    <row r="438" spans="2:2">
      <c r="B438" s="1886"/>
    </row>
    <row r="439" spans="2:2">
      <c r="B439" s="1886"/>
    </row>
    <row r="440" spans="2:2">
      <c r="B440" s="1886"/>
    </row>
    <row r="441" spans="2:2">
      <c r="B441" s="1886"/>
    </row>
    <row r="442" spans="2:2">
      <c r="B442" s="1886"/>
    </row>
    <row r="443" spans="2:2">
      <c r="B443" s="1886"/>
    </row>
    <row r="444" spans="2:2">
      <c r="B444" s="1886"/>
    </row>
    <row r="445" spans="2:2">
      <c r="B445" s="1886"/>
    </row>
    <row r="446" spans="2:2">
      <c r="B446" s="1886"/>
    </row>
    <row r="447" spans="2:2">
      <c r="B447" s="1886"/>
    </row>
    <row r="448" spans="2:2">
      <c r="B448" s="1886"/>
    </row>
    <row r="449" spans="2:2">
      <c r="B449" s="1886"/>
    </row>
    <row r="450" spans="2:2">
      <c r="B450" s="1886"/>
    </row>
    <row r="451" spans="2:2">
      <c r="B451" s="1886"/>
    </row>
    <row r="452" spans="2:2">
      <c r="B452" s="1886"/>
    </row>
    <row r="453" spans="2:2">
      <c r="B453" s="1886"/>
    </row>
    <row r="454" spans="2:2">
      <c r="B454" s="1886"/>
    </row>
    <row r="455" spans="2:2">
      <c r="B455" s="1886"/>
    </row>
    <row r="456" spans="2:2">
      <c r="B456" s="1886"/>
    </row>
    <row r="457" spans="2:2">
      <c r="B457" s="1886"/>
    </row>
    <row r="458" spans="2:2">
      <c r="B458" s="1886"/>
    </row>
    <row r="459" spans="2:2">
      <c r="B459" s="1886"/>
    </row>
    <row r="460" spans="2:2">
      <c r="B460" s="1886"/>
    </row>
  </sheetData>
  <autoFilter ref="R187:AE187" xr:uid="{EE03E93A-7888-46C0-B5D0-F5C27776C8CC}">
    <sortState xmlns:xlrd2="http://schemas.microsoft.com/office/spreadsheetml/2017/richdata2" ref="R188:AE223">
      <sortCondition descending="1" ref="S187:S223"/>
    </sortState>
  </autoFilter>
  <mergeCells count="16">
    <mergeCell ref="A102:A104"/>
    <mergeCell ref="C154:D154"/>
    <mergeCell ref="E154:F154"/>
    <mergeCell ref="C13:K13"/>
    <mergeCell ref="C14:K14"/>
    <mergeCell ref="B267:B268"/>
    <mergeCell ref="B269:B270"/>
    <mergeCell ref="B271:B272"/>
    <mergeCell ref="B2:D2"/>
    <mergeCell ref="B9:K9"/>
    <mergeCell ref="C10:K10"/>
    <mergeCell ref="C11:K11"/>
    <mergeCell ref="C12:K12"/>
    <mergeCell ref="B4:D4"/>
    <mergeCell ref="C6:D6"/>
    <mergeCell ref="C7:D7"/>
  </mergeCells>
  <pageMargins left="0.7" right="0.7" top="0.75" bottom="0.75" header="0.3" footer="0.3"/>
  <pageSetup paperSize="9" orientation="portrait"/>
  <ignoredErrors>
    <ignoredError sqref="E161 D88:D92 D102 D112:D114 D93:D94 D115:D124 D95" formula="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B21C3-C0D0-4C47-9C36-F5570BC9C35C}">
  <sheetPr>
    <tabColor theme="7"/>
  </sheetPr>
  <dimension ref="A1:Q133"/>
  <sheetViews>
    <sheetView zoomScale="50" zoomScaleNormal="75" workbookViewId="0">
      <selection activeCell="D123" sqref="D123"/>
    </sheetView>
  </sheetViews>
  <sheetFormatPr baseColWidth="10" defaultColWidth="11.5" defaultRowHeight="14" outlineLevelRow="1"/>
  <cols>
    <col min="1" max="1" width="11.6640625" style="257" customWidth="1"/>
    <col min="2" max="2" width="56.1640625" style="257" customWidth="1"/>
    <col min="3" max="3" width="38.1640625" style="257" customWidth="1"/>
    <col min="4" max="4" width="43" style="257" customWidth="1"/>
    <col min="5" max="7" width="35.1640625" style="257" customWidth="1"/>
    <col min="8" max="8" width="38.1640625" style="257" customWidth="1"/>
    <col min="9" max="11" width="34.6640625" style="257" customWidth="1"/>
    <col min="12" max="33" width="16.1640625" style="257" customWidth="1"/>
    <col min="34" max="16384" width="11.5" style="257"/>
  </cols>
  <sheetData>
    <row r="1" spans="2:17" ht="29" customHeight="1">
      <c r="F1" s="32"/>
      <c r="G1" s="32"/>
      <c r="H1" s="32"/>
    </row>
    <row r="2" spans="2:17" ht="29" customHeight="1">
      <c r="B2" s="2005" t="s">
        <v>1427</v>
      </c>
      <c r="C2" s="2005"/>
      <c r="D2" s="2005"/>
      <c r="F2" s="32"/>
      <c r="G2" s="32"/>
      <c r="H2" s="32"/>
    </row>
    <row r="3" spans="2:17" ht="29" customHeight="1">
      <c r="F3" s="32"/>
      <c r="G3" s="32"/>
      <c r="H3" s="32"/>
    </row>
    <row r="4" spans="2:17" ht="29" customHeight="1" thickBot="1">
      <c r="F4" s="32"/>
      <c r="G4" s="32"/>
      <c r="H4" s="32"/>
    </row>
    <row r="5" spans="2:17" ht="29" customHeight="1" thickBot="1">
      <c r="B5" s="2255" t="s">
        <v>2</v>
      </c>
      <c r="C5" s="2256"/>
      <c r="D5" s="2257"/>
      <c r="F5" s="32"/>
      <c r="G5" s="32"/>
      <c r="H5" s="32"/>
    </row>
    <row r="6" spans="2:17" ht="29" customHeight="1">
      <c r="B6" s="679" t="s">
        <v>335</v>
      </c>
      <c r="C6" s="667">
        <f>'4. Articles de sport'!C5</f>
        <v>387722.67612584197</v>
      </c>
      <c r="D6" s="668" t="s">
        <v>3</v>
      </c>
      <c r="F6" s="32"/>
      <c r="G6" s="32"/>
      <c r="H6" s="32"/>
    </row>
    <row r="7" spans="2:17" ht="29" customHeight="1">
      <c r="B7" s="680" t="s">
        <v>336</v>
      </c>
      <c r="C7" s="681">
        <f>D106</f>
        <v>73667.308463909954</v>
      </c>
      <c r="D7" s="663" t="s">
        <v>3</v>
      </c>
      <c r="F7" s="32"/>
      <c r="G7" s="32"/>
      <c r="H7" s="32"/>
    </row>
    <row r="8" spans="2:17" ht="29" customHeight="1" thickBot="1">
      <c r="B8" s="682" t="s">
        <v>337</v>
      </c>
      <c r="C8" s="2258">
        <f>(C7-C6)/C6</f>
        <v>-0.81</v>
      </c>
      <c r="D8" s="2259"/>
      <c r="E8" s="32"/>
      <c r="F8" s="32"/>
      <c r="G8" s="32"/>
      <c r="H8" s="32"/>
    </row>
    <row r="9" spans="2:17" ht="29" customHeight="1" thickBot="1">
      <c r="D9" s="259"/>
      <c r="E9" s="259"/>
      <c r="G9" s="263"/>
      <c r="H9" s="263"/>
      <c r="I9" s="263"/>
      <c r="J9" s="263"/>
      <c r="K9" s="263"/>
      <c r="L9" s="683"/>
      <c r="M9" s="683"/>
      <c r="N9" s="683"/>
      <c r="O9" s="683"/>
      <c r="P9" s="683"/>
      <c r="Q9" s="683"/>
    </row>
    <row r="10" spans="2:17" ht="67" customHeight="1" thickBot="1">
      <c r="B10" s="2260" t="s">
        <v>634</v>
      </c>
      <c r="C10" s="2261"/>
      <c r="D10" s="2261"/>
      <c r="E10" s="2262"/>
      <c r="G10" s="263"/>
      <c r="H10" s="263"/>
      <c r="I10" s="263"/>
      <c r="J10" s="263"/>
      <c r="K10" s="263"/>
      <c r="L10" s="683"/>
      <c r="M10" s="683"/>
      <c r="N10" s="683"/>
      <c r="O10" s="683"/>
      <c r="P10" s="683"/>
      <c r="Q10" s="683"/>
    </row>
    <row r="11" spans="2:17" ht="29" customHeight="1">
      <c r="G11" s="263"/>
      <c r="H11" s="263"/>
      <c r="I11" s="263"/>
      <c r="J11" s="263"/>
      <c r="K11" s="263"/>
      <c r="L11" s="683"/>
      <c r="M11" s="683"/>
      <c r="N11" s="683"/>
      <c r="O11" s="683"/>
      <c r="P11" s="683"/>
      <c r="Q11" s="683"/>
    </row>
    <row r="12" spans="2:17" ht="29" customHeight="1">
      <c r="B12" s="260" t="s">
        <v>338</v>
      </c>
      <c r="H12" s="263"/>
      <c r="I12" s="263"/>
      <c r="J12" s="263"/>
      <c r="K12" s="263"/>
      <c r="L12" s="683"/>
      <c r="M12" s="683"/>
      <c r="N12" s="683"/>
      <c r="O12" s="683"/>
      <c r="P12" s="683"/>
      <c r="Q12" s="683"/>
    </row>
    <row r="13" spans="2:17" ht="29" customHeight="1" thickBot="1">
      <c r="H13" s="263"/>
      <c r="I13" s="263"/>
      <c r="J13" s="263"/>
      <c r="K13" s="263"/>
    </row>
    <row r="14" spans="2:17" ht="36" customHeight="1" thickBot="1">
      <c r="B14" s="684" t="s">
        <v>339</v>
      </c>
      <c r="C14" s="685" t="s">
        <v>340</v>
      </c>
      <c r="D14" s="686" t="s">
        <v>1154</v>
      </c>
      <c r="E14" s="687" t="s">
        <v>341</v>
      </c>
      <c r="F14" s="688" t="s">
        <v>644</v>
      </c>
      <c r="G14" s="687" t="s">
        <v>341</v>
      </c>
      <c r="H14" s="1197" t="s">
        <v>1155</v>
      </c>
      <c r="I14" s="263"/>
      <c r="J14" s="263"/>
      <c r="K14" s="263"/>
    </row>
    <row r="15" spans="2:17" ht="29" customHeight="1">
      <c r="H15" s="263"/>
      <c r="I15" s="263"/>
      <c r="J15" s="263"/>
      <c r="K15" s="263"/>
    </row>
    <row r="16" spans="2:17" ht="29" customHeight="1">
      <c r="B16" s="327" t="s">
        <v>1801</v>
      </c>
      <c r="D16" s="719"/>
      <c r="E16" s="719"/>
      <c r="H16" s="32"/>
    </row>
    <row r="17" spans="1:8" ht="29" hidden="1" customHeight="1" outlineLevel="1">
      <c r="B17" s="327"/>
      <c r="H17" s="32"/>
    </row>
    <row r="18" spans="1:8" ht="30" hidden="1" customHeight="1" outlineLevel="1">
      <c r="B18" s="865" t="s">
        <v>1707</v>
      </c>
      <c r="C18" s="449"/>
      <c r="D18"/>
      <c r="E18" s="868"/>
      <c r="G18"/>
      <c r="H18"/>
    </row>
    <row r="19" spans="1:8" ht="30" hidden="1" customHeight="1" outlineLevel="1">
      <c r="B19" s="2" t="s">
        <v>1703</v>
      </c>
      <c r="C19"/>
      <c r="D19"/>
      <c r="E19"/>
      <c r="F19"/>
      <c r="G19"/>
      <c r="H19"/>
    </row>
    <row r="20" spans="1:8" ht="24" hidden="1" customHeight="1" outlineLevel="1">
      <c r="A20"/>
      <c r="B20" s="1625" t="s">
        <v>426</v>
      </c>
      <c r="C20" s="1626"/>
      <c r="D20" s="1626"/>
      <c r="E20" s="432"/>
      <c r="F20"/>
      <c r="G20"/>
      <c r="H20"/>
    </row>
    <row r="21" spans="1:8" ht="44" hidden="1" customHeight="1" outlineLevel="1">
      <c r="A21"/>
      <c r="B21" s="2263" t="s">
        <v>1708</v>
      </c>
      <c r="C21" s="2263"/>
      <c r="D21" s="2263"/>
      <c r="E21" s="2263"/>
      <c r="F21"/>
      <c r="G21"/>
      <c r="H21" s="862"/>
    </row>
    <row r="22" spans="1:8" ht="32" hidden="1" customHeight="1" outlineLevel="1">
      <c r="A22"/>
      <c r="B22" s="1831" t="s">
        <v>1711</v>
      </c>
      <c r="C22" s="1740"/>
      <c r="D22" s="1740"/>
      <c r="E22" s="1740"/>
      <c r="F22"/>
      <c r="G22"/>
      <c r="H22" s="862"/>
    </row>
    <row r="23" spans="1:8" ht="32" hidden="1" customHeight="1" outlineLevel="1">
      <c r="A23"/>
      <c r="B23" s="1834" t="s">
        <v>16</v>
      </c>
      <c r="C23" s="1838" t="s">
        <v>1710</v>
      </c>
      <c r="D23" s="1839" t="s">
        <v>1712</v>
      </c>
      <c r="E23" s="1838" t="s">
        <v>1713</v>
      </c>
      <c r="F23"/>
      <c r="G23"/>
      <c r="H23" s="862"/>
    </row>
    <row r="24" spans="1:8" ht="32" hidden="1" customHeight="1" outlineLevel="1">
      <c r="A24"/>
      <c r="B24" s="1832" t="str">
        <f>'4. Articles de sport'!B237</f>
        <v>Maillots</v>
      </c>
      <c r="C24" s="1833">
        <f>'4. Articles de sport'!D237</f>
        <v>55653.805078841368</v>
      </c>
      <c r="D24" s="1840">
        <f>C24*$D$88*(1+$G$88)</f>
        <v>23883.414778011571</v>
      </c>
      <c r="E24" s="1837">
        <f>C24-(C24*$D$88-D24)</f>
        <v>41380.971094799301</v>
      </c>
      <c r="F24" s="1842"/>
      <c r="G24" s="1842"/>
      <c r="H24" s="862"/>
    </row>
    <row r="25" spans="1:8" ht="32" hidden="1" customHeight="1" outlineLevel="1">
      <c r="A25"/>
      <c r="B25" s="1832" t="str">
        <f>'4. Articles de sport'!B238</f>
        <v>Shorts</v>
      </c>
      <c r="C25" s="1833">
        <f>'4. Articles de sport'!D238</f>
        <v>28571.483457000002</v>
      </c>
      <c r="D25" s="1840">
        <f>C25*$D$88*(1+$G$88)</f>
        <v>12261.238728599672</v>
      </c>
      <c r="E25" s="1837">
        <f>C25-(C25*$D$88-D25)</f>
        <v>21244.113127480472</v>
      </c>
      <c r="F25"/>
      <c r="G25" s="1842"/>
      <c r="H25" s="862"/>
    </row>
    <row r="26" spans="1:8" ht="32" hidden="1" customHeight="1" outlineLevel="1">
      <c r="A26"/>
      <c r="B26" s="1832" t="str">
        <f>'4. Articles de sport'!B239</f>
        <v>Chaussettes</v>
      </c>
      <c r="C26" s="1833">
        <f>'4. Articles de sport'!D239</f>
        <v>26204.99798</v>
      </c>
      <c r="D26" s="1840">
        <f>C26*$D$88*(1+$G$88)</f>
        <v>11245.679161140386</v>
      </c>
      <c r="E26" s="1837">
        <f>C26-(C26*$D$88-D26)</f>
        <v>19484.530526052386</v>
      </c>
      <c r="F26"/>
      <c r="G26" s="1842"/>
      <c r="H26" s="862"/>
    </row>
    <row r="27" spans="1:8" ht="32" hidden="1" customHeight="1" outlineLevel="1">
      <c r="A27"/>
      <c r="B27" s="1832" t="str">
        <f>'4. Articles de sport'!B240</f>
        <v>Underwear entraînement manches longues </v>
      </c>
      <c r="C27" s="1833">
        <f>'4. Articles de sport'!D240</f>
        <v>16881.584351999998</v>
      </c>
      <c r="D27" s="1840">
        <f>C27*$D$88*(1+$G$88)</f>
        <v>7244.6058381386683</v>
      </c>
      <c r="E27" s="1837">
        <f>C27-(C27*$D$88-D27)</f>
        <v>12552.175958407468</v>
      </c>
      <c r="F27"/>
      <c r="G27"/>
      <c r="H27"/>
    </row>
    <row r="28" spans="1:8" ht="32" hidden="1" customHeight="1" outlineLevel="1">
      <c r="A28"/>
      <c r="B28" s="1835" t="str">
        <f>'4. Articles de sport'!B241</f>
        <v>Autres (parka, pantalon, legging, etc.)</v>
      </c>
      <c r="C28" s="1833">
        <f>'4. Articles de sport'!D241</f>
        <v>78645.507173139995</v>
      </c>
      <c r="D28" s="1840">
        <f>C28*$D$88*(1+$G$88)</f>
        <v>33750.132009523521</v>
      </c>
      <c r="E28" s="1837">
        <f>C28-(C28*$D$88-D28)</f>
        <v>58476.279464758736</v>
      </c>
      <c r="F28" s="859" t="s">
        <v>1714</v>
      </c>
      <c r="G28"/>
      <c r="H28"/>
    </row>
    <row r="29" spans="1:8" ht="32" hidden="1" customHeight="1" outlineLevel="1">
      <c r="A29"/>
      <c r="B29" s="117" t="s">
        <v>139</v>
      </c>
      <c r="C29" s="1836">
        <f>SUM(C24:C28)</f>
        <v>205957.37804098136</v>
      </c>
      <c r="D29" s="1841">
        <f>SUM(D24:D28)</f>
        <v>88385.070515413827</v>
      </c>
      <c r="E29" s="1841">
        <f>SUM(E24:E28)</f>
        <v>153138.07017149834</v>
      </c>
      <c r="F29" s="1843">
        <f>(E29-C29)/C29</f>
        <v>-0.25645746887966814</v>
      </c>
      <c r="G29" s="749"/>
      <c r="H29"/>
    </row>
    <row r="30" spans="1:8" ht="32" hidden="1" customHeight="1" outlineLevel="1">
      <c r="A30"/>
      <c r="B30"/>
      <c r="C30"/>
      <c r="D30"/>
      <c r="E30"/>
      <c r="G30"/>
      <c r="H30"/>
    </row>
    <row r="31" spans="1:8" ht="32" hidden="1" customHeight="1" outlineLevel="1">
      <c r="A31"/>
      <c r="B31" s="1947" t="s">
        <v>1709</v>
      </c>
      <c r="C31" s="1947"/>
      <c r="D31" s="1947"/>
      <c r="E31"/>
      <c r="G31"/>
      <c r="H31"/>
    </row>
    <row r="32" spans="1:8" ht="40" hidden="1" customHeight="1" outlineLevel="1">
      <c r="A32"/>
      <c r="B32" s="1947"/>
      <c r="C32" s="1947"/>
      <c r="D32" s="1947"/>
      <c r="F32" s="1630"/>
      <c r="G32" s="1630"/>
      <c r="H32" s="1630"/>
    </row>
    <row r="33" spans="2:10" ht="27" hidden="1" customHeight="1" outlineLevel="1">
      <c r="B33" s="425"/>
      <c r="D33"/>
      <c r="G33"/>
    </row>
    <row r="34" spans="2:10" ht="27" hidden="1" customHeight="1" outlineLevel="1">
      <c r="B34" s="2" t="s">
        <v>1517</v>
      </c>
      <c r="D34"/>
      <c r="G34"/>
    </row>
    <row r="35" spans="2:10" ht="27" hidden="1" customHeight="1" outlineLevel="1">
      <c r="B35" s="1947" t="s">
        <v>1716</v>
      </c>
      <c r="C35" s="1947"/>
      <c r="D35" s="1947"/>
      <c r="E35" s="1947"/>
      <c r="F35" s="1947"/>
      <c r="G35"/>
    </row>
    <row r="36" spans="2:10" ht="27" hidden="1" customHeight="1" outlineLevel="1">
      <c r="B36" s="2264"/>
      <c r="C36" s="2264"/>
      <c r="D36" s="2264"/>
      <c r="E36" s="2264"/>
      <c r="F36" s="2264"/>
      <c r="G36"/>
    </row>
    <row r="37" spans="2:10" ht="27" hidden="1" customHeight="1" outlineLevel="1">
      <c r="B37" s="1834" t="s">
        <v>16</v>
      </c>
      <c r="C37" s="1838" t="s">
        <v>1710</v>
      </c>
      <c r="D37" s="1839" t="s">
        <v>1712</v>
      </c>
      <c r="E37" s="1838" t="s">
        <v>1713</v>
      </c>
      <c r="F37" s="859" t="s">
        <v>1714</v>
      </c>
      <c r="G37"/>
    </row>
    <row r="38" spans="2:10" ht="27" hidden="1" customHeight="1" outlineLevel="1">
      <c r="B38" s="444" t="s">
        <v>331</v>
      </c>
      <c r="C38" s="1847">
        <f>SUM('4. Articles de sport'!G102:G104,'4. Articles de sport'!G54:G56)</f>
        <v>77027.830329999997</v>
      </c>
      <c r="D38" s="1840">
        <f>C38*$D$88*(1+$G$88)</f>
        <v>33055.918074523674</v>
      </c>
      <c r="E38" s="1837">
        <f>C38-(C38*$D$88-D38)</f>
        <v>57273.46793027567</v>
      </c>
      <c r="F38" s="1843">
        <f>(E38-C38)/C38</f>
        <v>-0.25645746887966808</v>
      </c>
      <c r="G38"/>
    </row>
    <row r="39" spans="2:10" ht="27" hidden="1" customHeight="1" outlineLevel="1">
      <c r="B39" s="425"/>
      <c r="D39"/>
      <c r="G39"/>
    </row>
    <row r="40" spans="2:10" ht="27" hidden="1" customHeight="1" outlineLevel="1">
      <c r="B40" s="2" t="s">
        <v>1717</v>
      </c>
      <c r="D40"/>
      <c r="G40"/>
    </row>
    <row r="41" spans="2:10" ht="27" hidden="1" customHeight="1" outlineLevel="1">
      <c r="B41" s="465" t="s">
        <v>1719</v>
      </c>
      <c r="C41" s="465"/>
      <c r="D41" s="465"/>
      <c r="E41" s="465"/>
      <c r="F41" s="465"/>
      <c r="G41"/>
    </row>
    <row r="42" spans="2:10" ht="27" hidden="1" customHeight="1" outlineLevel="1">
      <c r="B42" s="1834" t="s">
        <v>16</v>
      </c>
      <c r="C42" s="1838" t="s">
        <v>1710</v>
      </c>
      <c r="D42" s="1839" t="s">
        <v>1712</v>
      </c>
      <c r="E42" s="1838" t="s">
        <v>1713</v>
      </c>
      <c r="F42" s="859" t="s">
        <v>1714</v>
      </c>
      <c r="G42"/>
    </row>
    <row r="43" spans="2:10" ht="27" hidden="1" customHeight="1" outlineLevel="1">
      <c r="B43" s="444" t="s">
        <v>1718</v>
      </c>
      <c r="C43" s="1847">
        <f>SUM('4. Articles de sport'!G111:G125)+SUM('4. Articles de sport'!G63:G77)</f>
        <v>105740.2837468606</v>
      </c>
      <c r="D43" s="1840">
        <f>C43*$D$88*(1+$G$88)</f>
        <v>45377.653008509857</v>
      </c>
      <c r="E43" s="1837">
        <f>C43-(C43*$D$88-D43)</f>
        <v>78622.398218522838</v>
      </c>
      <c r="F43" s="1843">
        <f>(E43-C43)/C43</f>
        <v>-0.25645746887966797</v>
      </c>
      <c r="G43"/>
    </row>
    <row r="44" spans="2:10" ht="27" hidden="1" customHeight="1" outlineLevel="1">
      <c r="B44" s="425"/>
      <c r="C44" s="1844"/>
      <c r="D44" s="1845"/>
      <c r="E44" s="1846"/>
      <c r="F44" s="382"/>
      <c r="G44"/>
    </row>
    <row r="45" spans="2:10" ht="27" hidden="1" customHeight="1" outlineLevel="1">
      <c r="B45" s="425"/>
      <c r="C45" s="1844"/>
      <c r="D45" s="1845"/>
      <c r="E45" s="1846"/>
      <c r="F45" s="382"/>
      <c r="G45"/>
    </row>
    <row r="46" spans="2:10" ht="27" hidden="1" customHeight="1" outlineLevel="1">
      <c r="B46" s="865" t="s">
        <v>1451</v>
      </c>
      <c r="C46"/>
      <c r="D46"/>
      <c r="F46"/>
      <c r="G46"/>
      <c r="H46"/>
      <c r="I46"/>
      <c r="J46"/>
    </row>
    <row r="47" spans="2:10" ht="27" hidden="1" customHeight="1" outlineLevel="1">
      <c r="B47" s="1625" t="s">
        <v>426</v>
      </c>
      <c r="C47"/>
      <c r="D47"/>
      <c r="F47"/>
      <c r="G47"/>
      <c r="H47"/>
      <c r="I47"/>
      <c r="J47"/>
    </row>
    <row r="48" spans="2:10" ht="58" hidden="1" customHeight="1" outlineLevel="1">
      <c r="B48" s="1947" t="s">
        <v>1445</v>
      </c>
      <c r="C48" s="1947"/>
      <c r="D48" s="1947"/>
      <c r="E48" s="1947"/>
      <c r="F48"/>
      <c r="G48"/>
      <c r="H48"/>
      <c r="I48"/>
      <c r="J48"/>
    </row>
    <row r="49" spans="1:10" ht="67" hidden="1" customHeight="1" outlineLevel="1">
      <c r="B49" s="1947" t="s">
        <v>1443</v>
      </c>
      <c r="C49" s="1947"/>
      <c r="D49" s="1947"/>
      <c r="E49" s="1947"/>
      <c r="F49"/>
      <c r="G49"/>
      <c r="H49"/>
      <c r="I49"/>
      <c r="J49"/>
    </row>
    <row r="50" spans="1:10" ht="25" hidden="1" customHeight="1" outlineLevel="1">
      <c r="B50" s="866" t="s">
        <v>1439</v>
      </c>
      <c r="C50" s="861"/>
      <c r="D50" s="861"/>
      <c r="F50"/>
      <c r="G50"/>
      <c r="H50"/>
      <c r="I50"/>
      <c r="J50"/>
    </row>
    <row r="51" spans="1:10" ht="25" hidden="1" customHeight="1" outlineLevel="1">
      <c r="B51" s="867" t="s">
        <v>1720</v>
      </c>
      <c r="C51" s="861"/>
      <c r="D51" s="861"/>
      <c r="F51"/>
      <c r="G51"/>
      <c r="H51"/>
      <c r="I51"/>
      <c r="J51"/>
    </row>
    <row r="52" spans="1:10" ht="33" hidden="1" customHeight="1" outlineLevel="1">
      <c r="B52" s="1631" t="s">
        <v>1402</v>
      </c>
      <c r="C52" s="1631" t="s">
        <v>1440</v>
      </c>
      <c r="D52" s="1631" t="s">
        <v>1448</v>
      </c>
      <c r="E52"/>
      <c r="F52"/>
      <c r="G52"/>
      <c r="H52"/>
      <c r="I52"/>
      <c r="J52"/>
    </row>
    <row r="53" spans="1:10" ht="21" hidden="1" customHeight="1" outlineLevel="1">
      <c r="B53" s="1629" t="s">
        <v>1597</v>
      </c>
      <c r="C53" s="1848">
        <f>E29</f>
        <v>153138.07017149834</v>
      </c>
      <c r="D53" s="1849">
        <f>C53*(1-15%)</f>
        <v>130167.35964577358</v>
      </c>
      <c r="E53"/>
      <c r="F53"/>
      <c r="G53"/>
      <c r="H53"/>
      <c r="I53"/>
      <c r="J53"/>
    </row>
    <row r="54" spans="1:10" ht="21" hidden="1" customHeight="1" outlineLevel="1">
      <c r="B54" s="1629" t="s">
        <v>1600</v>
      </c>
      <c r="C54" s="1848">
        <f>E38</f>
        <v>57273.46793027567</v>
      </c>
      <c r="D54" s="1849">
        <f t="shared" ref="D54:D55" si="0">C54*(1-15%)</f>
        <v>48682.447740734322</v>
      </c>
      <c r="E54"/>
      <c r="F54"/>
      <c r="G54"/>
      <c r="H54"/>
      <c r="I54"/>
      <c r="J54"/>
    </row>
    <row r="55" spans="1:10" ht="21" hidden="1" customHeight="1" outlineLevel="1">
      <c r="B55" s="1629" t="s">
        <v>1718</v>
      </c>
      <c r="C55" s="1848">
        <f>E43</f>
        <v>78622.398218522838</v>
      </c>
      <c r="D55" s="1849">
        <f t="shared" si="0"/>
        <v>66829.038485744415</v>
      </c>
      <c r="E55"/>
      <c r="F55"/>
      <c r="G55"/>
      <c r="H55"/>
      <c r="I55"/>
      <c r="J55"/>
    </row>
    <row r="56" spans="1:10" customFormat="1" ht="40" hidden="1" customHeight="1" outlineLevel="1">
      <c r="B56" s="1850" t="s">
        <v>1721</v>
      </c>
    </row>
    <row r="57" spans="1:10" ht="29" hidden="1" customHeight="1" outlineLevel="1">
      <c r="B57" s="1627"/>
      <c r="C57" s="1628"/>
      <c r="D57" s="683"/>
      <c r="E57"/>
      <c r="F57"/>
      <c r="G57"/>
      <c r="H57"/>
    </row>
    <row r="58" spans="1:10" ht="29" hidden="1" customHeight="1" outlineLevel="1">
      <c r="B58" s="865" t="s">
        <v>1444</v>
      </c>
      <c r="E58"/>
      <c r="F58"/>
      <c r="G58"/>
      <c r="H58"/>
    </row>
    <row r="59" spans="1:10" ht="29" hidden="1" customHeight="1" outlineLevel="1">
      <c r="B59" s="1625" t="s">
        <v>426</v>
      </c>
      <c r="E59"/>
      <c r="F59"/>
      <c r="G59"/>
      <c r="H59"/>
    </row>
    <row r="60" spans="1:10" ht="25" hidden="1" customHeight="1" outlineLevel="1">
      <c r="B60" s="868" t="s">
        <v>1725</v>
      </c>
      <c r="E60"/>
      <c r="F60"/>
      <c r="G60"/>
      <c r="H60"/>
    </row>
    <row r="61" spans="1:10" ht="25" hidden="1" customHeight="1" outlineLevel="1">
      <c r="A61"/>
      <c r="B61" s="868" t="s">
        <v>1441</v>
      </c>
      <c r="C61" s="852"/>
      <c r="D61"/>
      <c r="E61" s="863"/>
      <c r="F61"/>
      <c r="G61"/>
      <c r="H61"/>
      <c r="I61" s="32"/>
    </row>
    <row r="62" spans="1:10" ht="25" hidden="1" customHeight="1" outlineLevel="1">
      <c r="A62"/>
      <c r="B62" s="868" t="s">
        <v>1442</v>
      </c>
      <c r="C62" s="852"/>
      <c r="D62"/>
      <c r="E62" s="863"/>
      <c r="F62"/>
      <c r="G62"/>
      <c r="H62"/>
      <c r="I62" s="32"/>
    </row>
    <row r="63" spans="1:10" ht="25" hidden="1" customHeight="1" outlineLevel="1">
      <c r="A63"/>
      <c r="B63" s="1851" t="s">
        <v>1724</v>
      </c>
      <c r="C63" s="1853">
        <v>0.81</v>
      </c>
      <c r="D63"/>
      <c r="E63" s="863"/>
      <c r="F63"/>
      <c r="G63"/>
      <c r="H63"/>
      <c r="I63" s="32"/>
    </row>
    <row r="64" spans="1:10" ht="25" hidden="1" customHeight="1" outlineLevel="1">
      <c r="A64"/>
      <c r="B64" s="864" t="s">
        <v>1726</v>
      </c>
      <c r="C64" s="1339">
        <f>(1-C63)*C6</f>
        <v>73667.308463909954</v>
      </c>
      <c r="D64" s="444" t="s">
        <v>123</v>
      </c>
      <c r="E64" s="863"/>
      <c r="F64"/>
      <c r="G64"/>
      <c r="H64"/>
      <c r="I64" s="32"/>
    </row>
    <row r="65" spans="1:9" ht="25" hidden="1" customHeight="1" outlineLevel="1">
      <c r="A65"/>
      <c r="B65"/>
      <c r="C65"/>
      <c r="D65"/>
      <c r="E65" s="863"/>
      <c r="F65"/>
      <c r="G65"/>
      <c r="H65"/>
      <c r="I65" s="32"/>
    </row>
    <row r="66" spans="1:9" ht="25" hidden="1" customHeight="1" outlineLevel="1">
      <c r="A66"/>
      <c r="B66" s="425" t="s">
        <v>1728</v>
      </c>
      <c r="C66"/>
      <c r="D66"/>
      <c r="E66" s="863"/>
      <c r="F66"/>
      <c r="G66"/>
      <c r="H66"/>
      <c r="I66" s="32"/>
    </row>
    <row r="67" spans="1:9" ht="29" hidden="1" customHeight="1" outlineLevel="1">
      <c r="A67"/>
      <c r="B67" s="1854" t="s">
        <v>1727</v>
      </c>
      <c r="C67" s="870">
        <f>(SUM(D53:D55)-C6)/C6</f>
        <v>-0.3663541985031768</v>
      </c>
      <c r="D67"/>
      <c r="E67" s="863"/>
      <c r="F67"/>
      <c r="G67"/>
      <c r="H67"/>
      <c r="I67" s="32"/>
    </row>
    <row r="68" spans="1:9" ht="29" hidden="1" customHeight="1" outlineLevel="1">
      <c r="A68"/>
      <c r="B68" s="1551" t="s">
        <v>1722</v>
      </c>
      <c r="C68" s="1852">
        <f>(1+C67)*C6</f>
        <v>245678.84587225231</v>
      </c>
      <c r="D68"/>
      <c r="E68" s="863"/>
      <c r="F68"/>
      <c r="G68"/>
      <c r="H68"/>
      <c r="I68" s="32"/>
    </row>
    <row r="69" spans="1:9" customFormat="1" ht="29" hidden="1" customHeight="1" outlineLevel="1"/>
    <row r="70" spans="1:9" ht="29" hidden="1" customHeight="1" outlineLevel="1">
      <c r="A70"/>
      <c r="B70" s="1418" t="s">
        <v>1723</v>
      </c>
      <c r="C70" s="472">
        <f>C68-C64</f>
        <v>172011.53740834235</v>
      </c>
      <c r="D70" s="117" t="s">
        <v>123</v>
      </c>
      <c r="E70"/>
    </row>
    <row r="71" spans="1:9" ht="29" hidden="1" customHeight="1" outlineLevel="1">
      <c r="A71"/>
      <c r="B71" s="1623"/>
      <c r="C71" s="1855"/>
      <c r="D71"/>
      <c r="E71"/>
    </row>
    <row r="72" spans="1:9" customFormat="1" ht="39" hidden="1" customHeight="1" outlineLevel="1"/>
    <row r="73" spans="1:9" customFormat="1" ht="39" customHeight="1" collapsed="1"/>
    <row r="74" spans="1:9" customFormat="1" ht="29" customHeight="1"/>
    <row r="75" spans="1:9" ht="29" customHeight="1">
      <c r="B75" s="260"/>
      <c r="C75"/>
      <c r="D75"/>
      <c r="E75"/>
    </row>
    <row r="76" spans="1:9" ht="35" customHeight="1">
      <c r="B76" s="260" t="s">
        <v>1450</v>
      </c>
      <c r="C76"/>
      <c r="D76"/>
      <c r="E76"/>
      <c r="F76"/>
      <c r="G76"/>
      <c r="H76"/>
    </row>
    <row r="77" spans="1:9" ht="35" hidden="1" customHeight="1" outlineLevel="1">
      <c r="B77" s="1632" t="s">
        <v>265</v>
      </c>
      <c r="C77"/>
      <c r="D77"/>
      <c r="E77"/>
      <c r="F77"/>
      <c r="G77"/>
      <c r="H77"/>
    </row>
    <row r="78" spans="1:9" ht="35" hidden="1" customHeight="1" outlineLevel="1">
      <c r="B78" s="425" t="s">
        <v>1446</v>
      </c>
      <c r="C78"/>
      <c r="D78"/>
      <c r="E78"/>
      <c r="F78"/>
      <c r="G78"/>
      <c r="H78"/>
    </row>
    <row r="79" spans="1:9" ht="43" hidden="1" customHeight="1" outlineLevel="1">
      <c r="B79" s="2265" t="s">
        <v>1449</v>
      </c>
      <c r="C79" s="2265"/>
      <c r="D79" s="2265"/>
      <c r="E79" s="2265"/>
      <c r="F79" s="1624"/>
      <c r="G79"/>
      <c r="H79"/>
    </row>
    <row r="80" spans="1:9" ht="117" hidden="1" customHeight="1" outlineLevel="1">
      <c r="B80" s="1947" t="s">
        <v>1704</v>
      </c>
      <c r="C80" s="1947"/>
      <c r="D80" s="1947"/>
      <c r="E80" s="1947"/>
      <c r="F80" s="1624"/>
      <c r="G80"/>
      <c r="H80"/>
    </row>
    <row r="81" spans="2:8" ht="35" hidden="1" customHeight="1" outlineLevel="1">
      <c r="B81" s="1624"/>
      <c r="C81" s="1624"/>
      <c r="D81" s="1624"/>
      <c r="E81" s="1624"/>
      <c r="F81" s="1624"/>
      <c r="G81"/>
      <c r="H81"/>
    </row>
    <row r="82" spans="2:8" ht="35" hidden="1" customHeight="1" outlineLevel="1">
      <c r="B82" s="2" t="s">
        <v>1436</v>
      </c>
      <c r="C82"/>
      <c r="D82"/>
      <c r="E82"/>
      <c r="F82"/>
      <c r="G82"/>
      <c r="H82"/>
    </row>
    <row r="83" spans="2:8" ht="35" hidden="1" customHeight="1" outlineLevel="1">
      <c r="B83" s="1632" t="s">
        <v>265</v>
      </c>
      <c r="C83"/>
      <c r="D83"/>
      <c r="E83"/>
      <c r="F83"/>
      <c r="G83"/>
      <c r="H83"/>
    </row>
    <row r="84" spans="2:8" ht="35" hidden="1" customHeight="1" outlineLevel="1">
      <c r="B84" s="425" t="s">
        <v>1705</v>
      </c>
      <c r="C84"/>
      <c r="D84"/>
      <c r="E84"/>
      <c r="F84"/>
      <c r="G84"/>
      <c r="H84"/>
    </row>
    <row r="85" spans="2:8" ht="35" hidden="1" customHeight="1" outlineLevel="1">
      <c r="C85" s="2247" t="s">
        <v>1349</v>
      </c>
      <c r="D85" s="2248"/>
      <c r="E85" s="2266" t="s">
        <v>1437</v>
      </c>
      <c r="F85" s="2267"/>
      <c r="G85"/>
      <c r="H85"/>
    </row>
    <row r="86" spans="2:8" ht="30" hidden="1" customHeight="1" outlineLevel="1">
      <c r="C86" s="1554" t="s">
        <v>1351</v>
      </c>
      <c r="D86" s="1554" t="s">
        <v>1350</v>
      </c>
      <c r="E86" s="1554" t="s">
        <v>1351</v>
      </c>
      <c r="F86" s="1554" t="s">
        <v>1350</v>
      </c>
      <c r="G86" s="1634" t="s">
        <v>367</v>
      </c>
      <c r="H86"/>
    </row>
    <row r="87" spans="2:8" ht="30" hidden="1" customHeight="1" outlineLevel="1">
      <c r="B87" s="1555" t="s">
        <v>638</v>
      </c>
      <c r="C87" s="1556">
        <f>$C$92*D87</f>
        <v>0.71577000000000002</v>
      </c>
      <c r="D87" s="1557">
        <v>0.14849999999999999</v>
      </c>
      <c r="E87" s="1556">
        <f>$E$92*F87</f>
        <v>0.71516700000000011</v>
      </c>
      <c r="F87" s="1620">
        <v>0.20610000000000001</v>
      </c>
      <c r="G87" s="1633">
        <f>(E87-C87)/C87</f>
        <v>-8.4244939016710554E-4</v>
      </c>
      <c r="H87"/>
    </row>
    <row r="88" spans="2:8" ht="30" hidden="1" customHeight="1" outlineLevel="1">
      <c r="B88" s="1555" t="s">
        <v>1347</v>
      </c>
      <c r="C88" s="1556">
        <f>$C$92*D88</f>
        <v>3.304592</v>
      </c>
      <c r="D88" s="1557">
        <v>0.68559999999999999</v>
      </c>
      <c r="E88" s="1556">
        <f t="shared" ref="E88:E91" si="1">$E$92*F88</f>
        <v>2.0684670000000001</v>
      </c>
      <c r="F88" s="1557">
        <v>0.59609999999999996</v>
      </c>
      <c r="G88" s="1633">
        <f t="shared" ref="G88:G91" si="2">(E88-C88)/C88</f>
        <v>-0.37406281925272467</v>
      </c>
      <c r="H88"/>
    </row>
    <row r="89" spans="2:8" ht="30" hidden="1" customHeight="1" outlineLevel="1">
      <c r="B89" s="1555" t="s">
        <v>1348</v>
      </c>
      <c r="C89" s="1556">
        <f>$C$92*D89</f>
        <v>0.20629600000000001</v>
      </c>
      <c r="D89" s="1557">
        <v>4.2799999999999998E-2</v>
      </c>
      <c r="E89" s="1556">
        <f t="shared" si="1"/>
        <v>9.4036999999999996E-2</v>
      </c>
      <c r="F89" s="1557">
        <v>2.7099999999999999E-2</v>
      </c>
      <c r="G89" s="1633">
        <f t="shared" si="2"/>
        <v>-0.54416469538914958</v>
      </c>
      <c r="H89"/>
    </row>
    <row r="90" spans="2:8" ht="30" hidden="1" customHeight="1" outlineLevel="1">
      <c r="B90" s="1555" t="s">
        <v>1345</v>
      </c>
      <c r="C90" s="1556">
        <f>$C$92*D90</f>
        <v>0.41789400000000004</v>
      </c>
      <c r="D90" s="1557">
        <v>8.6699999999999999E-2</v>
      </c>
      <c r="E90" s="1556">
        <f t="shared" si="1"/>
        <v>0.41778799999999999</v>
      </c>
      <c r="F90" s="1557">
        <v>0.12039999999999999</v>
      </c>
      <c r="G90" s="1633">
        <f t="shared" si="2"/>
        <v>-2.5365284019404557E-4</v>
      </c>
      <c r="H90"/>
    </row>
    <row r="91" spans="2:8" ht="30" hidden="1" customHeight="1" outlineLevel="1">
      <c r="B91" s="1555" t="s">
        <v>1346</v>
      </c>
      <c r="C91" s="1556">
        <f>$C$92*D91</f>
        <v>0.17496600000000001</v>
      </c>
      <c r="D91" s="1557">
        <v>3.6299999999999999E-2</v>
      </c>
      <c r="E91" s="1556">
        <f t="shared" si="1"/>
        <v>0.17488800000000002</v>
      </c>
      <c r="F91" s="1557">
        <v>5.04E-2</v>
      </c>
      <c r="G91" s="1633">
        <f t="shared" si="2"/>
        <v>-4.4580089846024218E-4</v>
      </c>
      <c r="H91"/>
    </row>
    <row r="92" spans="2:8" ht="30" hidden="1" customHeight="1" outlineLevel="1" collapsed="1">
      <c r="B92" s="1558" t="s">
        <v>139</v>
      </c>
      <c r="C92" s="1559">
        <f>'4. Articles de sport'!$C$142</f>
        <v>4.82</v>
      </c>
      <c r="D92" s="1560">
        <f>SUM(D87:D91)</f>
        <v>0.9998999999999999</v>
      </c>
      <c r="E92" s="1559">
        <v>3.47</v>
      </c>
      <c r="F92" s="1560">
        <f>SUM(F87:F91)</f>
        <v>1.0001</v>
      </c>
      <c r="G92" s="1621">
        <f>(E92-C92)/C92</f>
        <v>-0.28008298755186722</v>
      </c>
      <c r="H92"/>
    </row>
    <row r="93" spans="2:8" ht="29" hidden="1" customHeight="1" outlineLevel="1">
      <c r="D93"/>
      <c r="F93"/>
    </row>
    <row r="94" spans="2:8" ht="29" hidden="1" customHeight="1" outlineLevel="1">
      <c r="B94" s="257" t="s">
        <v>1706</v>
      </c>
      <c r="D94"/>
      <c r="F94"/>
    </row>
    <row r="95" spans="2:8" ht="29" hidden="1" customHeight="1" outlineLevel="1">
      <c r="D95"/>
      <c r="F95"/>
    </row>
    <row r="96" spans="2:8" ht="29" hidden="1" customHeight="1" outlineLevel="1">
      <c r="D96"/>
    </row>
    <row r="97" spans="2:5" ht="29" hidden="1" customHeight="1" outlineLevel="1"/>
    <row r="98" spans="2:5" ht="29" hidden="1" customHeight="1" outlineLevel="1"/>
    <row r="99" spans="2:5" ht="29" hidden="1" customHeight="1" outlineLevel="1"/>
    <row r="100" spans="2:5" ht="29" hidden="1" customHeight="1" outlineLevel="1" thickBot="1"/>
    <row r="101" spans="2:5" ht="29" hidden="1" customHeight="1" outlineLevel="1">
      <c r="B101" s="32"/>
      <c r="C101" s="1782"/>
      <c r="D101" s="1856">
        <v>2022</v>
      </c>
      <c r="E101" s="1758">
        <v>2050</v>
      </c>
    </row>
    <row r="102" spans="2:5" ht="29" hidden="1" customHeight="1" outlineLevel="1">
      <c r="B102" s="32"/>
      <c r="C102" s="1759" t="s">
        <v>1619</v>
      </c>
      <c r="D102" s="1760">
        <f>C6</f>
        <v>387722.67612584197</v>
      </c>
      <c r="E102" s="1761"/>
    </row>
    <row r="103" spans="2:5" ht="29" hidden="1" customHeight="1" outlineLevel="1">
      <c r="B103" s="1791">
        <f>E103/$D$102</f>
        <v>0.25453435118020806</v>
      </c>
      <c r="C103" s="1759" t="s">
        <v>1731</v>
      </c>
      <c r="D103" s="1760">
        <f>SUM(E29,E38,E43)</f>
        <v>289033.93632029684</v>
      </c>
      <c r="E103" s="1761">
        <f>D102-D103</f>
        <v>98688.739805545134</v>
      </c>
    </row>
    <row r="104" spans="2:5" ht="29" hidden="1" customHeight="1" outlineLevel="1">
      <c r="B104" s="1791">
        <f t="shared" ref="B104:B105" si="3">E104/$D$102</f>
        <v>0.11181984732296874</v>
      </c>
      <c r="C104" s="1759" t="s">
        <v>1729</v>
      </c>
      <c r="D104" s="1760">
        <f>SUM(D53:D55)</f>
        <v>245678.84587225234</v>
      </c>
      <c r="E104" s="1761">
        <f>D103-D104</f>
        <v>43355.090448044502</v>
      </c>
    </row>
    <row r="105" spans="2:5" ht="29" hidden="1" customHeight="1" outlineLevel="1">
      <c r="B105" s="1791">
        <f t="shared" si="3"/>
        <v>0.44364580149682326</v>
      </c>
      <c r="C105" s="1759" t="s">
        <v>1730</v>
      </c>
      <c r="D105" s="1760">
        <f>C64</f>
        <v>73667.308463909954</v>
      </c>
      <c r="E105" s="1761">
        <f>D104-D105</f>
        <v>172011.53740834238</v>
      </c>
    </row>
    <row r="106" spans="2:5" ht="29" hidden="1" customHeight="1" outlineLevel="1" thickBot="1">
      <c r="B106" s="1791"/>
      <c r="C106" s="1762" t="s">
        <v>1621</v>
      </c>
      <c r="D106" s="1793">
        <f>D105</f>
        <v>73667.308463909954</v>
      </c>
      <c r="E106" s="1763"/>
    </row>
    <row r="107" spans="2:5" ht="29" hidden="1" customHeight="1" outlineLevel="1"/>
    <row r="108" spans="2:5" ht="29" hidden="1" customHeight="1" outlineLevel="1"/>
    <row r="109" spans="2:5" ht="29" hidden="1" customHeight="1" outlineLevel="1"/>
    <row r="110" spans="2:5" ht="29" hidden="1" customHeight="1" outlineLevel="1"/>
    <row r="111" spans="2:5" ht="29" hidden="1" customHeight="1" outlineLevel="1"/>
    <row r="112" spans="2:5" ht="29" hidden="1" customHeight="1" outlineLevel="1"/>
    <row r="113" ht="29" customHeight="1" collapsed="1"/>
    <row r="114" ht="29" customHeight="1"/>
    <row r="115" ht="29" customHeight="1"/>
    <row r="116" ht="29" customHeight="1"/>
    <row r="117" ht="29" customHeight="1"/>
    <row r="118" ht="29" customHeight="1"/>
    <row r="119" ht="29" customHeight="1"/>
    <row r="120" ht="29" customHeight="1"/>
    <row r="121" ht="29" customHeight="1"/>
    <row r="122" ht="29" customHeight="1"/>
    <row r="123" ht="29" customHeight="1"/>
    <row r="124" ht="29" customHeight="1"/>
    <row r="125" ht="29" customHeight="1"/>
    <row r="126" ht="29" customHeight="1"/>
    <row r="127" ht="29" customHeight="1"/>
    <row r="128" ht="29" customHeight="1"/>
    <row r="129" ht="29" customHeight="1"/>
    <row r="130" ht="29" customHeight="1"/>
    <row r="131" ht="29" customHeight="1"/>
    <row r="132" ht="29" customHeight="1"/>
    <row r="133" ht="29" customHeight="1"/>
  </sheetData>
  <mergeCells count="13">
    <mergeCell ref="B49:E49"/>
    <mergeCell ref="B79:E79"/>
    <mergeCell ref="E85:F85"/>
    <mergeCell ref="B80:E80"/>
    <mergeCell ref="C85:D85"/>
    <mergeCell ref="B2:D2"/>
    <mergeCell ref="B5:D5"/>
    <mergeCell ref="C8:D8"/>
    <mergeCell ref="B10:E10"/>
    <mergeCell ref="B48:E48"/>
    <mergeCell ref="B21:E21"/>
    <mergeCell ref="B31:D32"/>
    <mergeCell ref="B35:F36"/>
  </mergeCells>
  <conditionalFormatting sqref="D9">
    <cfRule type="containsText" dxfId="35" priority="1" operator="containsText" text="Pas ok">
      <formula>NOT(ISERROR(SEARCH("Pas ok",D9)))</formula>
    </cfRule>
    <cfRule type="containsText" dxfId="34" priority="2" operator="containsText" text="Calcul brouillon, ordre de grandeur">
      <formula>NOT(ISERROR(SEARCH("Calcul brouillon, ordre de grandeur",D9)))</formula>
    </cfRule>
    <cfRule type="containsText" dxfId="33" priority="3" operator="containsText" text="Bon ordre de grandeur">
      <formula>NOT(ISERROR(SEARCH("Bon ordre de grandeur",D9)))</formula>
    </cfRule>
    <cfRule type="containsText" dxfId="32" priority="4" operator="containsText" text="Calcul validé">
      <formula>NOT(ISERROR(SEARCH("Calcul validé",D9)))</formula>
    </cfRule>
    <cfRule type="containsText" dxfId="31" priority="5" operator="containsText" text="Pas ok">
      <formula>NOT(ISERROR(SEARCH("Pas ok",D9)))</formula>
    </cfRule>
    <cfRule type="containsText" dxfId="30" priority="6" operator="containsText" text="Calcul brouillon, ordre de grandeur">
      <formula>NOT(ISERROR(SEARCH("Calcul brouillon, ordre de grandeur",D9)))</formula>
    </cfRule>
    <cfRule type="containsText" dxfId="29" priority="7" operator="containsText" text="Bon ordre de grandeur">
      <formula>NOT(ISERROR(SEARCH("Bon ordre de grandeur",D9)))</formula>
    </cfRule>
    <cfRule type="containsText" dxfId="28" priority="8" operator="containsText" text="Calcul validé">
      <formula>NOT(ISERROR(SEARCH("Calcul validé",D9)))</formula>
    </cfRule>
  </conditionalFormatting>
  <conditionalFormatting sqref="D9:E9">
    <cfRule type="containsText" dxfId="27" priority="9" operator="containsText" text="Calcul brouillon, odg">
      <formula>NOT(ISERROR(SEARCH("Calcul brouillon, odg",D9)))</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T167"/>
  <sheetViews>
    <sheetView zoomScale="56" workbookViewId="0">
      <selection activeCell="C15" sqref="C15:I15"/>
    </sheetView>
  </sheetViews>
  <sheetFormatPr baseColWidth="10" defaultColWidth="9.1640625" defaultRowHeight="14" outlineLevelRow="1"/>
  <cols>
    <col min="1" max="1" width="9.1640625" style="5"/>
    <col min="2" max="2" width="38.6640625" style="5" customWidth="1"/>
    <col min="3" max="3" width="39" style="5" customWidth="1"/>
    <col min="4" max="5" width="31.6640625" style="5" customWidth="1"/>
    <col min="6" max="6" width="59" style="5" customWidth="1"/>
    <col min="7" max="8" width="33.6640625" style="5" customWidth="1"/>
    <col min="9" max="9" width="29.6640625" style="5" customWidth="1"/>
    <col min="10" max="11" width="16.1640625" style="5" customWidth="1"/>
    <col min="12" max="12" width="52.5" style="5" customWidth="1"/>
    <col min="13" max="13" width="24.5" style="5" customWidth="1"/>
    <col min="14" max="20" width="16.1640625" style="5" customWidth="1"/>
    <col min="21" max="16384" width="9.1640625" style="5"/>
  </cols>
  <sheetData>
    <row r="1" spans="1:44" ht="15" thickBot="1"/>
    <row r="2" spans="1:44" ht="21" thickBot="1">
      <c r="B2" s="2275" t="s">
        <v>81</v>
      </c>
      <c r="C2" s="2276"/>
      <c r="D2" s="2277"/>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3" spans="1:44" ht="16">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row>
    <row r="4" spans="1:44" ht="17" thickBot="1">
      <c r="B4" s="48"/>
      <c r="C4" s="48"/>
      <c r="D4" s="48"/>
      <c r="E4"/>
      <c r="F4"/>
      <c r="G4"/>
      <c r="H4"/>
      <c r="I4"/>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row>
    <row r="5" spans="1:44" ht="24" customHeight="1" thickBot="1">
      <c r="B5" s="2278" t="s">
        <v>2</v>
      </c>
      <c r="C5" s="2279"/>
      <c r="D5" s="2280"/>
      <c r="E5"/>
      <c r="F5"/>
      <c r="G5"/>
      <c r="H5"/>
      <c r="I5"/>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row>
    <row r="6" spans="1:44" ht="24" customHeight="1">
      <c r="B6" s="142" t="s">
        <v>45</v>
      </c>
      <c r="C6" s="133">
        <f>C51</f>
        <v>199633.00152963036</v>
      </c>
      <c r="D6" s="134" t="s">
        <v>3</v>
      </c>
      <c r="E6"/>
      <c r="F6"/>
      <c r="G6"/>
      <c r="H6"/>
      <c r="I6"/>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row>
    <row r="7" spans="1:44" ht="24" customHeight="1">
      <c r="B7" s="173" t="s">
        <v>4</v>
      </c>
      <c r="C7" s="2130" t="s">
        <v>1570</v>
      </c>
      <c r="D7" s="2131"/>
      <c r="E7"/>
      <c r="F7"/>
      <c r="G7"/>
      <c r="H7"/>
      <c r="I7"/>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row>
    <row r="8" spans="1:44" ht="24" customHeight="1" thickBot="1">
      <c r="B8" s="174" t="s">
        <v>5</v>
      </c>
      <c r="C8" s="2281"/>
      <c r="D8" s="2282"/>
      <c r="E8"/>
      <c r="F8"/>
      <c r="G8"/>
      <c r="H8"/>
      <c r="I8"/>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row>
    <row r="9" spans="1:44" ht="28" customHeight="1" thickBot="1">
      <c r="B9" s="48"/>
      <c r="C9" s="48"/>
      <c r="D9" s="48"/>
      <c r="E9" s="48"/>
      <c r="F9" s="48"/>
      <c r="G9" s="48"/>
      <c r="H9" s="48"/>
      <c r="I9" s="49"/>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row>
    <row r="10" spans="1:44" ht="25" customHeight="1" thickBot="1">
      <c r="B10" s="2283" t="s">
        <v>6</v>
      </c>
      <c r="C10" s="2284"/>
      <c r="D10" s="2284"/>
      <c r="E10" s="2284"/>
      <c r="F10" s="2284"/>
      <c r="G10" s="2284"/>
      <c r="H10" s="2284"/>
      <c r="I10" s="2285"/>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row>
    <row r="11" spans="1:44" ht="129" customHeight="1">
      <c r="B11" s="36" t="s">
        <v>7</v>
      </c>
      <c r="C11" s="1975" t="s">
        <v>1803</v>
      </c>
      <c r="D11" s="2287"/>
      <c r="E11" s="2287"/>
      <c r="F11" s="2287"/>
      <c r="G11" s="2287"/>
      <c r="H11" s="2287"/>
      <c r="I11" s="2288"/>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row>
    <row r="12" spans="1:44" ht="53" customHeight="1">
      <c r="A12" s="1895"/>
      <c r="B12" s="58" t="s">
        <v>8</v>
      </c>
      <c r="C12" s="1975" t="s">
        <v>1802</v>
      </c>
      <c r="D12" s="2287"/>
      <c r="E12" s="2287"/>
      <c r="F12" s="2287"/>
      <c r="G12" s="2287"/>
      <c r="H12" s="2287"/>
      <c r="I12" s="2288"/>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row>
    <row r="13" spans="1:44" ht="63" customHeight="1">
      <c r="A13" s="1895"/>
      <c r="B13" s="58" t="s">
        <v>9</v>
      </c>
      <c r="C13" s="1978" t="s">
        <v>1804</v>
      </c>
      <c r="D13" s="2287"/>
      <c r="E13" s="2287"/>
      <c r="F13" s="2287"/>
      <c r="G13" s="2287"/>
      <c r="H13" s="2287"/>
      <c r="I13" s="2288"/>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row>
    <row r="14" spans="1:44" ht="43" customHeight="1">
      <c r="A14" s="1895"/>
      <c r="B14" s="58" t="s">
        <v>11</v>
      </c>
      <c r="C14" s="1975" t="s">
        <v>1805</v>
      </c>
      <c r="D14" s="2287"/>
      <c r="E14" s="2287"/>
      <c r="F14" s="2287"/>
      <c r="G14" s="2287"/>
      <c r="H14" s="2287"/>
      <c r="I14" s="2288"/>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row>
    <row r="15" spans="1:44" ht="29" customHeight="1">
      <c r="A15" s="1895"/>
      <c r="B15" s="58" t="s">
        <v>12</v>
      </c>
      <c r="C15" s="2289" t="s">
        <v>273</v>
      </c>
      <c r="D15" s="2287"/>
      <c r="E15" s="2287"/>
      <c r="F15" s="2287"/>
      <c r="G15" s="2287"/>
      <c r="H15" s="2287"/>
      <c r="I15" s="2288"/>
      <c r="J15" s="32"/>
      <c r="K15" s="51"/>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row>
    <row r="16" spans="1:44" ht="29" customHeight="1" thickBot="1">
      <c r="A16" s="1895"/>
      <c r="B16" s="59" t="s">
        <v>13</v>
      </c>
      <c r="C16" s="2290" t="s">
        <v>1568</v>
      </c>
      <c r="D16" s="2291"/>
      <c r="E16" s="2291"/>
      <c r="F16" s="2291"/>
      <c r="G16" s="2291"/>
      <c r="H16" s="2291"/>
      <c r="I16" s="229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row>
    <row r="17" spans="1:46" ht="20" customHeight="1">
      <c r="B17" s="32"/>
      <c r="C17" s="50"/>
      <c r="D17" s="50"/>
      <c r="E17" s="50"/>
      <c r="F17" s="50"/>
      <c r="G17" s="50"/>
      <c r="H17" s="50"/>
      <c r="I17" s="50"/>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row>
    <row r="18" spans="1:46" ht="20" customHeight="1">
      <c r="B18" s="378" t="s">
        <v>424</v>
      </c>
      <c r="X18" s="32"/>
      <c r="Y18" s="32"/>
      <c r="Z18" s="32"/>
      <c r="AA18" s="32"/>
      <c r="AB18" s="32"/>
      <c r="AC18" s="32"/>
      <c r="AD18" s="32"/>
      <c r="AE18" s="32"/>
      <c r="AF18" s="32"/>
      <c r="AG18" s="32"/>
      <c r="AH18" s="32"/>
      <c r="AI18" s="32"/>
      <c r="AJ18" s="32"/>
      <c r="AK18" s="32"/>
      <c r="AL18" s="32"/>
      <c r="AM18" s="32"/>
      <c r="AN18" s="32"/>
      <c r="AO18" s="32"/>
      <c r="AP18" s="32"/>
      <c r="AQ18" s="32"/>
      <c r="AR18" s="32"/>
    </row>
    <row r="19" spans="1:46" ht="20" customHeight="1">
      <c r="B19" s="1199" t="s">
        <v>265</v>
      </c>
      <c r="X19" s="32"/>
      <c r="Y19" s="32"/>
      <c r="Z19" s="32"/>
      <c r="AA19" s="32"/>
      <c r="AB19" s="32"/>
      <c r="AC19" s="32"/>
      <c r="AD19" s="32"/>
      <c r="AE19" s="32"/>
      <c r="AF19" s="32"/>
      <c r="AG19" s="32"/>
      <c r="AH19" s="32"/>
      <c r="AI19" s="32"/>
      <c r="AJ19" s="32"/>
      <c r="AK19" s="32"/>
      <c r="AL19" s="32"/>
      <c r="AM19" s="32"/>
      <c r="AN19" s="32"/>
      <c r="AO19" s="32"/>
      <c r="AP19" s="32"/>
      <c r="AQ19" s="32"/>
      <c r="AR19" s="32"/>
    </row>
    <row r="20" spans="1:46" ht="20" customHeight="1">
      <c r="B20" s="10" t="s">
        <v>1161</v>
      </c>
      <c r="X20" s="32"/>
      <c r="Y20" s="32"/>
      <c r="Z20" s="32"/>
      <c r="AA20" s="32"/>
      <c r="AB20" s="32"/>
      <c r="AC20" s="32"/>
      <c r="AD20" s="32"/>
      <c r="AE20" s="32"/>
      <c r="AF20" s="32"/>
      <c r="AG20" s="32"/>
      <c r="AH20" s="32"/>
      <c r="AI20" s="32"/>
      <c r="AJ20" s="32"/>
      <c r="AK20" s="32"/>
      <c r="AL20" s="32"/>
      <c r="AM20" s="32"/>
      <c r="AN20" s="32"/>
      <c r="AO20" s="32"/>
      <c r="AP20" s="32"/>
      <c r="AQ20" s="32"/>
      <c r="AR20" s="32"/>
    </row>
    <row r="21" spans="1:46" ht="20" customHeight="1">
      <c r="B21" s="31" t="s">
        <v>1563</v>
      </c>
      <c r="X21" s="32"/>
      <c r="Y21" s="32"/>
      <c r="Z21" s="32"/>
      <c r="AA21" s="32"/>
      <c r="AB21" s="32"/>
      <c r="AC21" s="32"/>
      <c r="AD21" s="32"/>
      <c r="AE21" s="32"/>
      <c r="AF21" s="32"/>
      <c r="AG21" s="32"/>
      <c r="AH21" s="32"/>
      <c r="AI21" s="32"/>
      <c r="AJ21" s="32"/>
      <c r="AK21" s="32"/>
      <c r="AL21" s="32"/>
      <c r="AM21" s="32"/>
      <c r="AN21" s="32"/>
      <c r="AO21" s="32"/>
      <c r="AP21" s="32"/>
      <c r="AQ21" s="32"/>
      <c r="AR21" s="32"/>
    </row>
    <row r="22" spans="1:46" ht="20" customHeight="1">
      <c r="E22" s="50"/>
      <c r="F22" s="50"/>
      <c r="G22" s="50"/>
      <c r="H22" s="50"/>
      <c r="I22" s="50"/>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row>
    <row r="23" spans="1:46" ht="20" customHeight="1">
      <c r="B23" s="427" t="s">
        <v>459</v>
      </c>
      <c r="E23" s="50"/>
      <c r="F23" s="50"/>
      <c r="G23" s="50"/>
      <c r="H23" s="50"/>
      <c r="I23" s="50"/>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row>
    <row r="24" spans="1:46" ht="20" customHeight="1">
      <c r="B24" s="32"/>
      <c r="C24" s="50"/>
      <c r="F24"/>
      <c r="G24"/>
      <c r="H24" s="50"/>
      <c r="I24" s="50"/>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row>
    <row r="25" spans="1:46" ht="27" customHeight="1">
      <c r="A25"/>
      <c r="B25" s="42" t="s">
        <v>25</v>
      </c>
      <c r="C25" s="41" t="s">
        <v>17</v>
      </c>
      <c r="D25" s="1929" t="s">
        <v>26</v>
      </c>
      <c r="E25" s="1929"/>
      <c r="F25" s="1929"/>
      <c r="G25" s="1929"/>
      <c r="H25" s="50"/>
      <c r="I25" s="50"/>
      <c r="J25" s="50"/>
      <c r="K25" s="50"/>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row>
    <row r="26" spans="1:46" ht="30" customHeight="1">
      <c r="A26"/>
      <c r="B26" s="34" t="s">
        <v>219</v>
      </c>
      <c r="C26" s="53">
        <f>SUM('3.1 - Déplacement match '!D151:I151)</f>
        <v>4105112.901840522</v>
      </c>
      <c r="D26" s="1913"/>
      <c r="E26" s="1913"/>
      <c r="F26" s="1913"/>
      <c r="G26" s="1913"/>
      <c r="H26" s="50"/>
      <c r="I26" s="50"/>
      <c r="J26" s="50"/>
      <c r="K26" s="50"/>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row>
    <row r="27" spans="1:46" ht="30" customHeight="1">
      <c r="A27"/>
      <c r="B27" s="33" t="s">
        <v>220</v>
      </c>
      <c r="C27" s="801">
        <f>C26*0.5</f>
        <v>2052556.450920261</v>
      </c>
      <c r="D27" s="1900" t="s">
        <v>1564</v>
      </c>
      <c r="E27" s="1900"/>
      <c r="F27" s="1900"/>
      <c r="G27" s="1900"/>
      <c r="H27"/>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row>
    <row r="28" spans="1:46" ht="30" customHeight="1">
      <c r="A28"/>
      <c r="B28" s="33" t="s">
        <v>221</v>
      </c>
      <c r="C28" s="801">
        <f>C26*1.12</f>
        <v>4597726.4500613846</v>
      </c>
      <c r="D28" s="1911" t="s">
        <v>1565</v>
      </c>
      <c r="E28" s="1911"/>
      <c r="F28" s="1911"/>
      <c r="G28" s="1911"/>
      <c r="H28"/>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row>
    <row r="29" spans="1:46" ht="27" customHeight="1">
      <c r="A29"/>
      <c r="B29" s="56" t="s">
        <v>1171</v>
      </c>
      <c r="C29" s="757">
        <f>SUMPRODUCT('3.1 - Déplacement match '!D151:I151,'3.1 - Déplacement match '!D152:I152)/SUM('3.1 - Déplacement match '!D151:I151)*2</f>
        <v>33.687690805788698</v>
      </c>
      <c r="D29" s="1945" t="s">
        <v>1172</v>
      </c>
      <c r="E29" s="1945"/>
      <c r="F29" s="1945"/>
      <c r="G29" s="1945"/>
      <c r="H29" s="45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row>
    <row r="30" spans="1:46" ht="27" customHeight="1">
      <c r="B30" s="10"/>
      <c r="C30" s="10"/>
      <c r="D30" s="57"/>
      <c r="E30" s="57"/>
      <c r="F30" s="57"/>
      <c r="G30" s="57"/>
      <c r="H30"/>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row>
    <row r="31" spans="1:46" ht="20" customHeight="1">
      <c r="B31" s="427" t="s">
        <v>456</v>
      </c>
      <c r="C31"/>
      <c r="D31"/>
      <c r="E31"/>
      <c r="F31"/>
      <c r="G31" s="57"/>
      <c r="H31"/>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row>
    <row r="32" spans="1:46" ht="20" customHeight="1">
      <c r="B32" s="427"/>
      <c r="C32"/>
      <c r="D32"/>
      <c r="E32"/>
      <c r="F32"/>
      <c r="G32" s="57"/>
      <c r="H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row>
    <row r="33" spans="2:46" ht="20" customHeight="1">
      <c r="B33" s="1198" t="s">
        <v>1173</v>
      </c>
      <c r="C33" s="29"/>
      <c r="D33" s="29"/>
      <c r="E33" s="29"/>
      <c r="F33" s="29"/>
      <c r="G33" s="29"/>
      <c r="H33"/>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row>
    <row r="34" spans="2:46" ht="20" customHeight="1">
      <c r="B34" s="1199" t="s">
        <v>265</v>
      </c>
      <c r="C34" s="29"/>
      <c r="D34" s="29"/>
      <c r="E34" s="29"/>
      <c r="F34" s="29"/>
      <c r="G34" s="29"/>
      <c r="H34"/>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row>
    <row r="35" spans="2:46" ht="30" customHeight="1">
      <c r="B35" s="2286" t="str">
        <f>D27</f>
        <v>H2 : On considère que pour les matchs, 50% des personnes consomment un snack (source FFF et Utopies). Valeur probablement sous-estimée pour l'ensemble du scope amateur, étant donné qu'une part des consommations ne font pas l'objet d'un échange marchand (et les données viennent de buvettes).</v>
      </c>
      <c r="C35" s="2286"/>
      <c r="D35" s="2286"/>
      <c r="E35" s="2286"/>
      <c r="F35" s="2286"/>
      <c r="G35" s="2286"/>
      <c r="H35"/>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row>
    <row r="36" spans="2:46" ht="30" customHeight="1">
      <c r="B36" s="1711" t="s">
        <v>1579</v>
      </c>
      <c r="C36" s="872"/>
      <c r="D36" s="872"/>
      <c r="E36" s="872"/>
      <c r="F36" s="872"/>
      <c r="G36" s="872"/>
      <c r="H36"/>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row>
    <row r="37" spans="2:46" ht="27" customHeight="1">
      <c r="B37" s="54" t="s">
        <v>223</v>
      </c>
      <c r="C37" s="26" t="s">
        <v>222</v>
      </c>
      <c r="D37" s="26" t="s">
        <v>104</v>
      </c>
      <c r="E37" s="41" t="s">
        <v>620</v>
      </c>
      <c r="F37" s="26" t="s">
        <v>105</v>
      </c>
      <c r="G37" s="463" t="s">
        <v>26</v>
      </c>
      <c r="H37"/>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row>
    <row r="38" spans="2:46" ht="27" customHeight="1">
      <c r="B38" s="53" t="s">
        <v>622</v>
      </c>
      <c r="C38" s="53">
        <f>$C$27*D112</f>
        <v>1275072.9467837985</v>
      </c>
      <c r="D38" s="53">
        <f>C38*$C$29</f>
        <v>42954263.186078474</v>
      </c>
      <c r="E38" s="80">
        <f>AVERAGE(C125:C126)</f>
        <v>3.1350000000000002</v>
      </c>
      <c r="F38" s="53">
        <f>D38*E38/1000</f>
        <v>134661.61508835602</v>
      </c>
      <c r="G38" s="548"/>
      <c r="H38"/>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row>
    <row r="39" spans="2:46" ht="27" customHeight="1">
      <c r="B39" s="53" t="s">
        <v>617</v>
      </c>
      <c r="C39" s="53">
        <f>$C$27*D113</f>
        <v>777483.50413646246</v>
      </c>
      <c r="D39" s="53">
        <f>C39*$C$29</f>
        <v>26191623.893950287</v>
      </c>
      <c r="E39" s="80">
        <f>C127</f>
        <v>0.36</v>
      </c>
      <c r="F39" s="53">
        <f>D39*E39/1000</f>
        <v>9428.9846018221033</v>
      </c>
      <c r="G39" s="548"/>
      <c r="H39"/>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row>
    <row r="40" spans="2:46" ht="27" customHeight="1">
      <c r="B40" s="10"/>
      <c r="C40" s="9"/>
      <c r="E40" s="26" t="s">
        <v>139</v>
      </c>
      <c r="F40" s="46">
        <f>SUM(F38:F39)</f>
        <v>144090.59969017812</v>
      </c>
      <c r="G40" s="468" t="s">
        <v>123</v>
      </c>
      <c r="H40"/>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row>
    <row r="41" spans="2:46" ht="20" customHeight="1">
      <c r="F41" s="10"/>
      <c r="H4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row>
    <row r="42" spans="2:46" ht="20" customHeight="1">
      <c r="B42" s="1198" t="s">
        <v>1174</v>
      </c>
      <c r="C42" s="29"/>
      <c r="D42" s="29"/>
      <c r="E42" s="29"/>
      <c r="H4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row>
    <row r="43" spans="2:46" ht="20" customHeight="1">
      <c r="B43" s="1199" t="s">
        <v>265</v>
      </c>
      <c r="C43" s="29"/>
      <c r="D43" s="29"/>
      <c r="E43" s="29"/>
      <c r="F43" s="29"/>
      <c r="G43" s="29"/>
      <c r="H43"/>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row>
    <row r="44" spans="2:46" ht="32" customHeight="1">
      <c r="B44" s="2286" t="str">
        <f>D28</f>
        <v>H3 : On considère que pour les matchs, il y a en moyenne 1,12 consommation de boisson par pesonne (source FFF et Utopies). Valeur probablement sous-estimée pour l'ensemble du scope amateur, étant donné qu'une part des consommations ne font pas l'objet d'un échange marchand (et les données viennent de buvettes).</v>
      </c>
      <c r="C44" s="2286"/>
      <c r="D44" s="2286"/>
      <c r="E44" s="2286"/>
      <c r="F44" s="2286"/>
      <c r="G44" s="2286"/>
      <c r="H44"/>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row>
    <row r="45" spans="2:46" ht="28" customHeight="1">
      <c r="B45" s="54" t="s">
        <v>224</v>
      </c>
      <c r="C45" s="60" t="s">
        <v>222</v>
      </c>
      <c r="D45" s="26" t="s">
        <v>104</v>
      </c>
      <c r="E45" s="41" t="s">
        <v>620</v>
      </c>
      <c r="F45" s="26" t="s">
        <v>105</v>
      </c>
      <c r="G45" s="463" t="s">
        <v>26</v>
      </c>
      <c r="H45"/>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row>
    <row r="46" spans="2:46" ht="28" customHeight="1">
      <c r="B46" s="53" t="s">
        <v>332</v>
      </c>
      <c r="C46" s="53">
        <f>C28*C116</f>
        <v>3678181.1600491079</v>
      </c>
      <c r="D46" s="53">
        <f>C46*$C$29</f>
        <v>123909429.64741154</v>
      </c>
      <c r="E46" s="80">
        <f>C130</f>
        <v>0.34399999999999997</v>
      </c>
      <c r="F46" s="53">
        <f>D46*E46/1000</f>
        <v>42624.84379870956</v>
      </c>
      <c r="G46" s="548"/>
      <c r="H46"/>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row>
    <row r="47" spans="2:46" ht="28" customHeight="1">
      <c r="B47" s="53" t="s">
        <v>333</v>
      </c>
      <c r="C47" s="53">
        <f>C28*C117</f>
        <v>919545.29001227696</v>
      </c>
      <c r="D47" s="53">
        <f>C47*$C$29</f>
        <v>30977357.411852885</v>
      </c>
      <c r="E47" s="80">
        <f>C128</f>
        <v>0.41699999999999998</v>
      </c>
      <c r="F47" s="53">
        <f>D47*E47/1000</f>
        <v>12917.558040742653</v>
      </c>
      <c r="G47" s="548"/>
      <c r="H47"/>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row>
    <row r="48" spans="2:46" ht="28" customHeight="1">
      <c r="B48"/>
      <c r="C48"/>
      <c r="D48"/>
      <c r="E48" s="26" t="s">
        <v>139</v>
      </c>
      <c r="F48" s="46">
        <f>SUM(F46:F47)</f>
        <v>55542.401839452214</v>
      </c>
      <c r="G48" s="468" t="s">
        <v>123</v>
      </c>
      <c r="H48"/>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row>
    <row r="49" spans="2:44" ht="28" customHeight="1">
      <c r="B49"/>
      <c r="C49"/>
      <c r="D49"/>
      <c r="E49" s="790"/>
      <c r="F49" s="70"/>
      <c r="G49" s="791"/>
      <c r="H49"/>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row>
    <row r="50" spans="2:44" ht="28" customHeight="1" thickBot="1">
      <c r="B50"/>
      <c r="C50"/>
      <c r="D50"/>
      <c r="E50" s="790"/>
      <c r="F50" s="70"/>
      <c r="G50" s="791"/>
      <c r="H50"/>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row>
    <row r="51" spans="2:44" ht="28" customHeight="1" thickBot="1">
      <c r="B51" s="881" t="s">
        <v>106</v>
      </c>
      <c r="C51" s="884">
        <f>D68</f>
        <v>199633.00152963036</v>
      </c>
      <c r="D51" s="882" t="s">
        <v>123</v>
      </c>
      <c r="E51" s="790"/>
      <c r="F51" s="70"/>
      <c r="G51" s="791"/>
      <c r="H5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row>
    <row r="52" spans="2:44" ht="28" customHeight="1">
      <c r="B52"/>
      <c r="C52"/>
      <c r="D52" s="790"/>
      <c r="E52" s="70"/>
      <c r="F52" s="791"/>
      <c r="G52" s="791"/>
      <c r="H5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row>
    <row r="53" spans="2:44" ht="20" customHeight="1">
      <c r="B53" s="427" t="s">
        <v>490</v>
      </c>
      <c r="E53" s="10"/>
      <c r="F53" s="29"/>
      <c r="G53" s="29"/>
      <c r="H53"/>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row>
    <row r="54" spans="2:44" ht="20" customHeight="1">
      <c r="B54" s="427"/>
      <c r="E54" s="10"/>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row>
    <row r="55" spans="2:44" ht="25" customHeight="1">
      <c r="B55" s="32" t="s">
        <v>496</v>
      </c>
      <c r="E55" s="10"/>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row>
    <row r="56" spans="2:44" ht="25" customHeight="1" thickBot="1">
      <c r="B56" s="32"/>
      <c r="E56" s="10"/>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row>
    <row r="57" spans="2:44" ht="26" customHeight="1" thickBot="1">
      <c r="B57" s="32"/>
      <c r="C57" s="773" t="s">
        <v>16</v>
      </c>
      <c r="D57" s="774" t="s">
        <v>17</v>
      </c>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row>
    <row r="58" spans="2:44" ht="37" customHeight="1">
      <c r="B58" s="2268" t="s">
        <v>575</v>
      </c>
      <c r="C58" s="796" t="s">
        <v>576</v>
      </c>
      <c r="D58" s="775">
        <f>SUM(D38:D39)</f>
        <v>69145887.080028757</v>
      </c>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row>
    <row r="59" spans="2:44" ht="37" customHeight="1" thickBot="1">
      <c r="B59" s="2269"/>
      <c r="C59" s="797" t="s">
        <v>577</v>
      </c>
      <c r="D59" s="792">
        <f>SUM(D46:D47)</f>
        <v>154886787.05926442</v>
      </c>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row>
    <row r="60" spans="2:44" ht="37" customHeight="1">
      <c r="B60" s="2268" t="s">
        <v>578</v>
      </c>
      <c r="C60" s="822" t="str">
        <f>B38</f>
        <v>Plats et snacks à dominante animale</v>
      </c>
      <c r="D60" s="793">
        <f>D112</f>
        <v>0.62121212121212122</v>
      </c>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row>
    <row r="61" spans="2:44" ht="37" customHeight="1">
      <c r="B61" s="2270"/>
      <c r="C61" s="798" t="str">
        <f>B39</f>
        <v>Plats et snacks végétariens</v>
      </c>
      <c r="D61" s="794">
        <f>D113</f>
        <v>0.37878787878787878</v>
      </c>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row>
    <row r="62" spans="2:44" ht="37" customHeight="1">
      <c r="B62" s="2270"/>
      <c r="C62" s="798" t="str">
        <f>B46</f>
        <v>Bières</v>
      </c>
      <c r="D62" s="794">
        <f>C104</f>
        <v>0.8</v>
      </c>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row>
    <row r="63" spans="2:44" ht="37" customHeight="1" thickBot="1">
      <c r="B63" s="2270"/>
      <c r="C63" s="799" t="str">
        <f>B47</f>
        <v>Sodas</v>
      </c>
      <c r="D63" s="795">
        <f>C105</f>
        <v>0.2</v>
      </c>
      <c r="E63"/>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row>
    <row r="64" spans="2:44" ht="37" customHeight="1">
      <c r="B64" s="2271" t="s">
        <v>586</v>
      </c>
      <c r="C64" s="777" t="s">
        <v>621</v>
      </c>
      <c r="D64" s="776">
        <f>AVERAGE(C125:C126)</f>
        <v>3.1350000000000002</v>
      </c>
      <c r="E64"/>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row>
    <row r="65" spans="2:46" ht="37" customHeight="1">
      <c r="B65" s="2272"/>
      <c r="C65" s="777" t="s">
        <v>587</v>
      </c>
      <c r="D65" s="778">
        <f>C127</f>
        <v>0.36</v>
      </c>
      <c r="E65"/>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row>
    <row r="66" spans="2:46" ht="37" customHeight="1">
      <c r="B66" s="2272"/>
      <c r="C66" s="777" t="s">
        <v>648</v>
      </c>
      <c r="D66" s="778">
        <f>C130</f>
        <v>0.34399999999999997</v>
      </c>
      <c r="E66"/>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row>
    <row r="67" spans="2:46" ht="37" customHeight="1" thickBot="1">
      <c r="B67" s="2272"/>
      <c r="C67" s="800" t="s">
        <v>649</v>
      </c>
      <c r="D67" s="779">
        <f>C128</f>
        <v>0.41699999999999998</v>
      </c>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row>
    <row r="68" spans="2:46" ht="27" customHeight="1" thickBot="1">
      <c r="B68" s="2273" t="s">
        <v>588</v>
      </c>
      <c r="C68" s="2274"/>
      <c r="D68" s="780">
        <f>(D58*D60*D64+D58*D61*D65+D59*D62*D66+D59*D63*D67)/1000</f>
        <v>199633.00152963036</v>
      </c>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row>
    <row r="69" spans="2:46" ht="20" customHeight="1">
      <c r="E69" s="10"/>
      <c r="F69" s="10"/>
      <c r="G69" s="10"/>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row>
    <row r="70" spans="2:46" ht="20" customHeight="1">
      <c r="E70" s="10"/>
      <c r="F70" s="10"/>
      <c r="G70" s="10"/>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row>
    <row r="71" spans="2:46" ht="16">
      <c r="B71" s="10"/>
      <c r="C71" s="10"/>
      <c r="D71" s="10"/>
      <c r="E71" s="10"/>
      <c r="F71" s="10"/>
      <c r="G71" s="10"/>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row>
    <row r="72" spans="2:46" ht="23">
      <c r="B72" s="378" t="s">
        <v>431</v>
      </c>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row>
    <row r="73" spans="2:46" ht="25" hidden="1" customHeight="1" outlineLevel="1">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row>
    <row r="74" spans="2:46" ht="20" hidden="1" outlineLevel="1">
      <c r="B74" s="443" t="s">
        <v>614</v>
      </c>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row>
    <row r="75" spans="2:46" ht="16" hidden="1" outlineLevel="1">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row>
    <row r="76" spans="2:46" ht="16" hidden="1" outlineLevel="1">
      <c r="B76" s="35" t="s">
        <v>1578</v>
      </c>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row>
    <row r="77" spans="2:46" ht="16" hidden="1" outlineLevel="1">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row>
    <row r="78" spans="2:46" ht="16" hidden="1" outlineLevel="1">
      <c r="B78" s="34" t="s">
        <v>116</v>
      </c>
      <c r="C78" s="18">
        <v>0.5</v>
      </c>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row>
    <row r="79" spans="2:46" ht="16" hidden="1" outlineLevel="1">
      <c r="B79" s="34" t="s">
        <v>117</v>
      </c>
      <c r="C79" s="18">
        <v>1.1200000000000001</v>
      </c>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row>
    <row r="80" spans="2:46" ht="16" hidden="1" outlineLevel="1">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row>
    <row r="81" spans="2:46" ht="16" hidden="1" outlineLevel="1">
      <c r="B81" s="41" t="s">
        <v>83</v>
      </c>
      <c r="C81" s="41" t="s">
        <v>97</v>
      </c>
      <c r="D81" s="41" t="s">
        <v>89</v>
      </c>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row>
    <row r="82" spans="2:46" ht="16" hidden="1" outlineLevel="1">
      <c r="B82" s="34" t="s">
        <v>84</v>
      </c>
      <c r="C82" s="18">
        <v>1813</v>
      </c>
      <c r="D82" s="76">
        <f>C82/SUM($C$82:$C$86)</f>
        <v>0.81264007171671893</v>
      </c>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row>
    <row r="83" spans="2:46" ht="16" hidden="1" outlineLevel="1">
      <c r="B83" s="34" t="s">
        <v>85</v>
      </c>
      <c r="C83" s="18">
        <v>107</v>
      </c>
      <c r="D83" s="76">
        <f>C83/SUM($C$82:$C$86)</f>
        <v>4.7960555804571939E-2</v>
      </c>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row>
    <row r="84" spans="2:46" ht="16" hidden="1" outlineLevel="1">
      <c r="B84" s="34" t="s">
        <v>86</v>
      </c>
      <c r="C84" s="18">
        <v>133</v>
      </c>
      <c r="D84" s="76">
        <f>C84/SUM($C$82:$C$86)</f>
        <v>5.9614522635589424E-2</v>
      </c>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row>
    <row r="85" spans="2:46" ht="16" hidden="1" outlineLevel="1">
      <c r="B85" s="34" t="s">
        <v>87</v>
      </c>
      <c r="C85" s="18">
        <v>140</v>
      </c>
      <c r="D85" s="76">
        <f>C85/SUM($C$82:$C$86)</f>
        <v>6.275212909009413E-2</v>
      </c>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row>
    <row r="86" spans="2:46" ht="16" hidden="1" outlineLevel="1">
      <c r="B86" s="34" t="s">
        <v>88</v>
      </c>
      <c r="C86" s="18">
        <v>38</v>
      </c>
      <c r="D86" s="76">
        <f>C86/SUM($C$82:$C$86)</f>
        <v>1.7032720753025549E-2</v>
      </c>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row>
    <row r="87" spans="2:46" ht="16" hidden="1" outlineLevel="1">
      <c r="B87" s="10"/>
      <c r="C87" s="10"/>
      <c r="D87" s="10"/>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row>
    <row r="88" spans="2:46" ht="16" hidden="1" outlineLevel="1">
      <c r="B88" s="41" t="s">
        <v>96</v>
      </c>
      <c r="C88" s="41" t="s">
        <v>97</v>
      </c>
      <c r="D88" s="41" t="s">
        <v>89</v>
      </c>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row>
    <row r="89" spans="2:46" ht="16" hidden="1" outlineLevel="1">
      <c r="B89" s="34" t="s">
        <v>90</v>
      </c>
      <c r="C89" s="18">
        <v>90</v>
      </c>
      <c r="D89" s="76">
        <f t="shared" ref="D89:D96" si="0">C89/SUM($C$89:$C$96)</f>
        <v>8.9463220675944338E-2</v>
      </c>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row>
    <row r="90" spans="2:46" ht="16" hidden="1" outlineLevel="1">
      <c r="B90" s="34" t="s">
        <v>616</v>
      </c>
      <c r="C90" s="18">
        <v>21</v>
      </c>
      <c r="D90" s="76">
        <f t="shared" si="0"/>
        <v>2.0874751491053677E-2</v>
      </c>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row>
    <row r="91" spans="2:46" ht="16" hidden="1" outlineLevel="1">
      <c r="B91" s="34" t="s">
        <v>115</v>
      </c>
      <c r="C91" s="18">
        <v>463</v>
      </c>
      <c r="D91" s="76">
        <f t="shared" si="0"/>
        <v>0.46023856858846918</v>
      </c>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row>
    <row r="92" spans="2:46" ht="16" hidden="1" outlineLevel="1">
      <c r="B92" s="34" t="s">
        <v>91</v>
      </c>
      <c r="C92" s="18">
        <v>28</v>
      </c>
      <c r="D92" s="76">
        <f t="shared" si="0"/>
        <v>2.7833001988071572E-2</v>
      </c>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row>
    <row r="93" spans="2:46" ht="16" hidden="1" outlineLevel="1">
      <c r="B93" s="34" t="s">
        <v>92</v>
      </c>
      <c r="C93" s="18">
        <v>22</v>
      </c>
      <c r="D93" s="76">
        <f t="shared" si="0"/>
        <v>2.186878727634195E-2</v>
      </c>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row>
    <row r="94" spans="2:46" ht="16" hidden="1" outlineLevel="1">
      <c r="B94" s="34" t="s">
        <v>93</v>
      </c>
      <c r="C94" s="18">
        <v>300</v>
      </c>
      <c r="D94" s="76">
        <f t="shared" si="0"/>
        <v>0.29821073558648109</v>
      </c>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row>
    <row r="95" spans="2:46" ht="16" hidden="1" outlineLevel="1">
      <c r="B95" s="34" t="s">
        <v>94</v>
      </c>
      <c r="C95" s="18">
        <v>51</v>
      </c>
      <c r="D95" s="76">
        <f t="shared" si="0"/>
        <v>5.0695825049701791E-2</v>
      </c>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row>
    <row r="96" spans="2:46" ht="16" hidden="1" outlineLevel="1">
      <c r="B96" s="34" t="s">
        <v>95</v>
      </c>
      <c r="C96" s="18">
        <v>31</v>
      </c>
      <c r="D96" s="76">
        <f t="shared" si="0"/>
        <v>3.0815109343936383E-2</v>
      </c>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row>
    <row r="97" spans="2:46" ht="16" hidden="1" outlineLevel="1">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row>
    <row r="98" spans="2:46" ht="16" hidden="1" outlineLevel="1">
      <c r="B98" s="35" t="s">
        <v>615</v>
      </c>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row>
    <row r="99" spans="2:46" ht="16" hidden="1" outlineLevel="1">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row>
    <row r="100" spans="2:46" ht="16" hidden="1" outlineLevel="1">
      <c r="B100" s="65" t="s">
        <v>265</v>
      </c>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row>
    <row r="101" spans="2:46" ht="16" hidden="1" outlineLevel="1">
      <c r="B101" s="30" t="s">
        <v>1566</v>
      </c>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row>
    <row r="102" spans="2:46" ht="16" hidden="1" outlineLevel="1">
      <c r="B102" s="30"/>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row>
    <row r="103" spans="2:46" ht="23" hidden="1" customHeight="1" outlineLevel="1">
      <c r="B103" s="41" t="s">
        <v>83</v>
      </c>
      <c r="C103" s="41" t="s">
        <v>89</v>
      </c>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row>
    <row r="104" spans="2:46" ht="16" hidden="1" outlineLevel="1">
      <c r="B104" s="34" t="s">
        <v>84</v>
      </c>
      <c r="C104" s="76">
        <v>0.8</v>
      </c>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row>
    <row r="105" spans="2:46" ht="16" hidden="1" outlineLevel="1">
      <c r="B105" s="34" t="s">
        <v>86</v>
      </c>
      <c r="C105" s="76">
        <v>0.2</v>
      </c>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row>
    <row r="106" spans="2:46" ht="16" hidden="1" outlineLevel="1">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row>
    <row r="107" spans="2:46" ht="16" hidden="1" customHeight="1" outlineLevel="1">
      <c r="B107" s="2046" t="s">
        <v>1567</v>
      </c>
      <c r="C107" s="2046"/>
      <c r="D107" s="2046"/>
      <c r="E107" s="2046"/>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row>
    <row r="108" spans="2:46" ht="31" hidden="1" customHeight="1" outlineLevel="1">
      <c r="B108" s="2046"/>
      <c r="C108" s="2046"/>
      <c r="D108" s="2046"/>
      <c r="E108" s="2046"/>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row>
    <row r="109" spans="2:46" ht="31" hidden="1" customHeight="1" outlineLevel="1">
      <c r="B109" s="2046" t="s">
        <v>618</v>
      </c>
      <c r="C109" s="2046"/>
      <c r="D109" s="2046"/>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row>
    <row r="110" spans="2:46" ht="17" hidden="1" outlineLevel="1" thickBot="1">
      <c r="B110" s="55"/>
      <c r="D110" s="781"/>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row>
    <row r="111" spans="2:46" ht="20" hidden="1" customHeight="1" outlineLevel="1" thickBot="1">
      <c r="B111" s="178" t="s">
        <v>96</v>
      </c>
      <c r="C111" s="783" t="s">
        <v>97</v>
      </c>
      <c r="D111" s="782" t="s">
        <v>89</v>
      </c>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row>
    <row r="112" spans="2:46" ht="16" hidden="1" outlineLevel="1">
      <c r="B112" s="786" t="s">
        <v>622</v>
      </c>
      <c r="C112" s="784">
        <f>SUM(C89:C91)</f>
        <v>574</v>
      </c>
      <c r="D112" s="788">
        <f>C112/SUM($C$112:$C$113)</f>
        <v>0.62121212121212122</v>
      </c>
      <c r="Q112" s="5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row>
    <row r="113" spans="2:46" ht="17" hidden="1" outlineLevel="1" thickBot="1">
      <c r="B113" s="787" t="s">
        <v>617</v>
      </c>
      <c r="C113" s="785">
        <f>SUM(C92:C94)</f>
        <v>350</v>
      </c>
      <c r="D113" s="789">
        <f>C113/SUM($C$112:$C$113)</f>
        <v>0.37878787878787878</v>
      </c>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row>
    <row r="114" spans="2:46" ht="17" hidden="1" outlineLevel="1" thickBot="1">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row>
    <row r="115" spans="2:46" ht="17" hidden="1" outlineLevel="1" thickBot="1">
      <c r="B115" s="178" t="s">
        <v>83</v>
      </c>
      <c r="C115" s="782" t="s">
        <v>89</v>
      </c>
      <c r="E115"/>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row>
    <row r="116" spans="2:46" ht="16" hidden="1" outlineLevel="1">
      <c r="B116" s="786" t="s">
        <v>332</v>
      </c>
      <c r="C116" s="788">
        <f>C104</f>
        <v>0.8</v>
      </c>
      <c r="E116"/>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row>
    <row r="117" spans="2:46" ht="17" hidden="1" outlineLevel="1" thickBot="1">
      <c r="B117" s="787" t="s">
        <v>333</v>
      </c>
      <c r="C117" s="789">
        <f>C105</f>
        <v>0.2</v>
      </c>
      <c r="E117"/>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row>
    <row r="118" spans="2:46" ht="16" hidden="1" outlineLevel="1">
      <c r="B118"/>
      <c r="C118"/>
      <c r="D118"/>
      <c r="E118"/>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row>
    <row r="119" spans="2:46" ht="16" hidden="1" outlineLevel="1">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row>
    <row r="120" spans="2:46" ht="20" hidden="1" outlineLevel="1">
      <c r="B120" s="443" t="s">
        <v>619</v>
      </c>
      <c r="C120" s="10"/>
      <c r="D120" s="10"/>
      <c r="E120" s="10"/>
      <c r="F120" s="10"/>
      <c r="G120" s="10"/>
      <c r="H120" s="10"/>
      <c r="I120" s="10"/>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row>
    <row r="121" spans="2:46" ht="20" hidden="1" outlineLevel="1">
      <c r="B121" s="443"/>
      <c r="C121" s="10"/>
      <c r="D121" s="10"/>
      <c r="E121" s="10"/>
      <c r="F121" s="10"/>
      <c r="G121"/>
      <c r="H121"/>
      <c r="I121"/>
      <c r="J121"/>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row>
    <row r="122" spans="2:46" ht="16" hidden="1" outlineLevel="1">
      <c r="B122" s="720" t="s">
        <v>623</v>
      </c>
      <c r="C122" s="10"/>
      <c r="D122" s="10"/>
      <c r="E122" s="10"/>
      <c r="F122" s="10"/>
      <c r="G122"/>
      <c r="H122"/>
      <c r="I122"/>
      <c r="J12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row>
    <row r="123" spans="2:46" ht="16" hidden="1" outlineLevel="1">
      <c r="B123" s="10"/>
      <c r="C123" s="10"/>
      <c r="D123" s="10"/>
      <c r="E123" s="10"/>
      <c r="F123" s="10"/>
      <c r="G123"/>
      <c r="H123"/>
      <c r="I123"/>
      <c r="J123"/>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row>
    <row r="124" spans="2:46" ht="23" hidden="1" customHeight="1" outlineLevel="1">
      <c r="B124" s="77" t="s">
        <v>16</v>
      </c>
      <c r="C124" s="77" t="s">
        <v>17</v>
      </c>
      <c r="D124" s="77" t="s">
        <v>18</v>
      </c>
      <c r="E124" s="77" t="s">
        <v>19</v>
      </c>
      <c r="F124"/>
      <c r="G124"/>
      <c r="H124"/>
      <c r="I124"/>
      <c r="J124"/>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row>
    <row r="125" spans="2:46" ht="20" hidden="1" customHeight="1" outlineLevel="1">
      <c r="B125" s="78" t="s">
        <v>1575</v>
      </c>
      <c r="C125" s="79">
        <v>5.48</v>
      </c>
      <c r="D125" s="78" t="s">
        <v>1577</v>
      </c>
      <c r="E125" s="802" t="s">
        <v>1580</v>
      </c>
      <c r="F125"/>
      <c r="G125"/>
      <c r="H125"/>
      <c r="I125"/>
      <c r="J125"/>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row>
    <row r="126" spans="2:46" ht="20" hidden="1" customHeight="1" outlineLevel="1">
      <c r="B126" s="78" t="s">
        <v>1576</v>
      </c>
      <c r="C126" s="79">
        <v>0.79</v>
      </c>
      <c r="D126" s="78" t="s">
        <v>1577</v>
      </c>
      <c r="E126" s="802" t="s">
        <v>1580</v>
      </c>
      <c r="F126"/>
      <c r="G126"/>
      <c r="H126"/>
      <c r="I126"/>
      <c r="J126"/>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row>
    <row r="127" spans="2:46" ht="20" hidden="1" customHeight="1" outlineLevel="1">
      <c r="B127" s="34" t="s">
        <v>587</v>
      </c>
      <c r="C127" s="755">
        <v>0.36</v>
      </c>
      <c r="D127" s="78" t="s">
        <v>1577</v>
      </c>
      <c r="E127" s="802" t="s">
        <v>1580</v>
      </c>
      <c r="F127"/>
      <c r="G127"/>
      <c r="H127"/>
      <c r="I127"/>
      <c r="J127"/>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row>
    <row r="128" spans="2:46" ht="20" hidden="1" customHeight="1" outlineLevel="1">
      <c r="B128" s="78" t="s">
        <v>98</v>
      </c>
      <c r="C128" s="79">
        <v>0.41699999999999998</v>
      </c>
      <c r="D128" s="78" t="s">
        <v>39</v>
      </c>
      <c r="E128" s="802" t="s">
        <v>40</v>
      </c>
      <c r="F128"/>
      <c r="G128"/>
      <c r="H128"/>
      <c r="I128"/>
      <c r="J128"/>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row>
    <row r="129" spans="2:44" ht="20" hidden="1" customHeight="1" outlineLevel="1">
      <c r="B129" s="78" t="s">
        <v>99</v>
      </c>
      <c r="C129" s="79">
        <v>0.20100000000000001</v>
      </c>
      <c r="D129" s="78" t="s">
        <v>39</v>
      </c>
      <c r="E129" s="802" t="s">
        <v>40</v>
      </c>
      <c r="F129"/>
      <c r="G129"/>
      <c r="H129"/>
      <c r="I129"/>
      <c r="J129"/>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row>
    <row r="130" spans="2:44" ht="20" hidden="1" customHeight="1" outlineLevel="1">
      <c r="B130" s="78" t="s">
        <v>100</v>
      </c>
      <c r="C130" s="79">
        <v>0.34399999999999997</v>
      </c>
      <c r="D130" s="78" t="s">
        <v>39</v>
      </c>
      <c r="E130" s="802" t="s">
        <v>40</v>
      </c>
      <c r="F130"/>
      <c r="G130"/>
      <c r="H130"/>
      <c r="I130"/>
      <c r="J130"/>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row>
    <row r="131" spans="2:44" ht="20" hidden="1" customHeight="1" outlineLevel="1">
      <c r="B131" s="78" t="s">
        <v>101</v>
      </c>
      <c r="C131" s="79">
        <v>0.25800000000000001</v>
      </c>
      <c r="D131" s="78" t="s">
        <v>39</v>
      </c>
      <c r="E131" s="802" t="s">
        <v>40</v>
      </c>
      <c r="F131"/>
      <c r="G131" s="10"/>
      <c r="H131" s="10"/>
      <c r="I131" s="10"/>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row>
    <row r="132" spans="2:44" ht="20" hidden="1" customHeight="1" outlineLevel="1">
      <c r="B132" s="78" t="s">
        <v>102</v>
      </c>
      <c r="C132" s="79">
        <v>0.159</v>
      </c>
      <c r="D132" s="78" t="s">
        <v>39</v>
      </c>
      <c r="E132" s="802" t="s">
        <v>40</v>
      </c>
      <c r="F132"/>
      <c r="G132" s="10"/>
      <c r="H132" s="10"/>
      <c r="I132" s="10"/>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row>
    <row r="133" spans="2:44" ht="20" hidden="1" customHeight="1" outlineLevel="1">
      <c r="B133" s="78" t="s">
        <v>103</v>
      </c>
      <c r="C133" s="79">
        <v>0.14699999999999999</v>
      </c>
      <c r="D133" s="78" t="s">
        <v>39</v>
      </c>
      <c r="E133" s="802" t="s">
        <v>40</v>
      </c>
      <c r="F133"/>
      <c r="G133" s="10"/>
      <c r="H133" s="10"/>
      <c r="I133" s="10"/>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row>
    <row r="134" spans="2:44" ht="16" hidden="1" outlineLevel="1">
      <c r="B134" s="10"/>
      <c r="C134" s="10"/>
      <c r="D134" s="10"/>
      <c r="E134" s="10"/>
      <c r="F134" s="10"/>
      <c r="G134" s="10"/>
      <c r="H134" s="10"/>
      <c r="I134" s="10"/>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row>
    <row r="135" spans="2:44" ht="20" hidden="1" outlineLevel="1">
      <c r="B135" s="443" t="s">
        <v>646</v>
      </c>
    </row>
    <row r="136" spans="2:44" hidden="1" outlineLevel="1"/>
    <row r="137" spans="2:44" hidden="1" outlineLevel="1">
      <c r="B137" s="249"/>
      <c r="C137" s="251" t="s">
        <v>334</v>
      </c>
      <c r="D137" s="251" t="s">
        <v>89</v>
      </c>
      <c r="E137" s="251" t="s">
        <v>1588</v>
      </c>
      <c r="F137" s="251" t="s">
        <v>315</v>
      </c>
      <c r="G137" s="251" t="s">
        <v>89</v>
      </c>
    </row>
    <row r="138" spans="2:44" hidden="1" outlineLevel="1">
      <c r="B138" s="53" t="s">
        <v>622</v>
      </c>
      <c r="C138" s="246">
        <f>D60*$D$58</f>
        <v>42954263.186078474</v>
      </c>
      <c r="D138" s="250">
        <f>C138/SUM($C$138:$C$139)</f>
        <v>0.62121212121212122</v>
      </c>
      <c r="E138" s="1724">
        <f>D64</f>
        <v>3.1350000000000002</v>
      </c>
      <c r="F138" s="1724">
        <f>$D$58*D60*D64/1000</f>
        <v>134661.61508835602</v>
      </c>
      <c r="G138" s="250">
        <f>F138/SUM($F$138:$F$141)</f>
        <v>0.67454586193940991</v>
      </c>
    </row>
    <row r="139" spans="2:44" hidden="1" outlineLevel="1">
      <c r="B139" s="53" t="s">
        <v>617</v>
      </c>
      <c r="C139" s="246">
        <f>D61*$D$58</f>
        <v>26191623.893950287</v>
      </c>
      <c r="D139" s="250">
        <f>C139/SUM($C$138:$C$139)</f>
        <v>0.37878787878787878</v>
      </c>
      <c r="E139" s="1724">
        <f>D65</f>
        <v>0.36</v>
      </c>
      <c r="F139" s="1724">
        <f>$D$58*D61*D65/1000</f>
        <v>9428.9846018221033</v>
      </c>
      <c r="G139" s="250">
        <f t="shared" ref="G139:G141" si="1">F139/SUM($F$138:$F$141)</f>
        <v>4.7231592620334446E-2</v>
      </c>
    </row>
    <row r="140" spans="2:44" hidden="1" outlineLevel="1">
      <c r="B140" s="53" t="s">
        <v>332</v>
      </c>
      <c r="C140" s="246">
        <f>D63*$D$59</f>
        <v>30977357.411852885</v>
      </c>
      <c r="D140" s="250">
        <f>C140/SUM($C$141:$C$141)</f>
        <v>0.25</v>
      </c>
      <c r="E140" s="1724">
        <f>D67</f>
        <v>0.41699999999999998</v>
      </c>
      <c r="F140" s="1724">
        <f>$D$59*D62*D66/1000</f>
        <v>42624.84379870956</v>
      </c>
      <c r="G140" s="250">
        <f t="shared" si="1"/>
        <v>0.21351601925587943</v>
      </c>
    </row>
    <row r="141" spans="2:44" hidden="1" outlineLevel="1">
      <c r="B141" s="53" t="s">
        <v>333</v>
      </c>
      <c r="C141" s="246">
        <f>D62*$D$59</f>
        <v>123909429.64741154</v>
      </c>
      <c r="D141" s="250">
        <f>C141/SUM($C$141:$C$141)</f>
        <v>1</v>
      </c>
      <c r="E141" s="1724">
        <f>D66</f>
        <v>0.34399999999999997</v>
      </c>
      <c r="F141" s="1724">
        <f>$D$59*D63*D67/1000</f>
        <v>12917.558040742653</v>
      </c>
      <c r="G141" s="250">
        <f t="shared" si="1"/>
        <v>6.4706526184376265E-2</v>
      </c>
    </row>
    <row r="142" spans="2:44" hidden="1" outlineLevel="1"/>
    <row r="143" spans="2:44" hidden="1" outlineLevel="1"/>
    <row r="144" spans="2:44" hidden="1" outlineLevel="1"/>
    <row r="145" hidden="1" outlineLevel="1"/>
    <row r="146" hidden="1" outlineLevel="1"/>
    <row r="147" hidden="1" outlineLevel="1"/>
    <row r="148" hidden="1" outlineLevel="1"/>
    <row r="149" hidden="1" outlineLevel="1"/>
    <row r="150" hidden="1" outlineLevel="1"/>
    <row r="151" hidden="1" outlineLevel="1"/>
    <row r="152" hidden="1" outlineLevel="1"/>
    <row r="153" hidden="1" outlineLevel="1"/>
    <row r="154" hidden="1" outlineLevel="1"/>
    <row r="155" hidden="1" outlineLevel="1"/>
    <row r="156" hidden="1" outlineLevel="1"/>
    <row r="157" hidden="1" outlineLevel="1"/>
    <row r="158" hidden="1" outlineLevel="1"/>
    <row r="159" hidden="1" outlineLevel="1"/>
    <row r="160" hidden="1" outlineLevel="1"/>
    <row r="161" hidden="1" outlineLevel="1"/>
    <row r="162" hidden="1" outlineLevel="1"/>
    <row r="163" hidden="1" outlineLevel="1"/>
    <row r="164" hidden="1" outlineLevel="1"/>
    <row r="165" hidden="1" outlineLevel="1"/>
    <row r="166" hidden="1" outlineLevel="1"/>
    <row r="167" collapsed="1"/>
  </sheetData>
  <mergeCells count="24">
    <mergeCell ref="B35:G35"/>
    <mergeCell ref="B44:G44"/>
    <mergeCell ref="C11:I11"/>
    <mergeCell ref="D25:G25"/>
    <mergeCell ref="D29:G29"/>
    <mergeCell ref="D28:G28"/>
    <mergeCell ref="D27:G27"/>
    <mergeCell ref="D26:G26"/>
    <mergeCell ref="C14:I14"/>
    <mergeCell ref="C15:I15"/>
    <mergeCell ref="C16:I16"/>
    <mergeCell ref="C12:I12"/>
    <mergeCell ref="C13:I13"/>
    <mergeCell ref="B2:D2"/>
    <mergeCell ref="B5:D5"/>
    <mergeCell ref="C7:D7"/>
    <mergeCell ref="C8:D8"/>
    <mergeCell ref="B10:I10"/>
    <mergeCell ref="B58:B59"/>
    <mergeCell ref="B60:B63"/>
    <mergeCell ref="B64:B67"/>
    <mergeCell ref="B109:D109"/>
    <mergeCell ref="B68:C68"/>
    <mergeCell ref="B107:E108"/>
  </mergeCells>
  <pageMargins left="0.70078740157480324" right="0.70078740157480324" top="0.75196850393700787" bottom="0.75196850393700787" header="0.3" footer="0.3"/>
  <pageSetup paperSize="9" orientation="portrait"/>
  <ignoredErrors>
    <ignoredError sqref="E38 D64" formulaRange="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5E2C-57D0-9D44-9355-BAA9F97832C1}">
  <sheetPr>
    <tabColor rgb="FF92D050"/>
  </sheetPr>
  <dimension ref="A1:Q200"/>
  <sheetViews>
    <sheetView zoomScale="50" zoomScaleNormal="63" workbookViewId="0">
      <selection activeCell="J29" sqref="J29"/>
    </sheetView>
  </sheetViews>
  <sheetFormatPr baseColWidth="10" defaultColWidth="11.5" defaultRowHeight="14" outlineLevelRow="1"/>
  <cols>
    <col min="1" max="1" width="11.6640625" customWidth="1"/>
    <col min="2" max="2" width="49.5" style="257" customWidth="1"/>
    <col min="3" max="3" width="38.1640625" style="257" customWidth="1"/>
    <col min="4" max="4" width="43" style="257" customWidth="1"/>
    <col min="5" max="7" width="35.1640625" style="257" customWidth="1"/>
    <col min="8" max="8" width="38.1640625" style="257" customWidth="1"/>
    <col min="9" max="11" width="34.6640625" style="257" customWidth="1"/>
    <col min="12" max="33" width="16.1640625" style="257" customWidth="1"/>
    <col min="34" max="16384" width="11.5" style="257"/>
  </cols>
  <sheetData>
    <row r="1" spans="2:17" ht="29" customHeight="1">
      <c r="F1" s="32"/>
      <c r="G1" s="32"/>
      <c r="H1" s="32"/>
    </row>
    <row r="2" spans="2:17" ht="29" customHeight="1">
      <c r="B2" s="2005" t="s">
        <v>571</v>
      </c>
      <c r="C2" s="2005"/>
      <c r="D2" s="2005"/>
      <c r="F2" s="32"/>
      <c r="G2" s="32"/>
      <c r="H2" s="32"/>
    </row>
    <row r="3" spans="2:17" ht="29" customHeight="1">
      <c r="F3" s="32"/>
      <c r="G3" s="32"/>
      <c r="H3" s="32"/>
    </row>
    <row r="4" spans="2:17" ht="29" customHeight="1" thickBot="1">
      <c r="F4" s="32"/>
      <c r="G4" s="32"/>
      <c r="H4" s="32"/>
    </row>
    <row r="5" spans="2:17" ht="29" customHeight="1" thickBot="1">
      <c r="B5" s="2255" t="s">
        <v>2</v>
      </c>
      <c r="C5" s="2256"/>
      <c r="D5" s="2257"/>
      <c r="F5" s="32"/>
      <c r="G5" s="32"/>
      <c r="H5" s="32"/>
    </row>
    <row r="6" spans="2:17" ht="29" customHeight="1">
      <c r="B6" s="679" t="s">
        <v>335</v>
      </c>
      <c r="C6" s="667">
        <f>ROUND(D38,-1)</f>
        <v>199630</v>
      </c>
      <c r="D6" s="668" t="s">
        <v>3</v>
      </c>
      <c r="F6" s="32"/>
      <c r="G6" s="32"/>
      <c r="H6" s="32"/>
    </row>
    <row r="7" spans="2:17" ht="29" customHeight="1">
      <c r="B7" s="680" t="s">
        <v>336</v>
      </c>
      <c r="C7" s="681">
        <f>ROUND(E38,-1)</f>
        <v>95170</v>
      </c>
      <c r="D7" s="663" t="s">
        <v>3</v>
      </c>
      <c r="F7" s="32"/>
      <c r="G7" s="32"/>
      <c r="H7" s="32"/>
    </row>
    <row r="8" spans="2:17" ht="29" customHeight="1" thickBot="1">
      <c r="B8" s="682" t="s">
        <v>337</v>
      </c>
      <c r="C8" s="2258">
        <f>(C7-C6)/C6</f>
        <v>-0.52326804588488707</v>
      </c>
      <c r="D8" s="2259"/>
      <c r="E8" s="32"/>
      <c r="F8" s="32"/>
      <c r="G8" s="32"/>
      <c r="H8" s="32"/>
    </row>
    <row r="9" spans="2:17" ht="29" customHeight="1">
      <c r="D9" s="259"/>
      <c r="E9" s="259"/>
      <c r="G9" s="263"/>
      <c r="H9" s="263"/>
      <c r="I9" s="263"/>
      <c r="J9" s="263"/>
      <c r="K9" s="263"/>
      <c r="L9" s="683"/>
      <c r="M9" s="683"/>
      <c r="N9" s="683"/>
      <c r="O9" s="683"/>
      <c r="P9" s="683"/>
      <c r="Q9" s="683"/>
    </row>
    <row r="10" spans="2:17" ht="29" customHeight="1">
      <c r="G10" s="263"/>
      <c r="H10" s="263"/>
      <c r="I10" s="263"/>
      <c r="J10" s="263"/>
      <c r="K10" s="263"/>
      <c r="L10" s="683"/>
      <c r="M10" s="683"/>
      <c r="N10" s="683"/>
      <c r="O10" s="683"/>
      <c r="P10" s="683"/>
      <c r="Q10" s="683"/>
    </row>
    <row r="11" spans="2:17" ht="29" customHeight="1">
      <c r="B11" s="260" t="s">
        <v>338</v>
      </c>
      <c r="H11" s="263"/>
      <c r="I11" s="263"/>
      <c r="J11" s="263"/>
      <c r="K11" s="263"/>
      <c r="L11" s="683"/>
      <c r="M11" s="683"/>
      <c r="N11" s="683"/>
      <c r="O11" s="683"/>
      <c r="P11" s="683"/>
      <c r="Q11" s="683"/>
    </row>
    <row r="12" spans="2:17" ht="29" customHeight="1" thickBot="1">
      <c r="H12" s="263"/>
      <c r="I12" s="263"/>
      <c r="J12" s="263"/>
      <c r="K12" s="263"/>
    </row>
    <row r="13" spans="2:17" ht="36" customHeight="1" thickBot="1">
      <c r="B13" s="684" t="s">
        <v>339</v>
      </c>
      <c r="C13" s="685" t="s">
        <v>340</v>
      </c>
      <c r="D13" s="686" t="s">
        <v>572</v>
      </c>
      <c r="E13" s="687" t="s">
        <v>341</v>
      </c>
      <c r="F13" s="688" t="s">
        <v>573</v>
      </c>
      <c r="G13" s="687" t="s">
        <v>341</v>
      </c>
      <c r="H13" s="689" t="s">
        <v>574</v>
      </c>
      <c r="I13" s="263"/>
      <c r="J13" s="263"/>
      <c r="K13" s="263"/>
    </row>
    <row r="14" spans="2:17" ht="29" customHeight="1">
      <c r="H14" s="263"/>
      <c r="I14" s="263"/>
      <c r="J14" s="263"/>
      <c r="K14" s="263"/>
    </row>
    <row r="15" spans="2:17" ht="29" customHeight="1">
      <c r="B15" s="260" t="s">
        <v>361</v>
      </c>
      <c r="G15" s="263"/>
    </row>
    <row r="16" spans="2:17" ht="29" hidden="1" customHeight="1" outlineLevel="1">
      <c r="B16" s="260"/>
      <c r="G16" s="263"/>
    </row>
    <row r="17" spans="2:12" ht="29" hidden="1" customHeight="1" outlineLevel="1">
      <c r="B17" s="295" t="s">
        <v>362</v>
      </c>
      <c r="G17" s="263"/>
      <c r="H17" s="295" t="s">
        <v>363</v>
      </c>
      <c r="I17"/>
      <c r="J17"/>
      <c r="K17"/>
      <c r="L17"/>
    </row>
    <row r="18" spans="2:12" ht="29" hidden="1" customHeight="1" outlineLevel="1" thickBot="1">
      <c r="B18" s="295"/>
      <c r="G18" s="263"/>
      <c r="I18"/>
      <c r="J18"/>
      <c r="K18"/>
      <c r="L18"/>
    </row>
    <row r="19" spans="2:12" ht="40" hidden="1" customHeight="1" outlineLevel="1" thickBot="1">
      <c r="B19" s="32"/>
      <c r="C19" s="804"/>
      <c r="D19" s="297">
        <v>2022</v>
      </c>
      <c r="E19" s="297">
        <v>2050</v>
      </c>
      <c r="G19" s="263"/>
      <c r="H19" s="2302" t="s">
        <v>364</v>
      </c>
      <c r="I19" s="2303"/>
      <c r="J19" s="2303"/>
      <c r="K19" s="2304"/>
      <c r="L19"/>
    </row>
    <row r="20" spans="2:12" ht="44" hidden="1" customHeight="1" outlineLevel="1">
      <c r="B20" s="2305" t="s">
        <v>575</v>
      </c>
      <c r="C20" s="690" t="s">
        <v>576</v>
      </c>
      <c r="D20" s="691">
        <f>'5. Alimentaire'!D58</f>
        <v>69145887.080028757</v>
      </c>
      <c r="E20" s="692">
        <f>D20</f>
        <v>69145887.080028757</v>
      </c>
      <c r="G20" s="263"/>
      <c r="H20" s="1796"/>
      <c r="I20" s="1794">
        <v>2022</v>
      </c>
      <c r="J20" s="1795">
        <v>2050</v>
      </c>
      <c r="K20" s="1797" t="s">
        <v>367</v>
      </c>
      <c r="L20"/>
    </row>
    <row r="21" spans="2:12" ht="44" hidden="1" customHeight="1" outlineLevel="1" thickBot="1">
      <c r="B21" s="2306"/>
      <c r="C21" s="704" t="s">
        <v>577</v>
      </c>
      <c r="D21" s="813">
        <f>'5. Alimentaire'!D59</f>
        <v>154886787.05926442</v>
      </c>
      <c r="E21" s="810">
        <f>D21</f>
        <v>154886787.05926442</v>
      </c>
      <c r="H21" s="306" t="s">
        <v>369</v>
      </c>
      <c r="I21" s="694">
        <f>D38</f>
        <v>199633.00152963036</v>
      </c>
      <c r="J21" s="694"/>
      <c r="K21" s="663"/>
      <c r="L21"/>
    </row>
    <row r="22" spans="2:12" ht="38" hidden="1" customHeight="1" outlineLevel="1" thickBot="1">
      <c r="B22" s="2296" t="s">
        <v>578</v>
      </c>
      <c r="C22" s="2293" t="s">
        <v>27</v>
      </c>
      <c r="D22" s="2294"/>
      <c r="E22" s="2295"/>
      <c r="H22" s="693" t="s">
        <v>579</v>
      </c>
      <c r="I22" s="694">
        <f>D21*SUMPRODUCT(D26:D27,E36:E37)/1000+D20*SUMPRODUCT(D23:D24,D31:D32)/1000</f>
        <v>182285.68137899274</v>
      </c>
      <c r="J22" s="1339">
        <f>I21-I22</f>
        <v>17347.320150637621</v>
      </c>
      <c r="K22" s="310">
        <f>J22/$I$21</f>
        <v>8.6896054348323065E-2</v>
      </c>
      <c r="L22"/>
    </row>
    <row r="23" spans="2:12" ht="44" hidden="1" customHeight="1" outlineLevel="1">
      <c r="B23" s="2297"/>
      <c r="C23" s="695" t="str">
        <f>'5. Alimentaire'!C60</f>
        <v>Plats et snacks à dominante animale</v>
      </c>
      <c r="D23" s="814">
        <f>'5. Alimentaire'!D60</f>
        <v>0.62121212121212122</v>
      </c>
      <c r="E23" s="1708">
        <v>0.2</v>
      </c>
      <c r="F23"/>
      <c r="G23"/>
      <c r="H23" s="696" t="s">
        <v>580</v>
      </c>
      <c r="I23" s="694">
        <f>D21*SUMPRODUCT(D26:D27,E36:E37)/1000+D20*SUMPRODUCT(E23:E24,E31:E32)/1000</f>
        <v>95171.292642758301</v>
      </c>
      <c r="J23" s="1339">
        <f t="shared" ref="J23:J24" si="0">I22-I23</f>
        <v>87114.388736234439</v>
      </c>
      <c r="K23" s="310">
        <f>J23/$I$21</f>
        <v>0.43637268421927</v>
      </c>
      <c r="L23" s="852"/>
    </row>
    <row r="24" spans="2:12" ht="44" hidden="1" customHeight="1" outlineLevel="1" thickBot="1">
      <c r="B24" s="2297"/>
      <c r="C24" s="808" t="str">
        <f>'5. Alimentaire'!C61</f>
        <v>Plats et snacks végétariens</v>
      </c>
      <c r="D24" s="1709">
        <f>'5. Alimentaire'!D61</f>
        <v>0.37878787878787878</v>
      </c>
      <c r="E24" s="705">
        <v>0.8</v>
      </c>
      <c r="F24"/>
      <c r="G24"/>
      <c r="H24" s="699" t="s">
        <v>581</v>
      </c>
      <c r="I24" s="700">
        <f>I23</f>
        <v>95171.292642758301</v>
      </c>
      <c r="J24" s="1798">
        <f t="shared" si="0"/>
        <v>0</v>
      </c>
      <c r="K24" s="701"/>
      <c r="L24"/>
    </row>
    <row r="25" spans="2:12" ht="44" hidden="1" customHeight="1" outlineLevel="1" thickBot="1">
      <c r="B25" s="2297"/>
      <c r="C25" s="2293" t="s">
        <v>224</v>
      </c>
      <c r="D25" s="2294"/>
      <c r="E25" s="2295"/>
      <c r="F25"/>
      <c r="G25"/>
    </row>
    <row r="26" spans="2:12" ht="38" hidden="1" customHeight="1" outlineLevel="1">
      <c r="B26" s="2297"/>
      <c r="C26" s="690" t="s">
        <v>582</v>
      </c>
      <c r="D26" s="814">
        <f>'5. Alimentaire'!D62</f>
        <v>0.8</v>
      </c>
      <c r="E26" s="812">
        <v>0</v>
      </c>
      <c r="F26"/>
      <c r="G26"/>
    </row>
    <row r="27" spans="2:12" ht="44" hidden="1" customHeight="1" outlineLevel="1">
      <c r="B27" s="2297"/>
      <c r="C27" s="702" t="s">
        <v>583</v>
      </c>
      <c r="D27" s="815">
        <f>'5. Alimentaire'!D63</f>
        <v>0.2</v>
      </c>
      <c r="E27" s="703">
        <v>0</v>
      </c>
      <c r="G27" s="263"/>
    </row>
    <row r="28" spans="2:12" ht="44" hidden="1" customHeight="1" outlineLevel="1">
      <c r="B28" s="2297"/>
      <c r="C28" s="702" t="s">
        <v>584</v>
      </c>
      <c r="D28" s="803">
        <v>0</v>
      </c>
      <c r="E28" s="698">
        <f>C67</f>
        <v>0.8</v>
      </c>
      <c r="G28" s="263"/>
      <c r="H28" s="32"/>
      <c r="I28" s="35"/>
      <c r="J28" s="35"/>
      <c r="K28" s="1799"/>
    </row>
    <row r="29" spans="2:12" ht="44" hidden="1" customHeight="1" outlineLevel="1" thickBot="1">
      <c r="B29" s="2298"/>
      <c r="C29" s="704" t="s">
        <v>585</v>
      </c>
      <c r="D29" s="816">
        <v>0</v>
      </c>
      <c r="E29" s="705">
        <f>C68</f>
        <v>0.2</v>
      </c>
      <c r="G29" s="263"/>
      <c r="H29" s="32"/>
      <c r="I29" s="1746"/>
      <c r="J29" s="1366"/>
      <c r="K29" s="1366"/>
    </row>
    <row r="30" spans="2:12" ht="38" hidden="1" customHeight="1" outlineLevel="1" thickBot="1">
      <c r="B30" s="2299" t="s">
        <v>586</v>
      </c>
      <c r="C30" s="2293" t="s">
        <v>27</v>
      </c>
      <c r="D30" s="2294"/>
      <c r="E30" s="2295"/>
      <c r="G30" s="263"/>
      <c r="H30" s="1791"/>
      <c r="I30" s="1746"/>
      <c r="J30" s="1366"/>
      <c r="K30" s="1366"/>
    </row>
    <row r="31" spans="2:12" ht="44" hidden="1" customHeight="1" outlineLevel="1">
      <c r="B31" s="2300"/>
      <c r="C31" s="809" t="str">
        <f>'5. Alimentaire'!C64</f>
        <v>FE plats et snacks à dominante animale (kgCO2e/repas)</v>
      </c>
      <c r="D31" s="817">
        <f>'5. Alimentaire'!D64</f>
        <v>3.1350000000000002</v>
      </c>
      <c r="E31" s="811">
        <v>2.92</v>
      </c>
      <c r="F31" s="1710"/>
      <c r="G31" s="263"/>
      <c r="H31" s="1791"/>
      <c r="I31" s="1746"/>
      <c r="J31" s="1366"/>
      <c r="K31" s="1366"/>
    </row>
    <row r="32" spans="2:12" ht="44" hidden="1" customHeight="1" outlineLevel="1">
      <c r="B32" s="2300"/>
      <c r="C32" s="707" t="str">
        <f>'5. Alimentaire'!C65</f>
        <v>FE plats et snacks végétariens (kgCO2e/repas)</v>
      </c>
      <c r="D32" s="818">
        <f>'5. Alimentaire'!D65</f>
        <v>0.36</v>
      </c>
      <c r="E32" s="708">
        <v>0.3</v>
      </c>
      <c r="G32" s="263"/>
      <c r="H32" s="1791"/>
      <c r="I32" s="1746"/>
      <c r="J32" s="1366"/>
      <c r="K32" s="1366"/>
    </row>
    <row r="33" spans="2:11" ht="38" hidden="1" customHeight="1" outlineLevel="1" thickBot="1">
      <c r="B33" s="2300"/>
      <c r="C33" s="2293" t="s">
        <v>224</v>
      </c>
      <c r="D33" s="2294"/>
      <c r="E33" s="2295"/>
      <c r="G33" s="263"/>
      <c r="H33" s="1791"/>
      <c r="I33" s="1746"/>
      <c r="J33" s="1366"/>
      <c r="K33" s="1366"/>
    </row>
    <row r="34" spans="2:11" ht="44" hidden="1" customHeight="1" outlineLevel="1">
      <c r="B34" s="2300"/>
      <c r="C34" s="809" t="s">
        <v>100</v>
      </c>
      <c r="D34" s="819">
        <f>'5. Alimentaire'!D66</f>
        <v>0.34399999999999997</v>
      </c>
      <c r="E34" s="811">
        <v>0</v>
      </c>
      <c r="G34" s="263"/>
      <c r="H34" s="32"/>
    </row>
    <row r="35" spans="2:11" ht="44" hidden="1" customHeight="1" outlineLevel="1">
      <c r="B35" s="2300"/>
      <c r="C35" s="707" t="s">
        <v>98</v>
      </c>
      <c r="D35" s="709">
        <f>'5. Alimentaire'!D67</f>
        <v>0.41699999999999998</v>
      </c>
      <c r="E35" s="708">
        <v>0</v>
      </c>
      <c r="G35" s="263"/>
      <c r="H35" s="32"/>
    </row>
    <row r="36" spans="2:11" ht="44" hidden="1" customHeight="1" outlineLevel="1">
      <c r="B36" s="2300"/>
      <c r="C36" s="707" t="s">
        <v>101</v>
      </c>
      <c r="D36" s="820">
        <v>0</v>
      </c>
      <c r="E36" s="708">
        <f>'5. Alimentaire'!C131</f>
        <v>0.25800000000000001</v>
      </c>
      <c r="G36" s="263"/>
      <c r="H36" s="32"/>
    </row>
    <row r="37" spans="2:11" ht="44" hidden="1" customHeight="1" outlineLevel="1" thickBot="1">
      <c r="B37" s="2301"/>
      <c r="C37" s="710" t="s">
        <v>99</v>
      </c>
      <c r="D37" s="821">
        <v>0</v>
      </c>
      <c r="E37" s="711">
        <f>'5. Alimentaire'!C129</f>
        <v>0.20100000000000001</v>
      </c>
      <c r="G37" s="263"/>
      <c r="H37" s="32"/>
    </row>
    <row r="38" spans="2:11" ht="44" hidden="1" customHeight="1" outlineLevel="1" thickBot="1">
      <c r="B38" s="712" t="s">
        <v>339</v>
      </c>
      <c r="C38" s="713" t="s">
        <v>588</v>
      </c>
      <c r="D38" s="714">
        <f>(D20*SUMPRODUCT(D23:D24,D31:D32)+D21*SUMPRODUCT(D26:D29,D34:D37))/1000</f>
        <v>199633.00152963036</v>
      </c>
      <c r="E38" s="714">
        <f>(E20*SUMPRODUCT(E23:E24,E31:E32)+E21*SUMPRODUCT(E26:E29,E34:E37))/1000</f>
        <v>95171.292642758315</v>
      </c>
      <c r="F38" s="715"/>
      <c r="G38" s="263"/>
      <c r="H38" s="32"/>
    </row>
    <row r="39" spans="2:11" ht="29" customHeight="1" collapsed="1">
      <c r="D39" s="716"/>
      <c r="E39" s="717"/>
      <c r="F39" s="718"/>
      <c r="G39" s="263"/>
      <c r="H39" s="32"/>
    </row>
    <row r="40" spans="2:11" ht="29" customHeight="1">
      <c r="B40" s="327" t="s">
        <v>379</v>
      </c>
      <c r="D40" s="719"/>
      <c r="E40" s="719"/>
      <c r="H40" s="32"/>
    </row>
    <row r="41" spans="2:11" ht="29" customHeight="1">
      <c r="B41" s="327"/>
      <c r="H41" s="32"/>
    </row>
    <row r="42" spans="2:11" ht="23" customHeight="1">
      <c r="B42" s="295" t="s">
        <v>589</v>
      </c>
      <c r="H42" s="32"/>
    </row>
    <row r="43" spans="2:11" ht="23" customHeight="1">
      <c r="B43" s="720" t="s">
        <v>265</v>
      </c>
      <c r="H43" s="32"/>
    </row>
    <row r="44" spans="2:11" ht="23" customHeight="1">
      <c r="B44" s="721" t="s">
        <v>590</v>
      </c>
      <c r="H44" s="32"/>
    </row>
    <row r="45" spans="2:11" ht="23" customHeight="1">
      <c r="B45" s="722"/>
      <c r="C45" s="722"/>
      <c r="D45" s="722"/>
      <c r="E45" s="722"/>
      <c r="H45" s="32"/>
    </row>
    <row r="46" spans="2:11" ht="29" customHeight="1">
      <c r="B46" s="295" t="s">
        <v>591</v>
      </c>
      <c r="C46"/>
      <c r="D46" s="722"/>
      <c r="H46" s="32"/>
    </row>
    <row r="47" spans="2:11" ht="29" hidden="1" customHeight="1" outlineLevel="1">
      <c r="B47" s="723" t="s">
        <v>592</v>
      </c>
      <c r="C47" s="723"/>
      <c r="D47" s="722"/>
      <c r="E47" s="722"/>
      <c r="H47" s="32"/>
    </row>
    <row r="48" spans="2:11" ht="21" hidden="1" customHeight="1" outlineLevel="1">
      <c r="B48" s="35" t="s">
        <v>426</v>
      </c>
      <c r="C48" s="32"/>
      <c r="D48" s="32"/>
      <c r="E48" s="32"/>
      <c r="H48" s="32"/>
    </row>
    <row r="49" spans="2:10" ht="25" hidden="1" customHeight="1" outlineLevel="1">
      <c r="B49" s="82" t="s">
        <v>628</v>
      </c>
      <c r="C49" s="32"/>
      <c r="D49" s="32"/>
      <c r="E49" s="32"/>
      <c r="H49" s="32"/>
    </row>
    <row r="50" spans="2:10" ht="25" hidden="1" customHeight="1" outlineLevel="1">
      <c r="B50" s="32"/>
      <c r="C50" s="32"/>
      <c r="D50" s="32"/>
      <c r="E50" s="32"/>
      <c r="G50"/>
      <c r="H50"/>
      <c r="I50"/>
      <c r="J50"/>
    </row>
    <row r="51" spans="2:10" ht="25" hidden="1" customHeight="1" outlineLevel="1">
      <c r="B51" s="724" t="s">
        <v>27</v>
      </c>
      <c r="C51"/>
      <c r="D51"/>
      <c r="E51"/>
      <c r="G51"/>
      <c r="H51"/>
      <c r="I51"/>
      <c r="J51"/>
    </row>
    <row r="52" spans="2:10" ht="32" hidden="1" customHeight="1" outlineLevel="1">
      <c r="B52" s="725" t="s">
        <v>16</v>
      </c>
      <c r="C52" s="726" t="s">
        <v>17</v>
      </c>
      <c r="D52" s="726" t="s">
        <v>18</v>
      </c>
      <c r="E52" s="727" t="s">
        <v>26</v>
      </c>
      <c r="F52"/>
      <c r="G52"/>
      <c r="H52"/>
      <c r="I52"/>
      <c r="J52"/>
    </row>
    <row r="53" spans="2:10" ht="32" hidden="1" customHeight="1" outlineLevel="1">
      <c r="B53" s="264" t="s">
        <v>593</v>
      </c>
      <c r="C53" s="694">
        <f>D20</f>
        <v>69145887.080028757</v>
      </c>
      <c r="D53" s="264"/>
      <c r="E53" s="728"/>
      <c r="F53"/>
      <c r="G53"/>
      <c r="H53"/>
      <c r="I53"/>
      <c r="J53"/>
    </row>
    <row r="54" spans="2:10" ht="27" hidden="1" customHeight="1" outlineLevel="1">
      <c r="B54" s="729" t="s">
        <v>624</v>
      </c>
      <c r="C54" s="730">
        <f>E24</f>
        <v>0.8</v>
      </c>
      <c r="D54" s="728"/>
      <c r="E54" s="731"/>
      <c r="F54"/>
      <c r="G54"/>
      <c r="H54"/>
      <c r="I54"/>
      <c r="J54"/>
    </row>
    <row r="55" spans="2:10" ht="27" hidden="1" customHeight="1" outlineLevel="1">
      <c r="B55" s="729" t="s">
        <v>625</v>
      </c>
      <c r="C55" s="730">
        <f>E23</f>
        <v>0.2</v>
      </c>
      <c r="D55" s="728"/>
      <c r="E55" s="805"/>
      <c r="F55"/>
      <c r="G55"/>
      <c r="H55"/>
      <c r="I55"/>
      <c r="J55"/>
    </row>
    <row r="56" spans="2:10" ht="27" hidden="1" customHeight="1" outlineLevel="1">
      <c r="B56" s="732" t="s">
        <v>626</v>
      </c>
      <c r="C56" s="733">
        <f>E32</f>
        <v>0.3</v>
      </c>
      <c r="D56" s="264" t="s">
        <v>594</v>
      </c>
      <c r="E56" s="735"/>
      <c r="F56"/>
      <c r="G56"/>
      <c r="H56"/>
      <c r="I56"/>
      <c r="J56"/>
    </row>
    <row r="57" spans="2:10" ht="27" hidden="1" customHeight="1" outlineLevel="1">
      <c r="B57" s="732" t="s">
        <v>627</v>
      </c>
      <c r="C57" s="733">
        <f>E31</f>
        <v>2.92</v>
      </c>
      <c r="D57" s="264" t="s">
        <v>594</v>
      </c>
      <c r="E57" s="735" t="s">
        <v>629</v>
      </c>
      <c r="F57"/>
      <c r="G57"/>
      <c r="H57"/>
      <c r="I57"/>
      <c r="J57"/>
    </row>
    <row r="58" spans="2:10" ht="29" hidden="1" customHeight="1" outlineLevel="1">
      <c r="B58" s="734" t="s">
        <v>595</v>
      </c>
      <c r="C58" s="806">
        <f>C53*SUMPRODUCT(C54:C55,C56:C57)/1000</f>
        <v>56976.210953943693</v>
      </c>
      <c r="D58" s="270" t="s">
        <v>123</v>
      </c>
      <c r="E58" s="735"/>
      <c r="F58"/>
    </row>
    <row r="59" spans="2:10" ht="34" hidden="1" customHeight="1" outlineLevel="1">
      <c r="B59" s="736"/>
      <c r="C59" s="737"/>
      <c r="D59" s="32"/>
      <c r="E59" s="261"/>
      <c r="G59" s="736"/>
      <c r="H59" s="738"/>
      <c r="I59" s="32"/>
    </row>
    <row r="60" spans="2:10" ht="29" hidden="1" customHeight="1" outlineLevel="1">
      <c r="B60" s="739" t="s">
        <v>596</v>
      </c>
      <c r="C60" s="737"/>
      <c r="D60" s="32"/>
      <c r="E60" s="261"/>
      <c r="G60" s="736"/>
      <c r="H60" s="738"/>
      <c r="I60" s="32"/>
    </row>
    <row r="61" spans="2:10" ht="29" hidden="1" customHeight="1" outlineLevel="1">
      <c r="B61" s="35" t="s">
        <v>426</v>
      </c>
      <c r="C61" s="737"/>
      <c r="D61" s="32"/>
      <c r="E61" s="261"/>
      <c r="G61" s="736"/>
      <c r="H61" s="738"/>
      <c r="I61" s="32"/>
    </row>
    <row r="62" spans="2:10" ht="29" hidden="1" customHeight="1" outlineLevel="1">
      <c r="B62" s="82" t="s">
        <v>630</v>
      </c>
      <c r="C62" s="737"/>
      <c r="D62" s="32"/>
      <c r="E62" s="261"/>
      <c r="G62" s="736"/>
      <c r="H62" s="738"/>
      <c r="I62" s="32"/>
    </row>
    <row r="63" spans="2:10" ht="29" hidden="1" customHeight="1" outlineLevel="1">
      <c r="B63" s="32"/>
      <c r="C63" s="737"/>
      <c r="D63" s="32"/>
      <c r="E63" s="261"/>
      <c r="G63" s="736"/>
      <c r="H63" s="738"/>
      <c r="I63" s="32"/>
    </row>
    <row r="64" spans="2:10" ht="29" hidden="1" customHeight="1" outlineLevel="1">
      <c r="B64" s="724" t="s">
        <v>224</v>
      </c>
      <c r="C64" s="32"/>
      <c r="D64" s="32"/>
      <c r="E64" s="740"/>
      <c r="F64" s="32"/>
    </row>
    <row r="65" spans="2:9" ht="29" hidden="1" customHeight="1" outlineLevel="1">
      <c r="B65" s="726" t="s">
        <v>16</v>
      </c>
      <c r="C65" s="726" t="s">
        <v>17</v>
      </c>
      <c r="D65" s="726" t="s">
        <v>18</v>
      </c>
      <c r="E65" s="727" t="s">
        <v>26</v>
      </c>
      <c r="F65" s="32"/>
      <c r="G65" s="741"/>
      <c r="H65" s="738"/>
      <c r="I65" s="32"/>
    </row>
    <row r="66" spans="2:9" ht="29" hidden="1" customHeight="1" outlineLevel="1">
      <c r="B66" s="264" t="s">
        <v>597</v>
      </c>
      <c r="C66" s="742">
        <f>E21</f>
        <v>154886787.05926442</v>
      </c>
      <c r="D66" s="264"/>
      <c r="E66" s="743"/>
      <c r="F66" s="32"/>
      <c r="G66" s="741"/>
      <c r="H66" s="738"/>
      <c r="I66" s="32"/>
    </row>
    <row r="67" spans="2:9" ht="29" hidden="1" customHeight="1" outlineLevel="1">
      <c r="B67" s="729" t="s">
        <v>598</v>
      </c>
      <c r="C67" s="730">
        <v>0.8</v>
      </c>
      <c r="D67" s="728"/>
      <c r="E67" s="744"/>
      <c r="F67" s="32"/>
    </row>
    <row r="68" spans="2:9" ht="29" hidden="1" customHeight="1" outlineLevel="1">
      <c r="B68" s="729" t="s">
        <v>599</v>
      </c>
      <c r="C68" s="730">
        <v>0.2</v>
      </c>
      <c r="D68" s="728"/>
      <c r="E68" s="744"/>
      <c r="F68" s="32"/>
    </row>
    <row r="69" spans="2:9" ht="29" hidden="1" customHeight="1" outlineLevel="1">
      <c r="B69" s="732" t="str">
        <f>C36</f>
        <v>FE bière bio et locale, 25 cl</v>
      </c>
      <c r="C69" s="733">
        <f>E36</f>
        <v>0.25800000000000001</v>
      </c>
      <c r="D69" s="264"/>
      <c r="E69" s="735"/>
      <c r="F69" s="32"/>
    </row>
    <row r="70" spans="2:9" ht="29" hidden="1" customHeight="1" outlineLevel="1">
      <c r="B70" s="732" t="str">
        <f>C37</f>
        <v>FE Soda bio circuit court, 33 cl</v>
      </c>
      <c r="C70" s="733">
        <f>E37</f>
        <v>0.20100000000000001</v>
      </c>
      <c r="D70" s="270"/>
      <c r="E70" s="735"/>
      <c r="F70" s="32"/>
      <c r="G70" s="741"/>
    </row>
    <row r="71" spans="2:9" ht="29" hidden="1" customHeight="1" outlineLevel="1">
      <c r="B71" s="734" t="s">
        <v>595</v>
      </c>
      <c r="C71" s="806">
        <f>C66*SUMPRODUCT(C67:C68,C69:C70)/1000</f>
        <v>38195.081688814607</v>
      </c>
      <c r="D71" s="270" t="s">
        <v>123</v>
      </c>
      <c r="E71" s="735"/>
      <c r="F71" s="32"/>
      <c r="G71" s="32"/>
    </row>
    <row r="72" spans="2:9" ht="29" customHeight="1" collapsed="1">
      <c r="B72" s="736"/>
      <c r="C72" s="745"/>
      <c r="D72" s="35"/>
      <c r="E72" s="261"/>
      <c r="F72" s="32"/>
      <c r="G72" s="32"/>
    </row>
    <row r="73" spans="2:9" ht="29" customHeight="1" thickBot="1">
      <c r="B73" s="32"/>
      <c r="C73" s="32"/>
      <c r="D73" s="32"/>
      <c r="E73" s="32"/>
      <c r="G73" s="32"/>
      <c r="H73" s="738"/>
      <c r="I73" s="32"/>
    </row>
    <row r="74" spans="2:9" ht="42" customHeight="1" thickBot="1">
      <c r="B74" s="746" t="s">
        <v>600</v>
      </c>
      <c r="C74" s="747">
        <f>C71+C58</f>
        <v>95171.292642758301</v>
      </c>
      <c r="D74" s="748" t="s">
        <v>123</v>
      </c>
    </row>
    <row r="75" spans="2:9" ht="29" customHeight="1"/>
    <row r="76" spans="2:9" ht="29" customHeight="1">
      <c r="B76"/>
      <c r="C76"/>
      <c r="D76"/>
      <c r="E76"/>
      <c r="F76"/>
    </row>
    <row r="77" spans="2:9" ht="29" customHeight="1"/>
    <row r="78" spans="2:9" ht="29" customHeight="1"/>
    <row r="79" spans="2:9" ht="29" customHeight="1">
      <c r="C79" s="860"/>
    </row>
    <row r="80" spans="2:9" ht="29" customHeight="1"/>
    <row r="81" ht="29" customHeight="1"/>
    <row r="82" ht="29" customHeight="1"/>
    <row r="83" ht="29" customHeight="1"/>
    <row r="84" ht="29" customHeight="1"/>
    <row r="85" ht="29" customHeight="1"/>
    <row r="86" ht="29" customHeight="1"/>
    <row r="87" ht="29" customHeight="1"/>
    <row r="88" ht="29" customHeight="1"/>
    <row r="89" ht="29" customHeight="1"/>
    <row r="90" ht="29" customHeight="1"/>
    <row r="91" ht="29" customHeight="1"/>
    <row r="92" ht="29" customHeight="1"/>
    <row r="93" ht="29" customHeight="1"/>
    <row r="94" ht="29" customHeight="1"/>
    <row r="95" ht="29" customHeight="1"/>
    <row r="96" ht="29" customHeight="1"/>
    <row r="97" ht="29" customHeight="1"/>
    <row r="98" ht="29" customHeight="1"/>
    <row r="99" ht="29" customHeight="1"/>
    <row r="100" ht="29" customHeight="1"/>
    <row r="101" ht="29" customHeight="1"/>
    <row r="102" ht="29" customHeight="1"/>
    <row r="103" ht="29" customHeight="1"/>
    <row r="104" ht="29" customHeight="1"/>
    <row r="105" ht="29" customHeight="1"/>
    <row r="106" ht="29" customHeight="1"/>
    <row r="107" ht="29" customHeight="1"/>
    <row r="108" ht="29" customHeight="1"/>
    <row r="109" ht="29" customHeight="1"/>
    <row r="110" ht="29" customHeight="1"/>
    <row r="111" ht="29" customHeight="1"/>
    <row r="112" ht="29" customHeight="1"/>
    <row r="113" ht="29" customHeight="1"/>
    <row r="114" ht="29" customHeight="1"/>
    <row r="115" ht="29" customHeight="1"/>
    <row r="116" ht="29" customHeight="1"/>
    <row r="117" ht="29" customHeight="1"/>
    <row r="118" ht="29" customHeight="1"/>
    <row r="119" ht="29" customHeight="1"/>
    <row r="120" ht="29" customHeight="1"/>
    <row r="121" ht="29" customHeight="1"/>
    <row r="122" ht="29" customHeight="1"/>
    <row r="123" ht="29" customHeight="1"/>
    <row r="124" ht="29" customHeight="1"/>
    <row r="125" ht="29" customHeight="1"/>
    <row r="126" ht="29" customHeight="1"/>
    <row r="127" ht="29" customHeight="1"/>
    <row r="128" ht="29" customHeight="1"/>
    <row r="129" ht="29" customHeight="1"/>
    <row r="130" ht="29" customHeight="1"/>
    <row r="131" ht="29" customHeight="1"/>
    <row r="132" ht="29" customHeight="1"/>
    <row r="133" ht="29" customHeight="1"/>
    <row r="134" ht="29" customHeight="1"/>
    <row r="135" ht="29" customHeight="1"/>
    <row r="136" ht="29" customHeight="1"/>
    <row r="137" ht="29" customHeight="1"/>
    <row r="138" ht="29" customHeight="1"/>
    <row r="139" ht="29" customHeight="1"/>
    <row r="140" ht="29" customHeight="1"/>
    <row r="141" ht="29" customHeight="1"/>
    <row r="142" ht="29" customHeight="1"/>
    <row r="143" ht="29" customHeight="1"/>
    <row r="144" ht="29" customHeight="1"/>
    <row r="145" ht="29" customHeight="1"/>
    <row r="146" ht="29" customHeight="1"/>
    <row r="147" ht="29" customHeight="1"/>
    <row r="148" ht="29" customHeight="1"/>
    <row r="149" ht="29" customHeight="1"/>
    <row r="150" ht="29" customHeight="1"/>
    <row r="151" ht="29" customHeight="1"/>
    <row r="152" ht="29" customHeight="1"/>
    <row r="153" ht="29" customHeight="1"/>
    <row r="154" ht="29" customHeight="1"/>
    <row r="155" ht="29" customHeight="1"/>
    <row r="156" ht="29" customHeight="1"/>
    <row r="157" ht="29" customHeight="1"/>
    <row r="158" ht="29" customHeight="1"/>
    <row r="159" ht="29" customHeight="1"/>
    <row r="160" ht="29" customHeight="1"/>
    <row r="161" ht="29" customHeight="1"/>
    <row r="162" ht="29" customHeight="1"/>
    <row r="163" ht="29" customHeight="1"/>
    <row r="164" ht="29" customHeight="1"/>
    <row r="165" ht="29" customHeight="1"/>
    <row r="166" ht="29" customHeight="1"/>
    <row r="167" ht="29" customHeight="1"/>
    <row r="168" ht="29" customHeight="1"/>
    <row r="169" ht="29" customHeight="1"/>
    <row r="170" ht="29" customHeight="1"/>
    <row r="171" ht="29" customHeight="1"/>
    <row r="172" ht="29" customHeight="1"/>
    <row r="173" ht="29" customHeight="1"/>
    <row r="174" ht="29" customHeight="1"/>
    <row r="175" ht="29" customHeight="1"/>
    <row r="176" ht="29" customHeight="1"/>
    <row r="177" ht="29" customHeight="1"/>
    <row r="178" ht="29" customHeight="1"/>
    <row r="179" ht="29" customHeight="1"/>
    <row r="180" ht="29" customHeight="1"/>
    <row r="181" ht="29" customHeight="1"/>
    <row r="182" ht="29" customHeight="1"/>
    <row r="183" ht="29" customHeight="1"/>
    <row r="184" ht="29" customHeight="1"/>
    <row r="185" ht="29" customHeight="1"/>
    <row r="186" ht="29" customHeight="1"/>
    <row r="187" ht="29" customHeight="1"/>
    <row r="188" ht="29" customHeight="1"/>
    <row r="189" ht="29" customHeight="1"/>
    <row r="190" ht="29" customHeight="1"/>
    <row r="191" ht="29" customHeight="1"/>
    <row r="192" ht="29" customHeight="1"/>
    <row r="193" ht="29" customHeight="1"/>
    <row r="194" ht="29" customHeight="1"/>
    <row r="195" ht="29" customHeight="1"/>
    <row r="196" ht="29" customHeight="1"/>
    <row r="197" ht="29" customHeight="1"/>
    <row r="198" ht="29" customHeight="1"/>
    <row r="199" ht="29" customHeight="1"/>
    <row r="200" ht="29" customHeight="1"/>
  </sheetData>
  <mergeCells count="11">
    <mergeCell ref="H19:K19"/>
    <mergeCell ref="B20:B21"/>
    <mergeCell ref="C22:E22"/>
    <mergeCell ref="C25:E25"/>
    <mergeCell ref="C30:E30"/>
    <mergeCell ref="C33:E33"/>
    <mergeCell ref="B22:B29"/>
    <mergeCell ref="B30:B37"/>
    <mergeCell ref="B2:D2"/>
    <mergeCell ref="B5:D5"/>
    <mergeCell ref="C8:D8"/>
  </mergeCells>
  <conditionalFormatting sqref="D9">
    <cfRule type="containsText" dxfId="26" priority="1" operator="containsText" text="Pas ok">
      <formula>NOT(ISERROR(SEARCH("Pas ok",D9)))</formula>
    </cfRule>
    <cfRule type="containsText" dxfId="25" priority="2" operator="containsText" text="Calcul brouillon, ordre de grandeur">
      <formula>NOT(ISERROR(SEARCH("Calcul brouillon, ordre de grandeur",D9)))</formula>
    </cfRule>
    <cfRule type="containsText" dxfId="24" priority="3" operator="containsText" text="Bon ordre de grandeur">
      <formula>NOT(ISERROR(SEARCH("Bon ordre de grandeur",D9)))</formula>
    </cfRule>
    <cfRule type="containsText" dxfId="23" priority="4" operator="containsText" text="Calcul validé">
      <formula>NOT(ISERROR(SEARCH("Calcul validé",D9)))</formula>
    </cfRule>
    <cfRule type="containsText" dxfId="22" priority="5" operator="containsText" text="Pas ok">
      <formula>NOT(ISERROR(SEARCH("Pas ok",D9)))</formula>
    </cfRule>
    <cfRule type="containsText" dxfId="21" priority="6" operator="containsText" text="Calcul brouillon, ordre de grandeur">
      <formula>NOT(ISERROR(SEARCH("Calcul brouillon, ordre de grandeur",D9)))</formula>
    </cfRule>
    <cfRule type="containsText" dxfId="20" priority="7" operator="containsText" text="Bon ordre de grandeur">
      <formula>NOT(ISERROR(SEARCH("Bon ordre de grandeur",D9)))</formula>
    </cfRule>
    <cfRule type="containsText" dxfId="19" priority="8" operator="containsText" text="Calcul validé">
      <formula>NOT(ISERROR(SEARCH("Calcul validé",D9)))</formula>
    </cfRule>
  </conditionalFormatting>
  <conditionalFormatting sqref="D9:E9">
    <cfRule type="containsText" dxfId="18" priority="9" operator="containsText" text="Calcul brouillon, odg">
      <formula>NOT(ISERROR(SEARCH("Calcul brouillon, odg",D9)))</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FBD7-D927-184E-AB9A-7977B7F49F35}">
  <sheetPr>
    <tabColor rgb="FFC00000"/>
  </sheetPr>
  <dimension ref="A1:Z217"/>
  <sheetViews>
    <sheetView topLeftCell="A37" zoomScale="50" workbookViewId="0">
      <selection activeCell="C15" sqref="C15:L15"/>
    </sheetView>
  </sheetViews>
  <sheetFormatPr baseColWidth="10" defaultColWidth="12.6640625" defaultRowHeight="16" outlineLevelRow="1"/>
  <cols>
    <col min="1" max="1" width="12.33203125" style="32" customWidth="1"/>
    <col min="2" max="2" width="44.1640625" style="32" customWidth="1"/>
    <col min="3" max="3" width="25.6640625" style="32" customWidth="1"/>
    <col min="4" max="4" width="32.83203125" style="32" customWidth="1"/>
    <col min="5" max="5" width="28.6640625" style="32" customWidth="1"/>
    <col min="6" max="6" width="23" style="32" customWidth="1"/>
    <col min="7" max="8" width="19" style="32" customWidth="1"/>
    <col min="9" max="9" width="61.33203125" style="32" customWidth="1"/>
    <col min="10" max="10" width="21.1640625" style="32" customWidth="1"/>
    <col min="11" max="11" width="52" style="32" customWidth="1"/>
    <col min="12" max="12" width="21.33203125" style="32" customWidth="1"/>
    <col min="13" max="13" width="12.6640625" style="32"/>
    <col min="14" max="14" width="18.83203125" style="32" customWidth="1"/>
    <col min="15" max="17" width="12.6640625" style="32"/>
    <col min="18" max="18" width="20.83203125" style="32" customWidth="1"/>
    <col min="19" max="19" width="10.33203125" style="32" customWidth="1"/>
    <col min="20" max="21" width="12.6640625" style="32"/>
    <col min="22" max="22" width="7.6640625" style="32" customWidth="1"/>
    <col min="23" max="23" width="21.33203125" style="32" customWidth="1"/>
    <col min="24" max="16384" width="12.6640625" style="32"/>
  </cols>
  <sheetData>
    <row r="1" spans="2:12" ht="17" thickBot="1"/>
    <row r="2" spans="2:12" ht="26" customHeight="1" thickBot="1">
      <c r="B2" s="2307" t="s">
        <v>1176</v>
      </c>
      <c r="C2" s="2308"/>
      <c r="D2" s="2308"/>
      <c r="E2" s="2309"/>
      <c r="F2" s="263"/>
      <c r="G2" s="263"/>
    </row>
    <row r="3" spans="2:12" ht="17" thickBot="1">
      <c r="F3" s="263"/>
      <c r="G3" s="263"/>
    </row>
    <row r="4" spans="2:12" ht="20" customHeight="1" thickBot="1">
      <c r="B4" s="2310" t="s">
        <v>2</v>
      </c>
      <c r="C4" s="2311"/>
      <c r="D4" s="2312"/>
      <c r="F4" s="263"/>
      <c r="G4" s="263"/>
      <c r="H4" s="263"/>
      <c r="I4" s="263"/>
      <c r="J4" s="263"/>
      <c r="K4" s="263"/>
      <c r="L4" s="263"/>
    </row>
    <row r="5" spans="2:12" ht="20" customHeight="1">
      <c r="B5" s="1201" t="s">
        <v>45</v>
      </c>
      <c r="C5" s="1702">
        <f>C54</f>
        <v>19458.502065823144</v>
      </c>
      <c r="D5" s="1703" t="s">
        <v>3</v>
      </c>
      <c r="F5" s="263"/>
      <c r="G5" s="263"/>
      <c r="H5" s="263"/>
      <c r="I5" s="263"/>
      <c r="J5" s="263"/>
      <c r="K5" s="263"/>
      <c r="L5" s="263"/>
    </row>
    <row r="6" spans="2:12" ht="20" customHeight="1">
      <c r="B6" s="1202" t="s">
        <v>4</v>
      </c>
      <c r="C6" s="2130" t="s">
        <v>1570</v>
      </c>
      <c r="D6" s="2131"/>
      <c r="F6" s="263"/>
      <c r="G6" s="263"/>
      <c r="H6" s="263"/>
      <c r="I6" s="263"/>
      <c r="J6" s="263"/>
      <c r="K6" s="263"/>
      <c r="L6" s="263"/>
    </row>
    <row r="7" spans="2:12" ht="20" customHeight="1" thickBot="1">
      <c r="B7" s="1203" t="s">
        <v>5</v>
      </c>
      <c r="C7" s="2313"/>
      <c r="D7" s="2314"/>
      <c r="F7" s="263"/>
      <c r="G7" s="263"/>
      <c r="H7" s="263"/>
      <c r="I7" s="263"/>
      <c r="J7" s="263"/>
      <c r="K7" s="263"/>
      <c r="L7" s="263"/>
    </row>
    <row r="8" spans="2:12" ht="17" thickBot="1"/>
    <row r="9" spans="2:12" ht="22" customHeight="1" thickBot="1">
      <c r="B9" s="2315" t="s">
        <v>6</v>
      </c>
      <c r="C9" s="2316"/>
      <c r="D9" s="2316"/>
      <c r="E9" s="2316"/>
      <c r="F9" s="2316"/>
      <c r="G9" s="2316"/>
      <c r="H9" s="2316"/>
      <c r="I9" s="2316"/>
      <c r="J9" s="2316"/>
      <c r="K9" s="2316"/>
      <c r="L9" s="2317"/>
    </row>
    <row r="10" spans="2:12" ht="65" customHeight="1">
      <c r="B10" s="1204" t="s">
        <v>7</v>
      </c>
      <c r="C10" s="2234" t="s">
        <v>1352</v>
      </c>
      <c r="D10" s="2235"/>
      <c r="E10" s="2235"/>
      <c r="F10" s="2235"/>
      <c r="G10" s="2235"/>
      <c r="H10" s="2235"/>
      <c r="I10" s="2235"/>
      <c r="J10" s="2235"/>
      <c r="K10" s="2235"/>
      <c r="L10" s="2236"/>
    </row>
    <row r="11" spans="2:12" ht="38" customHeight="1">
      <c r="B11" s="1205" t="s">
        <v>8</v>
      </c>
      <c r="C11" s="2318" t="s">
        <v>1354</v>
      </c>
      <c r="D11" s="2250"/>
      <c r="E11" s="2250"/>
      <c r="F11" s="2250"/>
      <c r="G11" s="2250"/>
      <c r="H11" s="2250"/>
      <c r="I11" s="2250"/>
      <c r="J11" s="2250"/>
      <c r="K11" s="2250"/>
      <c r="L11" s="2251"/>
    </row>
    <row r="12" spans="2:12" ht="38" customHeight="1">
      <c r="B12" s="1205" t="s">
        <v>9</v>
      </c>
      <c r="C12" s="2249" t="s">
        <v>1178</v>
      </c>
      <c r="D12" s="2250"/>
      <c r="E12" s="2250"/>
      <c r="F12" s="2250"/>
      <c r="G12" s="2250"/>
      <c r="H12" s="2250"/>
      <c r="I12" s="2250"/>
      <c r="J12" s="2250"/>
      <c r="K12" s="2250"/>
      <c r="L12" s="2251"/>
    </row>
    <row r="13" spans="2:12" ht="27" customHeight="1">
      <c r="B13" s="1205" t="s">
        <v>10</v>
      </c>
      <c r="C13" s="2318" t="s">
        <v>1355</v>
      </c>
      <c r="D13" s="2250"/>
      <c r="E13" s="2250"/>
      <c r="F13" s="2250"/>
      <c r="G13" s="2250"/>
      <c r="H13" s="2250"/>
      <c r="I13" s="2250"/>
      <c r="J13" s="2250"/>
      <c r="K13" s="2250"/>
      <c r="L13" s="2251"/>
    </row>
    <row r="14" spans="2:12" ht="36" customHeight="1">
      <c r="B14" s="1205" t="s">
        <v>11</v>
      </c>
      <c r="C14" s="2318" t="s">
        <v>1569</v>
      </c>
      <c r="D14" s="2250"/>
      <c r="E14" s="2250"/>
      <c r="F14" s="2250"/>
      <c r="G14" s="2250"/>
      <c r="H14" s="2250"/>
      <c r="I14" s="2250"/>
      <c r="J14" s="2250"/>
      <c r="K14" s="2250"/>
      <c r="L14" s="2251"/>
    </row>
    <row r="15" spans="2:12" ht="27" customHeight="1">
      <c r="B15" s="1205" t="s">
        <v>12</v>
      </c>
      <c r="C15" s="2249" t="s">
        <v>1344</v>
      </c>
      <c r="D15" s="2250"/>
      <c r="E15" s="2250"/>
      <c r="F15" s="2250"/>
      <c r="G15" s="2250"/>
      <c r="H15" s="2250"/>
      <c r="I15" s="2250"/>
      <c r="J15" s="2250"/>
      <c r="K15" s="2250"/>
      <c r="L15" s="2251"/>
    </row>
    <row r="16" spans="2:12" ht="27" customHeight="1" thickBot="1">
      <c r="B16" s="1206" t="s">
        <v>13</v>
      </c>
      <c r="C16" s="2252" t="s">
        <v>1356</v>
      </c>
      <c r="D16" s="2253"/>
      <c r="E16" s="2253"/>
      <c r="F16" s="2253"/>
      <c r="G16" s="2253"/>
      <c r="H16" s="2253"/>
      <c r="I16" s="2253"/>
      <c r="J16" s="2253"/>
      <c r="K16" s="2253"/>
      <c r="L16" s="2254"/>
    </row>
    <row r="17" spans="1:12" ht="25" customHeight="1">
      <c r="B17" s="261"/>
      <c r="C17" s="823"/>
      <c r="D17" s="823"/>
      <c r="E17" s="823"/>
      <c r="F17" s="823"/>
      <c r="G17" s="823"/>
      <c r="H17" s="823"/>
      <c r="I17" s="823"/>
      <c r="J17" s="823"/>
      <c r="K17" s="823"/>
      <c r="L17" s="823"/>
    </row>
    <row r="18" spans="1:12" ht="23">
      <c r="B18" s="378" t="s">
        <v>424</v>
      </c>
      <c r="C18" s="823"/>
      <c r="D18" s="823"/>
      <c r="E18" s="823"/>
      <c r="F18" s="823"/>
      <c r="G18" s="823"/>
      <c r="H18" s="823"/>
      <c r="I18" s="823"/>
      <c r="J18" s="823"/>
      <c r="K18" s="823"/>
      <c r="L18" s="823"/>
    </row>
    <row r="19" spans="1:12" ht="25" customHeight="1">
      <c r="B19" s="378"/>
      <c r="C19" s="823"/>
      <c r="D19" s="823"/>
      <c r="E19" s="823"/>
      <c r="F19" s="823"/>
      <c r="G19" s="823"/>
      <c r="H19" s="823"/>
      <c r="I19" s="823"/>
      <c r="J19" s="823"/>
      <c r="K19" s="823"/>
      <c r="L19" s="823"/>
    </row>
    <row r="20" spans="1:12" ht="25" customHeight="1">
      <c r="B20" s="427" t="s">
        <v>1280</v>
      </c>
      <c r="C20" s="823"/>
      <c r="D20" s="823"/>
      <c r="E20" s="823"/>
      <c r="F20" s="823"/>
      <c r="G20" s="823"/>
      <c r="H20" s="823"/>
      <c r="I20" s="823"/>
      <c r="J20" s="823"/>
      <c r="K20" s="823"/>
      <c r="L20" s="823"/>
    </row>
    <row r="21" spans="1:12" ht="25" customHeight="1">
      <c r="A21"/>
      <c r="B21" s="426" t="s">
        <v>426</v>
      </c>
      <c r="C21" s="823"/>
      <c r="D21" s="823"/>
      <c r="E21" s="823"/>
      <c r="F21" s="823"/>
      <c r="G21" s="823"/>
      <c r="H21" s="823"/>
      <c r="I21" s="823"/>
      <c r="J21" s="823"/>
      <c r="K21" s="823"/>
      <c r="L21" s="823"/>
    </row>
    <row r="22" spans="1:12" ht="25" customHeight="1">
      <c r="A22"/>
      <c r="B22" s="10" t="s">
        <v>1286</v>
      </c>
      <c r="C22" s="823"/>
      <c r="D22" s="823"/>
      <c r="E22" s="823"/>
      <c r="F22" s="823"/>
      <c r="G22" s="823"/>
      <c r="H22" s="823"/>
      <c r="I22" s="823"/>
      <c r="J22" s="823"/>
      <c r="K22" s="823"/>
      <c r="L22" s="823"/>
    </row>
    <row r="23" spans="1:12" ht="23" customHeight="1">
      <c r="A23"/>
      <c r="B23" s="824" t="s">
        <v>1179</v>
      </c>
      <c r="C23" s="824" t="s">
        <v>1282</v>
      </c>
      <c r="D23" s="824" t="s">
        <v>18</v>
      </c>
      <c r="E23" s="824" t="s">
        <v>644</v>
      </c>
      <c r="F23" s="824" t="s">
        <v>18</v>
      </c>
      <c r="G23" s="1207" t="s">
        <v>82</v>
      </c>
      <c r="H23" s="824" t="s">
        <v>18</v>
      </c>
      <c r="I23" s="824" t="s">
        <v>1180</v>
      </c>
    </row>
    <row r="24" spans="1:12" ht="23" customHeight="1">
      <c r="A24"/>
      <c r="B24" s="1208" t="str">
        <f>$B$137</f>
        <v>Bouteilles plastiques</v>
      </c>
      <c r="C24" s="1357">
        <f>C137</f>
        <v>4.6785316896828669E-3</v>
      </c>
      <c r="D24" s="1352" t="s">
        <v>1221</v>
      </c>
      <c r="E24" s="694">
        <f>$C$103</f>
        <v>1357.26</v>
      </c>
      <c r="F24" s="264" t="s">
        <v>29</v>
      </c>
      <c r="G24" s="1354">
        <f>C24*E24/1000</f>
        <v>6.3499839211389681E-3</v>
      </c>
      <c r="H24" s="264" t="s">
        <v>1182</v>
      </c>
      <c r="I24" s="824"/>
    </row>
    <row r="25" spans="1:12" ht="23" customHeight="1">
      <c r="A25"/>
      <c r="B25" s="1208" t="str">
        <f>$B$138</f>
        <v>Carton</v>
      </c>
      <c r="C25" s="1356">
        <f t="shared" ref="C25:C28" si="0">C138</f>
        <v>2.4472319607571919E-2</v>
      </c>
      <c r="D25" s="1352" t="s">
        <v>1221</v>
      </c>
      <c r="E25" s="694">
        <f>$C$104</f>
        <v>923.37</v>
      </c>
      <c r="F25" s="264" t="s">
        <v>29</v>
      </c>
      <c r="G25" s="1354">
        <f t="shared" ref="G25:G28" si="1">C25*E25/1000</f>
        <v>2.2597005756043682E-2</v>
      </c>
      <c r="H25" s="264" t="s">
        <v>1182</v>
      </c>
      <c r="I25" s="824"/>
    </row>
    <row r="26" spans="1:12" ht="23" customHeight="1">
      <c r="A26"/>
      <c r="B26" s="1208" t="str">
        <f>$B$139</f>
        <v>Verre</v>
      </c>
      <c r="C26" s="1356">
        <f t="shared" si="0"/>
        <v>0.11516385697680903</v>
      </c>
      <c r="D26" s="1352" t="s">
        <v>1221</v>
      </c>
      <c r="E26" s="1211">
        <f>$C$108</f>
        <v>399.79999999999995</v>
      </c>
      <c r="F26" s="264" t="s">
        <v>29</v>
      </c>
      <c r="G26" s="1354">
        <f t="shared" si="1"/>
        <v>4.6042510019328249E-2</v>
      </c>
      <c r="H26" s="264" t="s">
        <v>1182</v>
      </c>
      <c r="I26" s="824"/>
    </row>
    <row r="27" spans="1:12" ht="23" customHeight="1">
      <c r="A27"/>
      <c r="B27" s="1208" t="str">
        <f>$B$140</f>
        <v>Bio-déchets (pelouse et alimentaire)</v>
      </c>
      <c r="C27" s="1356">
        <f t="shared" si="0"/>
        <v>2.1593223183151693E-2</v>
      </c>
      <c r="D27" s="1352" t="s">
        <v>1221</v>
      </c>
      <c r="E27" s="694">
        <f>$C$106</f>
        <v>33.270000000000003</v>
      </c>
      <c r="F27" s="264" t="s">
        <v>29</v>
      </c>
      <c r="G27" s="1354">
        <f t="shared" si="1"/>
        <v>7.1840653530345694E-4</v>
      </c>
      <c r="H27" s="264" t="s">
        <v>1182</v>
      </c>
      <c r="I27" s="824"/>
    </row>
    <row r="28" spans="1:12" ht="23" customHeight="1">
      <c r="A28"/>
      <c r="B28" s="1208" t="str">
        <f>$B$141</f>
        <v>DIB</v>
      </c>
      <c r="C28" s="1356">
        <f t="shared" si="0"/>
        <v>0.17490510778352872</v>
      </c>
      <c r="D28" s="1352" t="s">
        <v>1221</v>
      </c>
      <c r="E28" s="1211">
        <f>$C$107</f>
        <v>371.61999999999995</v>
      </c>
      <c r="F28" s="264" t="s">
        <v>29</v>
      </c>
      <c r="G28" s="1354">
        <f t="shared" si="1"/>
        <v>6.499823615451493E-2</v>
      </c>
      <c r="H28" s="264" t="s">
        <v>1182</v>
      </c>
      <c r="I28" s="729" t="s">
        <v>1177</v>
      </c>
    </row>
    <row r="29" spans="1:12" ht="23" customHeight="1">
      <c r="A29"/>
      <c r="F29" s="270" t="s">
        <v>139</v>
      </c>
      <c r="G29" s="1355">
        <f>SUM(G24:G28)</f>
        <v>0.14070614238632928</v>
      </c>
      <c r="H29" s="270" t="s">
        <v>1182</v>
      </c>
      <c r="I29" s="270"/>
    </row>
    <row r="30" spans="1:12" ht="23" customHeight="1">
      <c r="A30"/>
      <c r="B30" s="426" t="s">
        <v>426</v>
      </c>
      <c r="F30" s="35"/>
      <c r="G30" s="1353"/>
      <c r="H30" s="35"/>
      <c r="I30" s="35"/>
    </row>
    <row r="31" spans="1:12" ht="23" customHeight="1">
      <c r="A31"/>
      <c r="B31" s="32" t="s">
        <v>1279</v>
      </c>
      <c r="F31" s="35"/>
      <c r="G31" s="1353"/>
      <c r="H31" s="35"/>
      <c r="I31" s="35"/>
    </row>
    <row r="32" spans="1:12" ht="23" customHeight="1">
      <c r="A32"/>
      <c r="B32" s="583" t="s">
        <v>1353</v>
      </c>
      <c r="F32" s="35"/>
      <c r="G32" s="1353"/>
      <c r="H32" s="35"/>
      <c r="I32" s="35"/>
    </row>
    <row r="33" spans="1:9" ht="23" customHeight="1">
      <c r="A33"/>
      <c r="B33" s="32" t="s">
        <v>1287</v>
      </c>
      <c r="F33" s="35"/>
      <c r="G33" s="1353"/>
      <c r="H33" s="35"/>
      <c r="I33" s="35"/>
    </row>
    <row r="34" spans="1:9" ht="23" customHeight="1">
      <c r="A34"/>
      <c r="B34" s="824" t="s">
        <v>1179</v>
      </c>
      <c r="C34" s="824" t="s">
        <v>1283</v>
      </c>
      <c r="D34" s="824" t="s">
        <v>18</v>
      </c>
      <c r="E34" s="824" t="s">
        <v>644</v>
      </c>
      <c r="F34" s="824" t="s">
        <v>18</v>
      </c>
      <c r="G34" s="1207" t="s">
        <v>82</v>
      </c>
      <c r="H34" s="824" t="s">
        <v>18</v>
      </c>
      <c r="I34" s="824" t="s">
        <v>1180</v>
      </c>
    </row>
    <row r="35" spans="1:9" ht="23" customHeight="1">
      <c r="A35"/>
      <c r="B35" s="1208" t="str">
        <f>$B$137</f>
        <v>Bouteilles plastiques</v>
      </c>
      <c r="C35" s="1215">
        <f>C24*'5. Alimentaire'!$C$26*'5. Alimentaire'!$C$29</f>
        <v>647002.44783029531</v>
      </c>
      <c r="D35" s="1352" t="s">
        <v>1281</v>
      </c>
      <c r="E35" s="694">
        <f>$C$103</f>
        <v>1357.26</v>
      </c>
      <c r="F35" s="264" t="s">
        <v>29</v>
      </c>
      <c r="G35" s="1358">
        <f>C35*E35/10^6</f>
        <v>878.15054234214665</v>
      </c>
      <c r="H35" s="264" t="s">
        <v>123</v>
      </c>
      <c r="I35" s="824"/>
    </row>
    <row r="36" spans="1:9" ht="23" customHeight="1">
      <c r="A36"/>
      <c r="B36" s="1208" t="str">
        <f>$B$138</f>
        <v>Carton</v>
      </c>
      <c r="C36" s="1215">
        <f>C25*'5. Alimentaire'!$C$26*'5. Alimentaire'!$C$29</f>
        <v>3384320.4963430832</v>
      </c>
      <c r="D36" s="1352" t="s">
        <v>1281</v>
      </c>
      <c r="E36" s="694">
        <f>$C$104</f>
        <v>923.37</v>
      </c>
      <c r="F36" s="264" t="s">
        <v>29</v>
      </c>
      <c r="G36" s="1358">
        <f t="shared" ref="G36:G39" si="2">C36*E36/10^6</f>
        <v>3124.9800167083131</v>
      </c>
      <c r="H36" s="264" t="s">
        <v>123</v>
      </c>
      <c r="I36" s="824"/>
    </row>
    <row r="37" spans="1:9" ht="23" customHeight="1">
      <c r="A37"/>
      <c r="B37" s="1208" t="str">
        <f>$B$139</f>
        <v>Verre</v>
      </c>
      <c r="C37" s="1215">
        <f>C26*'5. Alimentaire'!$C$26*'5. Alimentaire'!$C$29</f>
        <v>15926214.10043804</v>
      </c>
      <c r="D37" s="1352" t="s">
        <v>1281</v>
      </c>
      <c r="E37" s="1211">
        <f>$C$108</f>
        <v>399.79999999999995</v>
      </c>
      <c r="F37" s="264" t="s">
        <v>29</v>
      </c>
      <c r="G37" s="1358">
        <f t="shared" si="2"/>
        <v>6367.3003973551276</v>
      </c>
      <c r="H37" s="264" t="s">
        <v>123</v>
      </c>
      <c r="I37" s="824"/>
    </row>
    <row r="38" spans="1:9" ht="23" customHeight="1">
      <c r="A38"/>
      <c r="B38" s="1208" t="str">
        <f>$B$140</f>
        <v>Bio-déchets (pelouse et alimentaire)</v>
      </c>
      <c r="C38" s="1215">
        <f>C27*'5. Alimentaire'!$C$26*'5. Alimentaire'!$C$29</f>
        <v>2986165.1438321322</v>
      </c>
      <c r="D38" s="1352" t="s">
        <v>1281</v>
      </c>
      <c r="E38" s="694">
        <f>$C$106</f>
        <v>33.270000000000003</v>
      </c>
      <c r="F38" s="264" t="s">
        <v>29</v>
      </c>
      <c r="G38" s="1358">
        <f t="shared" si="2"/>
        <v>99.349714335295047</v>
      </c>
      <c r="H38" s="264" t="s">
        <v>123</v>
      </c>
      <c r="I38" s="824"/>
    </row>
    <row r="39" spans="1:9" ht="23" customHeight="1">
      <c r="A39"/>
      <c r="B39" s="1208" t="str">
        <f>$B$141</f>
        <v>DIB</v>
      </c>
      <c r="C39" s="1215">
        <f>C28*'5. Alimentaire'!$C$26*'5. Alimentaire'!$C$29</f>
        <v>24187937.665040273</v>
      </c>
      <c r="D39" s="1352" t="s">
        <v>1281</v>
      </c>
      <c r="E39" s="1211">
        <f>$C$107</f>
        <v>371.61999999999995</v>
      </c>
      <c r="F39" s="264" t="s">
        <v>29</v>
      </c>
      <c r="G39" s="1358">
        <f t="shared" si="2"/>
        <v>8988.7213950822661</v>
      </c>
      <c r="H39" s="264" t="s">
        <v>123</v>
      </c>
      <c r="I39" s="729" t="s">
        <v>1177</v>
      </c>
    </row>
    <row r="40" spans="1:9" ht="23" customHeight="1">
      <c r="A40"/>
      <c r="F40" s="270" t="s">
        <v>139</v>
      </c>
      <c r="G40" s="1359">
        <f>SUM(G35:G39)</f>
        <v>19458.502065823148</v>
      </c>
      <c r="H40" s="270" t="s">
        <v>123</v>
      </c>
      <c r="I40" s="270"/>
    </row>
    <row r="41" spans="1:9" ht="23" customHeight="1">
      <c r="F41" s="35"/>
      <c r="G41" s="1353"/>
      <c r="H41" s="35"/>
      <c r="I41" s="35"/>
    </row>
    <row r="42" spans="1:9" ht="36" customHeight="1">
      <c r="B42" s="427" t="s">
        <v>1183</v>
      </c>
      <c r="C42" s="263"/>
      <c r="D42" s="263"/>
      <c r="E42" s="263"/>
      <c r="F42" s="263"/>
      <c r="G42" s="263"/>
      <c r="H42" s="263"/>
      <c r="I42" s="263"/>
    </row>
    <row r="43" spans="1:9" ht="22" customHeight="1">
      <c r="B43" s="32" t="s">
        <v>1284</v>
      </c>
      <c r="C43" s="263"/>
      <c r="D43" s="263"/>
      <c r="E43" s="263"/>
    </row>
    <row r="44" spans="1:9" ht="22" customHeight="1">
      <c r="C44" s="263"/>
      <c r="D44" s="263"/>
      <c r="E44" s="263"/>
    </row>
    <row r="45" spans="1:9" ht="30" customHeight="1">
      <c r="B45" s="1212" t="s">
        <v>1179</v>
      </c>
      <c r="C45" s="1212" t="s">
        <v>97</v>
      </c>
      <c r="D45" s="1212" t="s">
        <v>18</v>
      </c>
      <c r="E45" s="1212" t="s">
        <v>346</v>
      </c>
      <c r="F45" s="1212" t="s">
        <v>18</v>
      </c>
      <c r="G45" s="1213" t="s">
        <v>82</v>
      </c>
      <c r="H45" s="1212" t="s">
        <v>18</v>
      </c>
      <c r="I45" s="1214" t="s">
        <v>1180</v>
      </c>
    </row>
    <row r="46" spans="1:9" ht="22" customHeight="1">
      <c r="B46" s="1208" t="str">
        <f>$B$137</f>
        <v>Bouteilles plastiques</v>
      </c>
      <c r="C46" s="1215">
        <f>C35/1000</f>
        <v>647.0024478302953</v>
      </c>
      <c r="D46" s="1209" t="s">
        <v>1181</v>
      </c>
      <c r="E46" s="1211">
        <f>$C$103</f>
        <v>1357.26</v>
      </c>
      <c r="F46" s="264" t="s">
        <v>29</v>
      </c>
      <c r="G46" s="1210">
        <f>C46*E46/1000</f>
        <v>878.15054234214665</v>
      </c>
      <c r="H46" s="264" t="s">
        <v>123</v>
      </c>
      <c r="I46" s="1216"/>
    </row>
    <row r="47" spans="1:9" ht="22" customHeight="1">
      <c r="B47" s="1208" t="str">
        <f>$B$138</f>
        <v>Carton</v>
      </c>
      <c r="C47" s="1215">
        <f t="shared" ref="C47:C50" si="3">C36/1000</f>
        <v>3384.3204963430831</v>
      </c>
      <c r="D47" s="1209" t="s">
        <v>1181</v>
      </c>
      <c r="E47" s="1211">
        <f>$C$104</f>
        <v>923.37</v>
      </c>
      <c r="F47" s="264" t="s">
        <v>29</v>
      </c>
      <c r="G47" s="1210">
        <f t="shared" ref="G47:G50" si="4">C47*E47/1000</f>
        <v>3124.9800167083126</v>
      </c>
      <c r="H47" s="264" t="s">
        <v>123</v>
      </c>
      <c r="I47" s="1216"/>
    </row>
    <row r="48" spans="1:9" ht="22" customHeight="1">
      <c r="B48" s="1208" t="str">
        <f>$B$139</f>
        <v>Verre</v>
      </c>
      <c r="C48" s="1215">
        <f t="shared" si="3"/>
        <v>15926.214100438039</v>
      </c>
      <c r="D48" s="1209" t="s">
        <v>1181</v>
      </c>
      <c r="E48" s="1211">
        <f>$C$108</f>
        <v>399.79999999999995</v>
      </c>
      <c r="F48" s="264" t="s">
        <v>29</v>
      </c>
      <c r="G48" s="1210">
        <f t="shared" si="4"/>
        <v>6367.3003973551267</v>
      </c>
      <c r="H48" s="264" t="s">
        <v>123</v>
      </c>
      <c r="I48" s="1216"/>
    </row>
    <row r="49" spans="2:9" ht="22" customHeight="1">
      <c r="B49" s="1208" t="str">
        <f>$B$140</f>
        <v>Bio-déchets (pelouse et alimentaire)</v>
      </c>
      <c r="C49" s="1215">
        <f t="shared" si="3"/>
        <v>2986.1651438321323</v>
      </c>
      <c r="D49" s="1209" t="s">
        <v>1181</v>
      </c>
      <c r="E49" s="694">
        <f>$C$106</f>
        <v>33.270000000000003</v>
      </c>
      <c r="F49" s="264" t="s">
        <v>29</v>
      </c>
      <c r="G49" s="1210">
        <f t="shared" si="4"/>
        <v>99.349714335295047</v>
      </c>
      <c r="H49" s="264" t="s">
        <v>123</v>
      </c>
      <c r="I49" s="1216"/>
    </row>
    <row r="50" spans="2:9" customFormat="1" ht="22" customHeight="1">
      <c r="B50" s="1208" t="str">
        <f>$B$141</f>
        <v>DIB</v>
      </c>
      <c r="C50" s="1215">
        <f t="shared" si="3"/>
        <v>24187.937665040274</v>
      </c>
      <c r="D50" s="1209" t="s">
        <v>1181</v>
      </c>
      <c r="E50" s="1211">
        <f>$C$107</f>
        <v>371.61999999999995</v>
      </c>
      <c r="F50" s="264" t="s">
        <v>29</v>
      </c>
      <c r="G50" s="1210">
        <f t="shared" si="4"/>
        <v>8988.7213950822643</v>
      </c>
      <c r="H50" s="264" t="s">
        <v>123</v>
      </c>
      <c r="I50" s="1309"/>
    </row>
    <row r="51" spans="2:9" customFormat="1" ht="24" customHeight="1">
      <c r="B51" s="32"/>
      <c r="C51" s="32"/>
      <c r="D51" s="32"/>
      <c r="E51" s="32"/>
      <c r="F51" s="1217" t="s">
        <v>139</v>
      </c>
      <c r="G51" s="1218">
        <f>SUM(G46:G50)</f>
        <v>19458.502065823144</v>
      </c>
      <c r="H51" s="1217" t="s">
        <v>123</v>
      </c>
      <c r="I51" s="1219"/>
    </row>
    <row r="52" spans="2:9" customFormat="1" ht="33" customHeight="1"/>
    <row r="53" spans="2:9" ht="22" customHeight="1" thickBot="1">
      <c r="B53" s="263"/>
      <c r="C53" s="263"/>
      <c r="D53" s="263"/>
      <c r="E53" s="263"/>
    </row>
    <row r="54" spans="2:9" ht="28" customHeight="1" thickBot="1">
      <c r="B54" s="1220" t="s">
        <v>600</v>
      </c>
      <c r="C54" s="1221">
        <f>G51</f>
        <v>19458.502065823144</v>
      </c>
      <c r="D54" s="1222" t="s">
        <v>123</v>
      </c>
      <c r="E54" s="263"/>
    </row>
    <row r="55" spans="2:9">
      <c r="B55" s="263"/>
      <c r="C55" s="263"/>
      <c r="D55" s="263"/>
      <c r="E55" s="263"/>
    </row>
    <row r="56" spans="2:9">
      <c r="B56" s="263"/>
      <c r="C56" s="263"/>
      <c r="D56" s="263"/>
      <c r="E56" s="263"/>
    </row>
    <row r="57" spans="2:9">
      <c r="B57" s="263"/>
      <c r="C57" s="263"/>
      <c r="D57" s="263"/>
      <c r="E57" s="263"/>
    </row>
    <row r="58" spans="2:9" ht="23">
      <c r="B58" s="378" t="s">
        <v>431</v>
      </c>
      <c r="C58" s="263"/>
      <c r="D58" s="263"/>
      <c r="E58" s="263"/>
    </row>
    <row r="59" spans="2:9" ht="23" hidden="1" outlineLevel="1">
      <c r="B59" s="378"/>
      <c r="C59" s="263"/>
      <c r="D59" s="263"/>
      <c r="E59" s="263"/>
    </row>
    <row r="60" spans="2:9" ht="18" hidden="1" outlineLevel="1">
      <c r="B60" s="11" t="s">
        <v>1184</v>
      </c>
      <c r="C60"/>
      <c r="D60"/>
      <c r="E60"/>
      <c r="F60"/>
    </row>
    <row r="61" spans="2:9" hidden="1" outlineLevel="1">
      <c r="C61"/>
      <c r="D61"/>
      <c r="E61"/>
      <c r="F61"/>
    </row>
    <row r="62" spans="2:9" hidden="1" outlineLevel="1">
      <c r="B62" s="1223" t="s">
        <v>1185</v>
      </c>
      <c r="C62" s="1224"/>
      <c r="D62" s="1224"/>
      <c r="E62" s="1224"/>
      <c r="F62" s="1224"/>
      <c r="G62" s="1224"/>
      <c r="H62" s="1224"/>
    </row>
    <row r="63" spans="2:9" hidden="1" outlineLevel="1">
      <c r="B63" s="1225" t="s">
        <v>1186</v>
      </c>
      <c r="C63" s="1224"/>
      <c r="D63" s="1224"/>
      <c r="E63" s="1224"/>
      <c r="F63" s="1224"/>
      <c r="G63" s="1224"/>
      <c r="H63" s="1224"/>
      <c r="I63" s="1226"/>
    </row>
    <row r="64" spans="2:9" hidden="1" outlineLevel="1">
      <c r="B64" s="47" t="s">
        <v>1187</v>
      </c>
      <c r="C64" s="47" t="s">
        <v>1188</v>
      </c>
      <c r="D64" s="47" t="s">
        <v>1189</v>
      </c>
      <c r="E64" s="47" t="s">
        <v>1190</v>
      </c>
      <c r="F64" s="47" t="s">
        <v>1191</v>
      </c>
      <c r="G64" s="47" t="s">
        <v>1192</v>
      </c>
      <c r="H64" s="47" t="s">
        <v>0</v>
      </c>
    </row>
    <row r="65" spans="2:9" hidden="1" outlineLevel="1">
      <c r="B65" s="219" t="s">
        <v>1193</v>
      </c>
      <c r="C65" s="111">
        <v>0.57999999999999985</v>
      </c>
      <c r="D65" s="111">
        <v>0.32</v>
      </c>
      <c r="E65" s="111">
        <v>0.1</v>
      </c>
      <c r="F65" s="111">
        <v>0</v>
      </c>
      <c r="G65" s="111">
        <v>0</v>
      </c>
      <c r="H65" s="111">
        <v>0.99999999999999989</v>
      </c>
    </row>
    <row r="66" spans="2:9" hidden="1" outlineLevel="1">
      <c r="B66" s="219" t="s">
        <v>1194</v>
      </c>
      <c r="C66" s="111">
        <v>0.11999999999999998</v>
      </c>
      <c r="D66" s="111">
        <v>7.0000000000000007E-2</v>
      </c>
      <c r="E66" s="111">
        <v>0.8</v>
      </c>
      <c r="F66" s="111">
        <v>0.01</v>
      </c>
      <c r="G66" s="111">
        <v>0</v>
      </c>
      <c r="H66" s="111">
        <v>1</v>
      </c>
    </row>
    <row r="67" spans="2:9" hidden="1" outlineLevel="1">
      <c r="B67" s="219" t="s">
        <v>1195</v>
      </c>
      <c r="C67" s="111">
        <v>0.23999999999999996</v>
      </c>
      <c r="D67" s="111">
        <v>0.14000000000000001</v>
      </c>
      <c r="E67" s="111">
        <v>0.6</v>
      </c>
      <c r="F67" s="111">
        <v>0.02</v>
      </c>
      <c r="G67" s="111">
        <v>0</v>
      </c>
      <c r="H67" s="111">
        <v>1</v>
      </c>
    </row>
    <row r="68" spans="2:9" hidden="1" outlineLevel="1">
      <c r="B68" s="219" t="s">
        <v>1196</v>
      </c>
      <c r="C68" s="111">
        <v>0.55000000000000004</v>
      </c>
      <c r="D68" s="111">
        <v>0.30999999999999994</v>
      </c>
      <c r="E68" s="111">
        <v>0</v>
      </c>
      <c r="F68" s="111">
        <v>0.12</v>
      </c>
      <c r="G68" s="111">
        <v>0.02</v>
      </c>
      <c r="H68" s="111">
        <v>1</v>
      </c>
    </row>
    <row r="69" spans="2:9" ht="30" hidden="1" outlineLevel="1">
      <c r="B69" s="219" t="s">
        <v>1197</v>
      </c>
      <c r="C69" s="111">
        <v>0.4</v>
      </c>
      <c r="D69" s="111">
        <v>0.55000000000000004</v>
      </c>
      <c r="E69" s="111">
        <v>0.01</v>
      </c>
      <c r="F69" s="111">
        <v>0.03</v>
      </c>
      <c r="G69" s="111">
        <v>0.01</v>
      </c>
      <c r="H69" s="111">
        <v>1</v>
      </c>
    </row>
    <row r="70" spans="2:9" hidden="1" outlineLevel="1">
      <c r="B70" s="264" t="s">
        <v>1198</v>
      </c>
      <c r="C70" s="111">
        <v>0.4</v>
      </c>
      <c r="D70" s="111">
        <v>0</v>
      </c>
      <c r="E70" s="111">
        <v>0.6</v>
      </c>
      <c r="F70" s="111">
        <v>0</v>
      </c>
      <c r="G70" s="111">
        <v>0</v>
      </c>
      <c r="H70" s="111">
        <v>1</v>
      </c>
      <c r="I70" s="82"/>
    </row>
    <row r="71" spans="2:9" hidden="1" outlineLevel="1">
      <c r="B71"/>
      <c r="C71"/>
      <c r="D71"/>
      <c r="E71"/>
    </row>
    <row r="72" spans="2:9" hidden="1" outlineLevel="1">
      <c r="B72" s="1223" t="s">
        <v>1185</v>
      </c>
      <c r="C72"/>
      <c r="D72"/>
      <c r="E72"/>
    </row>
    <row r="73" spans="2:9" hidden="1" outlineLevel="1">
      <c r="B73" s="5" t="s">
        <v>1199</v>
      </c>
      <c r="C73" s="5"/>
      <c r="D73" s="5"/>
      <c r="E73"/>
    </row>
    <row r="74" spans="2:9" ht="34" hidden="1" outlineLevel="1">
      <c r="B74" s="1229" t="s">
        <v>1200</v>
      </c>
      <c r="C74" s="1229" t="s">
        <v>1201</v>
      </c>
      <c r="D74" s="1229" t="s">
        <v>1202</v>
      </c>
      <c r="E74"/>
    </row>
    <row r="75" spans="2:9" hidden="1" outlineLevel="1">
      <c r="B75" s="1959" t="s">
        <v>1203</v>
      </c>
      <c r="C75" s="40" t="s">
        <v>1204</v>
      </c>
      <c r="D75" s="1230">
        <v>1210</v>
      </c>
      <c r="E75"/>
    </row>
    <row r="76" spans="2:9" hidden="1" outlineLevel="1">
      <c r="B76" s="1959"/>
      <c r="C76" s="40" t="s">
        <v>1188</v>
      </c>
      <c r="D76" s="1230">
        <v>737</v>
      </c>
      <c r="E76"/>
    </row>
    <row r="77" spans="2:9" hidden="1" outlineLevel="1">
      <c r="B77" s="1959"/>
      <c r="C77" s="40" t="s">
        <v>1189</v>
      </c>
      <c r="D77" s="1231">
        <v>2770</v>
      </c>
      <c r="E77"/>
    </row>
    <row r="78" spans="2:9" hidden="1" outlineLevel="1">
      <c r="B78" s="1959"/>
      <c r="C78" s="40" t="s">
        <v>1190</v>
      </c>
      <c r="D78" s="1231">
        <v>434</v>
      </c>
      <c r="E78"/>
    </row>
    <row r="79" spans="2:9" hidden="1" outlineLevel="1">
      <c r="B79" s="1959" t="s">
        <v>1205</v>
      </c>
      <c r="C79" s="40" t="s">
        <v>1204</v>
      </c>
      <c r="D79" s="1231">
        <v>737</v>
      </c>
      <c r="E79"/>
    </row>
    <row r="80" spans="2:9" ht="23" hidden="1" customHeight="1" outlineLevel="1">
      <c r="B80" s="1959"/>
      <c r="C80" s="40" t="s">
        <v>1188</v>
      </c>
      <c r="D80" s="1231">
        <v>950</v>
      </c>
      <c r="E80"/>
    </row>
    <row r="81" spans="2:11" hidden="1" outlineLevel="1">
      <c r="B81" s="1959"/>
      <c r="C81" s="40" t="s">
        <v>1189</v>
      </c>
      <c r="D81" s="1231">
        <v>120</v>
      </c>
      <c r="E81"/>
    </row>
    <row r="82" spans="2:11" hidden="1" outlineLevel="1">
      <c r="B82" s="1959"/>
      <c r="C82" s="40" t="s">
        <v>1190</v>
      </c>
      <c r="D82" s="1231">
        <v>992</v>
      </c>
      <c r="E82"/>
    </row>
    <row r="83" spans="2:11" hidden="1" outlineLevel="1">
      <c r="B83" s="1959" t="s">
        <v>1206</v>
      </c>
      <c r="C83" s="40" t="s">
        <v>1204</v>
      </c>
      <c r="D83" s="1231" t="s">
        <v>1207</v>
      </c>
      <c r="E83"/>
    </row>
    <row r="84" spans="2:11" hidden="1" outlineLevel="1">
      <c r="B84" s="1959"/>
      <c r="C84" s="40" t="s">
        <v>1188</v>
      </c>
      <c r="D84" s="1231">
        <v>950</v>
      </c>
      <c r="E84"/>
    </row>
    <row r="85" spans="2:11" hidden="1" outlineLevel="1">
      <c r="B85" s="1959"/>
      <c r="C85" s="40" t="s">
        <v>1189</v>
      </c>
      <c r="D85" s="1231">
        <v>47</v>
      </c>
      <c r="E85"/>
    </row>
    <row r="86" spans="2:11" hidden="1" outlineLevel="1">
      <c r="B86" s="1959"/>
      <c r="C86" s="40" t="s">
        <v>1190</v>
      </c>
      <c r="D86" s="1231">
        <v>992</v>
      </c>
      <c r="E86"/>
    </row>
    <row r="87" spans="2:11" hidden="1" outlineLevel="1">
      <c r="B87" s="1959" t="s">
        <v>1208</v>
      </c>
      <c r="C87" s="40" t="s">
        <v>1204</v>
      </c>
      <c r="D87" s="1231" t="s">
        <v>1207</v>
      </c>
      <c r="E87"/>
    </row>
    <row r="88" spans="2:11" hidden="1" outlineLevel="1">
      <c r="B88" s="1959"/>
      <c r="C88" s="40" t="s">
        <v>1188</v>
      </c>
      <c r="D88" s="1231">
        <v>28</v>
      </c>
      <c r="E88"/>
    </row>
    <row r="89" spans="2:11" hidden="1" outlineLevel="1">
      <c r="B89" s="1959"/>
      <c r="C89" s="40" t="s">
        <v>1189</v>
      </c>
      <c r="D89" s="1231">
        <v>45</v>
      </c>
      <c r="E89"/>
    </row>
    <row r="90" spans="2:11" hidden="1" outlineLevel="1">
      <c r="B90" s="1959"/>
      <c r="C90" s="40" t="s">
        <v>1191</v>
      </c>
      <c r="D90" s="1231">
        <v>28</v>
      </c>
      <c r="E90"/>
    </row>
    <row r="91" spans="2:11" hidden="1" outlineLevel="1">
      <c r="B91" s="1959" t="s">
        <v>1209</v>
      </c>
      <c r="C91" s="40" t="s">
        <v>1204</v>
      </c>
      <c r="D91" s="1231">
        <v>386</v>
      </c>
      <c r="E91"/>
    </row>
    <row r="92" spans="2:11" hidden="1" outlineLevel="1">
      <c r="B92" s="1959"/>
      <c r="C92" s="40" t="s">
        <v>1188</v>
      </c>
      <c r="D92" s="1231">
        <v>412</v>
      </c>
      <c r="E92"/>
    </row>
    <row r="93" spans="2:11" hidden="1" outlineLevel="1">
      <c r="B93" s="1959"/>
      <c r="C93" s="40" t="s">
        <v>1189</v>
      </c>
      <c r="D93" s="1231">
        <v>374</v>
      </c>
      <c r="E93"/>
    </row>
    <row r="94" spans="2:11" hidden="1" outlineLevel="1">
      <c r="B94" s="1959"/>
      <c r="C94" s="40" t="s">
        <v>1191</v>
      </c>
      <c r="D94" s="1231">
        <v>28</v>
      </c>
      <c r="E94"/>
      <c r="K94" s="1234"/>
    </row>
    <row r="95" spans="2:11" ht="16" hidden="1" customHeight="1" outlineLevel="1">
      <c r="B95" s="1959" t="s">
        <v>1198</v>
      </c>
      <c r="C95" s="40" t="s">
        <v>1204</v>
      </c>
      <c r="D95" s="1235">
        <v>496</v>
      </c>
      <c r="E95"/>
      <c r="K95" s="1234"/>
    </row>
    <row r="96" spans="2:11" hidden="1" outlineLevel="1">
      <c r="B96" s="1959"/>
      <c r="C96" s="40" t="s">
        <v>1188</v>
      </c>
      <c r="D96" s="1235">
        <v>41</v>
      </c>
      <c r="E96"/>
      <c r="K96" s="1234"/>
    </row>
    <row r="97" spans="2:11" hidden="1" outlineLevel="1">
      <c r="B97" s="1959"/>
      <c r="C97" s="40" t="s">
        <v>1189</v>
      </c>
      <c r="D97" s="1235">
        <v>130</v>
      </c>
      <c r="E97"/>
      <c r="K97" s="1234"/>
    </row>
    <row r="98" spans="2:11" hidden="1" outlineLevel="1">
      <c r="B98" s="1959"/>
      <c r="C98" s="40" t="s">
        <v>1190</v>
      </c>
      <c r="D98" s="1235">
        <v>639</v>
      </c>
      <c r="E98"/>
      <c r="K98" s="1234"/>
    </row>
    <row r="99" spans="2:11" hidden="1" outlineLevel="1">
      <c r="B99" s="1236"/>
      <c r="C99" s="263"/>
      <c r="D99" s="1237"/>
      <c r="E99"/>
      <c r="K99" s="1234"/>
    </row>
    <row r="100" spans="2:11" hidden="1" outlineLevel="1">
      <c r="B100" s="1238" t="s">
        <v>1210</v>
      </c>
      <c r="C100" s="1237"/>
      <c r="D100" s="1237"/>
      <c r="E100"/>
      <c r="K100" s="1234"/>
    </row>
    <row r="101" spans="2:11" ht="17" hidden="1" outlineLevel="1" thickBot="1">
      <c r="B101" s="1239" t="s">
        <v>1211</v>
      </c>
      <c r="C101" s="1237"/>
      <c r="D101" s="1237"/>
      <c r="E101"/>
      <c r="K101" s="1234"/>
    </row>
    <row r="102" spans="2:11" ht="35" hidden="1" outlineLevel="1" thickBot="1">
      <c r="B102" s="1240" t="s">
        <v>1212</v>
      </c>
      <c r="C102" s="1241">
        <v>2022</v>
      </c>
      <c r="D102"/>
      <c r="E102"/>
      <c r="K102" s="1234"/>
    </row>
    <row r="103" spans="2:11" hidden="1" outlineLevel="1">
      <c r="B103" s="1242" t="s">
        <v>1203</v>
      </c>
      <c r="C103" s="692">
        <f>C65*D76+D65*D77+E65*D78</f>
        <v>1357.26</v>
      </c>
      <c r="D103"/>
      <c r="E103"/>
      <c r="K103" s="1234"/>
    </row>
    <row r="104" spans="2:11" hidden="1" outlineLevel="1">
      <c r="B104" s="1243" t="s">
        <v>1205</v>
      </c>
      <c r="C104" s="1244">
        <f>C66*D80+D66*D81+E66*D82+F66*D79</f>
        <v>923.37</v>
      </c>
      <c r="D104"/>
      <c r="E104"/>
      <c r="K104" s="1234"/>
    </row>
    <row r="105" spans="2:11" hidden="1" outlineLevel="1">
      <c r="B105" s="1243" t="s">
        <v>1206</v>
      </c>
      <c r="C105" s="1244">
        <f>C67*D84+D67*D85+E67*D86+F67*D84</f>
        <v>848.78</v>
      </c>
      <c r="D105"/>
      <c r="E105"/>
      <c r="K105" s="1234"/>
    </row>
    <row r="106" spans="2:11" hidden="1" outlineLevel="1">
      <c r="B106" s="1243" t="s">
        <v>1208</v>
      </c>
      <c r="C106" s="1244">
        <f>C68*D88+D68*D89+F68*D90+G68*D90</f>
        <v>33.270000000000003</v>
      </c>
      <c r="D106"/>
      <c r="E106"/>
      <c r="K106" s="1234"/>
    </row>
    <row r="107" spans="2:11" hidden="1" outlineLevel="1">
      <c r="B107" s="1243" t="s">
        <v>1209</v>
      </c>
      <c r="C107" s="1244">
        <f>C69*D92+D69*D93+F69*D94+G69*D94</f>
        <v>371.61999999999995</v>
      </c>
      <c r="D107"/>
      <c r="E107"/>
      <c r="K107" s="1234"/>
    </row>
    <row r="108" spans="2:11" ht="17" hidden="1" outlineLevel="1" thickBot="1">
      <c r="B108" s="1245" t="s">
        <v>1198</v>
      </c>
      <c r="C108" s="810">
        <f>D96*C70+D98*E70</f>
        <v>399.79999999999995</v>
      </c>
      <c r="D108"/>
      <c r="E108"/>
      <c r="K108" s="1234"/>
    </row>
    <row r="109" spans="2:11" hidden="1" outlineLevel="1"/>
    <row r="110" spans="2:11" hidden="1" outlineLevel="1"/>
    <row r="111" spans="2:11" ht="23" hidden="1" customHeight="1" outlineLevel="1">
      <c r="B111" s="11" t="s">
        <v>1213</v>
      </c>
    </row>
    <row r="112" spans="2:11" ht="23" hidden="1" customHeight="1" outlineLevel="1">
      <c r="B112" s="1246" t="s">
        <v>265</v>
      </c>
    </row>
    <row r="113" spans="2:9" ht="23" hidden="1" customHeight="1" outlineLevel="1">
      <c r="B113" s="82" t="s">
        <v>1214</v>
      </c>
    </row>
    <row r="114" spans="2:9" ht="34" hidden="1" outlineLevel="1">
      <c r="B114" s="1247" t="s">
        <v>1215</v>
      </c>
      <c r="C114" s="1248">
        <v>3</v>
      </c>
      <c r="D114" s="1249" t="s">
        <v>1216</v>
      </c>
      <c r="E114" s="1248"/>
      <c r="F114" s="1248"/>
      <c r="G114" s="1248"/>
      <c r="H114" s="1248"/>
      <c r="I114" s="1250"/>
    </row>
    <row r="115" spans="2:9" ht="17" hidden="1" outlineLevel="1">
      <c r="B115" s="1251"/>
      <c r="C115" s="32">
        <v>1.5</v>
      </c>
      <c r="D115" s="261" t="s">
        <v>1217</v>
      </c>
      <c r="I115" s="1252"/>
    </row>
    <row r="116" spans="2:9" ht="34" hidden="1" outlineLevel="1">
      <c r="B116" s="1253" t="s">
        <v>1218</v>
      </c>
      <c r="C116" s="32">
        <f>SUM(C114:C115)</f>
        <v>4.5</v>
      </c>
      <c r="D116" s="261" t="s">
        <v>1219</v>
      </c>
      <c r="E116" s="32">
        <v>11095</v>
      </c>
      <c r="F116" s="261" t="s">
        <v>1220</v>
      </c>
      <c r="G116" s="1254">
        <f>(C116*1000)/E116</f>
        <v>0.40558810274898605</v>
      </c>
      <c r="H116" s="32" t="s">
        <v>1221</v>
      </c>
      <c r="I116" s="1252" t="s">
        <v>1222</v>
      </c>
    </row>
    <row r="117" spans="2:9" ht="34" hidden="1" outlineLevel="1">
      <c r="B117" s="1251" t="s">
        <v>1223</v>
      </c>
      <c r="C117" s="32">
        <v>10</v>
      </c>
      <c r="D117" s="1255" t="s">
        <v>1224</v>
      </c>
      <c r="E117" s="32">
        <v>24748</v>
      </c>
      <c r="F117" s="261" t="s">
        <v>1220</v>
      </c>
      <c r="G117" s="1254">
        <f>(C117*1000)/E117</f>
        <v>0.4040730564085987</v>
      </c>
      <c r="H117" s="32" t="s">
        <v>1221</v>
      </c>
      <c r="I117" s="1256" t="s">
        <v>1225</v>
      </c>
    </row>
    <row r="118" spans="2:9" hidden="1" outlineLevel="1">
      <c r="B118" s="1195"/>
      <c r="C118" s="1257"/>
      <c r="D118" s="1257"/>
      <c r="E118" s="1257"/>
      <c r="F118" s="1258" t="s">
        <v>1226</v>
      </c>
      <c r="G118" s="1259">
        <f>AVERAGE(G116:G117)</f>
        <v>0.40483057957879237</v>
      </c>
      <c r="H118" s="1258" t="s">
        <v>1221</v>
      </c>
      <c r="I118" s="1194"/>
    </row>
    <row r="119" spans="2:9" hidden="1" outlineLevel="1">
      <c r="F119" s="35"/>
      <c r="G119" s="1260"/>
      <c r="H119" s="35"/>
    </row>
    <row r="120" spans="2:9" hidden="1" outlineLevel="1">
      <c r="B120" s="1246" t="s">
        <v>265</v>
      </c>
    </row>
    <row r="121" spans="2:9" hidden="1" outlineLevel="1">
      <c r="B121" s="32" t="s">
        <v>1227</v>
      </c>
      <c r="C121" s="1261"/>
      <c r="D121" s="1261"/>
    </row>
    <row r="122" spans="2:9" hidden="1" outlineLevel="1">
      <c r="B122" s="1261" t="s">
        <v>1228</v>
      </c>
      <c r="C122" s="1261">
        <v>47361</v>
      </c>
      <c r="D122" s="1261"/>
    </row>
    <row r="123" spans="2:9" hidden="1" outlineLevel="1">
      <c r="B123" s="1261" t="s">
        <v>1229</v>
      </c>
      <c r="C123" s="1261">
        <v>23</v>
      </c>
      <c r="D123" s="1261"/>
    </row>
    <row r="124" spans="2:9" hidden="1" outlineLevel="1">
      <c r="B124" s="1262" t="s">
        <v>1230</v>
      </c>
      <c r="C124" s="1262" t="s">
        <v>97</v>
      </c>
      <c r="D124" s="1262" t="s">
        <v>18</v>
      </c>
      <c r="E124" s="1262" t="s">
        <v>1231</v>
      </c>
      <c r="F124" s="1262" t="s">
        <v>1221</v>
      </c>
      <c r="G124"/>
    </row>
    <row r="125" spans="2:9" hidden="1" outlineLevel="1">
      <c r="B125" s="1263" t="s">
        <v>1232</v>
      </c>
      <c r="C125" s="1264">
        <f>E125*$C$131</f>
        <v>4.1961399999999998</v>
      </c>
      <c r="D125" s="1263" t="s">
        <v>1233</v>
      </c>
      <c r="E125" s="1265">
        <v>1.2999999999999999E-2</v>
      </c>
      <c r="F125" s="1266">
        <f t="shared" ref="F125:F130" si="5">C125*1000/$C$123/$C$122</f>
        <v>3.8521329694309104E-3</v>
      </c>
    </row>
    <row r="126" spans="2:9" hidden="1" outlineLevel="1">
      <c r="B126" s="1263" t="s">
        <v>1234</v>
      </c>
      <c r="C126" s="1264">
        <f>E126*$C$131</f>
        <v>21.94904</v>
      </c>
      <c r="D126" s="1263" t="s">
        <v>1233</v>
      </c>
      <c r="E126" s="1265">
        <v>6.8000000000000005E-2</v>
      </c>
      <c r="F126" s="1266">
        <f t="shared" si="5"/>
        <v>2.014961860933092E-2</v>
      </c>
    </row>
    <row r="127" spans="2:9" hidden="1" outlineLevel="1">
      <c r="B127" s="1263" t="s">
        <v>1198</v>
      </c>
      <c r="C127" s="1264">
        <f>E127*$C$131</f>
        <v>103.28959999999999</v>
      </c>
      <c r="D127" s="1263" t="s">
        <v>1233</v>
      </c>
      <c r="E127" s="1267">
        <v>0.32</v>
      </c>
      <c r="F127" s="1266">
        <f t="shared" si="5"/>
        <v>9.4821734632145493E-2</v>
      </c>
    </row>
    <row r="128" spans="2:9" hidden="1" outlineLevel="1">
      <c r="B128" s="1263" t="s">
        <v>1235</v>
      </c>
      <c r="C128" s="1264">
        <f>E128*$C$131</f>
        <v>19.366799999999998</v>
      </c>
      <c r="D128" s="1263" t="s">
        <v>1233</v>
      </c>
      <c r="E128" s="1265">
        <v>0.06</v>
      </c>
      <c r="F128" s="1266">
        <f t="shared" si="5"/>
        <v>1.7779075243527283E-2</v>
      </c>
    </row>
    <row r="129" spans="2:6" hidden="1" outlineLevel="1">
      <c r="B129" s="1263" t="s">
        <v>1236</v>
      </c>
      <c r="C129" s="1264">
        <f>E129*$C$131</f>
        <v>156.87107999999998</v>
      </c>
      <c r="D129" s="1263" t="s">
        <v>1233</v>
      </c>
      <c r="E129" s="1265">
        <v>0.48599999999999999</v>
      </c>
      <c r="F129" s="1266">
        <f t="shared" si="5"/>
        <v>0.14401050947257099</v>
      </c>
    </row>
    <row r="130" spans="2:6" hidden="1" outlineLevel="1">
      <c r="B130" s="1263" t="s">
        <v>320</v>
      </c>
      <c r="C130" s="1263">
        <v>16.100000000000001</v>
      </c>
      <c r="D130" s="1263" t="s">
        <v>1233</v>
      </c>
      <c r="E130" s="1268">
        <v>0.05</v>
      </c>
      <c r="F130" s="1266">
        <f t="shared" si="5"/>
        <v>1.4780093325732145E-2</v>
      </c>
    </row>
    <row r="131" spans="2:6" hidden="1" outlineLevel="1">
      <c r="B131" s="1262" t="s">
        <v>139</v>
      </c>
      <c r="C131" s="1262">
        <v>322.77999999999997</v>
      </c>
      <c r="D131" s="1262" t="s">
        <v>1233</v>
      </c>
      <c r="E131" s="1269">
        <v>1</v>
      </c>
      <c r="F131" s="1270">
        <f>SUM(F125:F130)</f>
        <v>0.29539316425273776</v>
      </c>
    </row>
    <row r="132" spans="2:6" hidden="1" outlineLevel="1">
      <c r="B132" s="1271" t="s">
        <v>1237</v>
      </c>
      <c r="C132" s="1272">
        <f>C131/C123</f>
        <v>14.033913043478259</v>
      </c>
      <c r="D132" s="1271" t="s">
        <v>1238</v>
      </c>
      <c r="E132" s="1263"/>
      <c r="F132" s="1271">
        <v>0.27</v>
      </c>
    </row>
    <row r="133" spans="2:6" hidden="1" outlineLevel="1"/>
    <row r="134" spans="2:6" hidden="1" outlineLevel="1">
      <c r="B134" s="1246" t="s">
        <v>265</v>
      </c>
    </row>
    <row r="135" spans="2:6" ht="17" hidden="1" outlineLevel="1" thickBot="1">
      <c r="B135" s="32" t="s">
        <v>1239</v>
      </c>
    </row>
    <row r="136" spans="2:6" s="35" customFormat="1" ht="35" hidden="1" outlineLevel="1" thickBot="1">
      <c r="B136" s="1273" t="s">
        <v>1230</v>
      </c>
      <c r="C136" s="1274" t="s">
        <v>1240</v>
      </c>
      <c r="D136" s="1275" t="s">
        <v>1231</v>
      </c>
      <c r="E136" s="454"/>
      <c r="F136" s="454"/>
    </row>
    <row r="137" spans="2:6" hidden="1" outlineLevel="1">
      <c r="B137" s="1276" t="s">
        <v>1232</v>
      </c>
      <c r="C137" s="1277">
        <f t="shared" ref="C137:C142" si="6">$C$143*E125</f>
        <v>4.6785316896828669E-3</v>
      </c>
      <c r="D137" s="1278">
        <f>C137/$C$143</f>
        <v>1.2999999999999999E-2</v>
      </c>
      <c r="E137"/>
      <c r="F137"/>
    </row>
    <row r="138" spans="2:6" hidden="1" outlineLevel="1">
      <c r="B138" s="1279" t="s">
        <v>1234</v>
      </c>
      <c r="C138" s="1280">
        <f t="shared" si="6"/>
        <v>2.4472319607571919E-2</v>
      </c>
      <c r="D138" s="1281">
        <f t="shared" ref="D138:D143" si="7">C138/$C$143</f>
        <v>6.8000000000000005E-2</v>
      </c>
      <c r="E138"/>
      <c r="F138"/>
    </row>
    <row r="139" spans="2:6" hidden="1" outlineLevel="1">
      <c r="B139" s="1279" t="s">
        <v>1198</v>
      </c>
      <c r="C139" s="1280">
        <f t="shared" si="6"/>
        <v>0.11516385697680903</v>
      </c>
      <c r="D139" s="1281">
        <f t="shared" si="7"/>
        <v>0.32</v>
      </c>
      <c r="E139"/>
      <c r="F139"/>
    </row>
    <row r="140" spans="2:6" hidden="1" outlineLevel="1">
      <c r="B140" s="1279" t="s">
        <v>1235</v>
      </c>
      <c r="C140" s="1280">
        <f t="shared" si="6"/>
        <v>2.1593223183151693E-2</v>
      </c>
      <c r="D140" s="1281">
        <f t="shared" si="7"/>
        <v>0.06</v>
      </c>
      <c r="E140"/>
      <c r="F140"/>
    </row>
    <row r="141" spans="2:6" hidden="1" outlineLevel="1">
      <c r="B141" s="1279" t="s">
        <v>1236</v>
      </c>
      <c r="C141" s="1280">
        <f t="shared" si="6"/>
        <v>0.17490510778352872</v>
      </c>
      <c r="D141" s="1281">
        <f t="shared" si="7"/>
        <v>0.48599999999999999</v>
      </c>
      <c r="E141"/>
      <c r="F141"/>
    </row>
    <row r="142" spans="2:6" ht="17" hidden="1" outlineLevel="1" thickBot="1">
      <c r="B142" s="1282" t="s">
        <v>320</v>
      </c>
      <c r="C142" s="1283">
        <f t="shared" si="6"/>
        <v>1.7994352652626413E-2</v>
      </c>
      <c r="D142" s="1284">
        <f t="shared" si="7"/>
        <v>0.05</v>
      </c>
      <c r="E142"/>
      <c r="F142"/>
    </row>
    <row r="143" spans="2:6" ht="17" hidden="1" outlineLevel="1" thickBot="1">
      <c r="B143" s="1285" t="s">
        <v>0</v>
      </c>
      <c r="C143" s="1286">
        <f>AVERAGE(F132,G117,G116)</f>
        <v>0.35988705305252822</v>
      </c>
      <c r="D143" s="1287">
        <f t="shared" si="7"/>
        <v>1</v>
      </c>
      <c r="E143"/>
      <c r="F143"/>
    </row>
    <row r="144" spans="2:6" collapsed="1">
      <c r="B144" s="1288"/>
      <c r="C144" s="1289"/>
      <c r="D144" s="1290"/>
      <c r="E144"/>
      <c r="F144"/>
    </row>
    <row r="153" spans="2:15">
      <c r="K153"/>
      <c r="L153"/>
      <c r="M153"/>
      <c r="N153"/>
      <c r="O153"/>
    </row>
    <row r="154" spans="2:15">
      <c r="K154"/>
      <c r="L154"/>
      <c r="M154"/>
      <c r="N154"/>
      <c r="O154"/>
    </row>
    <row r="155" spans="2:15">
      <c r="B155"/>
      <c r="C155"/>
      <c r="D155"/>
      <c r="E155"/>
      <c r="F155"/>
      <c r="G155"/>
      <c r="K155"/>
      <c r="L155"/>
      <c r="M155"/>
      <c r="N155"/>
      <c r="O155"/>
    </row>
    <row r="156" spans="2:15">
      <c r="B156"/>
      <c r="C156"/>
      <c r="D156"/>
      <c r="E156"/>
      <c r="F156"/>
      <c r="G156"/>
      <c r="K156"/>
      <c r="L156"/>
      <c r="M156"/>
      <c r="N156"/>
      <c r="O156"/>
    </row>
    <row r="157" spans="2:15">
      <c r="B157"/>
      <c r="C157"/>
      <c r="D157"/>
      <c r="E157"/>
      <c r="F157"/>
      <c r="G157"/>
      <c r="K157"/>
      <c r="L157"/>
      <c r="M157"/>
      <c r="N157"/>
      <c r="O157"/>
    </row>
    <row r="158" spans="2:15">
      <c r="B158"/>
      <c r="C158"/>
      <c r="D158"/>
      <c r="E158"/>
      <c r="F158"/>
      <c r="G158"/>
      <c r="K158"/>
      <c r="L158"/>
      <c r="M158"/>
      <c r="N158"/>
      <c r="O158"/>
    </row>
    <row r="159" spans="2:15">
      <c r="B159"/>
      <c r="C159"/>
      <c r="D159"/>
      <c r="E159"/>
      <c r="F159"/>
      <c r="G159"/>
      <c r="K159"/>
      <c r="L159"/>
      <c r="M159"/>
      <c r="N159"/>
      <c r="O159"/>
    </row>
    <row r="160" spans="2:15">
      <c r="B160"/>
      <c r="C160"/>
      <c r="D160"/>
      <c r="E160"/>
      <c r="F160"/>
      <c r="G160"/>
      <c r="K160"/>
      <c r="L160"/>
      <c r="M160"/>
      <c r="N160"/>
      <c r="O160"/>
    </row>
    <row r="161" spans="2:14">
      <c r="B161"/>
      <c r="C161"/>
      <c r="D161"/>
      <c r="E161"/>
      <c r="F161"/>
      <c r="G161"/>
      <c r="K161" s="331"/>
      <c r="L161" s="5"/>
      <c r="M161" s="5"/>
      <c r="N161" s="5"/>
    </row>
    <row r="162" spans="2:14">
      <c r="B162"/>
      <c r="C162"/>
      <c r="D162"/>
      <c r="E162"/>
      <c r="F162"/>
      <c r="G162"/>
      <c r="K162" s="5"/>
      <c r="L162" s="5"/>
      <c r="M162" s="5"/>
      <c r="N162" s="5"/>
    </row>
    <row r="163" spans="2:14">
      <c r="B163"/>
      <c r="C163"/>
      <c r="D163"/>
      <c r="E163"/>
      <c r="F163"/>
      <c r="G163"/>
      <c r="L163" s="5"/>
      <c r="M163" s="5"/>
      <c r="N163" s="5"/>
    </row>
    <row r="164" spans="2:14">
      <c r="B164"/>
      <c r="C164"/>
      <c r="D164"/>
      <c r="E164"/>
      <c r="F164"/>
      <c r="G164"/>
      <c r="L164" s="5"/>
      <c r="M164" s="5"/>
      <c r="N164" s="5"/>
    </row>
    <row r="165" spans="2:14">
      <c r="B165"/>
      <c r="C165"/>
      <c r="D165"/>
      <c r="E165"/>
      <c r="F165"/>
      <c r="G165"/>
      <c r="L165" s="5"/>
      <c r="M165" s="5"/>
      <c r="N165" s="5"/>
    </row>
    <row r="166" spans="2:14">
      <c r="B166"/>
      <c r="C166"/>
      <c r="D166"/>
      <c r="E166"/>
      <c r="F166"/>
      <c r="G166"/>
      <c r="L166" s="1291"/>
      <c r="M166" s="1291"/>
      <c r="N166" s="1291"/>
    </row>
    <row r="167" spans="2:14">
      <c r="B167"/>
      <c r="C167"/>
      <c r="D167"/>
      <c r="E167"/>
      <c r="F167"/>
      <c r="G167"/>
      <c r="L167" s="1227"/>
      <c r="M167" s="1227"/>
      <c r="N167" s="1227"/>
    </row>
    <row r="168" spans="2:14">
      <c r="B168"/>
      <c r="C168"/>
      <c r="D168"/>
      <c r="E168"/>
      <c r="F168"/>
      <c r="G168"/>
      <c r="L168" s="1228"/>
      <c r="M168" s="1228"/>
      <c r="N168" s="1228"/>
    </row>
    <row r="169" spans="2:14">
      <c r="B169"/>
      <c r="C169"/>
      <c r="D169"/>
      <c r="E169"/>
      <c r="F169"/>
      <c r="G169"/>
      <c r="L169" s="1228"/>
      <c r="M169" s="1228"/>
      <c r="N169" s="1228"/>
    </row>
    <row r="170" spans="2:14">
      <c r="B170"/>
      <c r="C170"/>
      <c r="D170"/>
      <c r="E170"/>
      <c r="F170"/>
      <c r="G170"/>
      <c r="L170" s="1228"/>
      <c r="M170" s="1228"/>
      <c r="N170" s="1228"/>
    </row>
    <row r="171" spans="2:14">
      <c r="B171"/>
      <c r="C171"/>
      <c r="D171"/>
      <c r="E171"/>
      <c r="F171"/>
      <c r="G171"/>
      <c r="L171" s="1228"/>
      <c r="M171" s="1228"/>
      <c r="N171" s="1228"/>
    </row>
    <row r="172" spans="2:14">
      <c r="B172"/>
      <c r="C172"/>
      <c r="D172"/>
      <c r="E172"/>
      <c r="F172"/>
      <c r="G172"/>
      <c r="L172" s="1228"/>
      <c r="M172" s="1228"/>
      <c r="N172" s="1228"/>
    </row>
    <row r="173" spans="2:14">
      <c r="B173"/>
      <c r="C173"/>
      <c r="D173"/>
      <c r="E173"/>
      <c r="F173"/>
      <c r="G173"/>
      <c r="L173" s="1228"/>
      <c r="M173" s="1228"/>
      <c r="N173" s="1228"/>
    </row>
    <row r="174" spans="2:14">
      <c r="B174"/>
      <c r="C174"/>
      <c r="D174"/>
      <c r="E174"/>
      <c r="F174"/>
      <c r="G174"/>
      <c r="L174" s="1228"/>
      <c r="M174" s="1228"/>
      <c r="N174" s="1228"/>
    </row>
    <row r="175" spans="2:14">
      <c r="B175"/>
      <c r="C175"/>
      <c r="D175"/>
      <c r="E175"/>
      <c r="F175"/>
      <c r="G175"/>
      <c r="L175" s="1228"/>
      <c r="M175" s="1228"/>
      <c r="N175" s="1228"/>
    </row>
    <row r="176" spans="2:14">
      <c r="B176"/>
      <c r="C176"/>
      <c r="D176"/>
      <c r="E176"/>
      <c r="F176"/>
      <c r="G176"/>
      <c r="L176" s="1228"/>
      <c r="M176" s="1228"/>
      <c r="N176" s="1228"/>
    </row>
    <row r="177" spans="2:14">
      <c r="B177"/>
      <c r="C177"/>
      <c r="D177"/>
      <c r="E177"/>
      <c r="F177"/>
      <c r="G177"/>
      <c r="L177" s="1228"/>
      <c r="M177" s="1228"/>
      <c r="N177" s="1228"/>
    </row>
    <row r="178" spans="2:14">
      <c r="B178"/>
      <c r="C178"/>
      <c r="D178"/>
      <c r="E178"/>
      <c r="F178"/>
      <c r="G178"/>
      <c r="L178" s="5"/>
      <c r="M178" s="5"/>
      <c r="N178" s="5"/>
    </row>
    <row r="179" spans="2:14">
      <c r="B179"/>
      <c r="C179"/>
      <c r="D179"/>
      <c r="E179"/>
      <c r="F179"/>
      <c r="G179"/>
      <c r="L179" s="5"/>
      <c r="M179" s="5"/>
      <c r="N179" s="5"/>
    </row>
    <row r="180" spans="2:14">
      <c r="B180"/>
      <c r="C180"/>
      <c r="D180"/>
      <c r="E180"/>
      <c r="F180"/>
      <c r="G180"/>
      <c r="L180" s="5"/>
      <c r="M180" s="5"/>
      <c r="N180" s="5"/>
    </row>
    <row r="181" spans="2:14">
      <c r="L181" s="5"/>
      <c r="M181" s="5"/>
      <c r="N181" s="5"/>
    </row>
    <row r="182" spans="2:14">
      <c r="L182" s="5"/>
      <c r="M182" s="5"/>
      <c r="N182" s="5"/>
    </row>
    <row r="183" spans="2:14">
      <c r="L183" s="335"/>
      <c r="M183" s="336"/>
      <c r="N183" s="334"/>
    </row>
    <row r="184" spans="2:14">
      <c r="L184" s="1232"/>
      <c r="M184" s="1232"/>
      <c r="N184" s="1232"/>
    </row>
    <row r="185" spans="2:14">
      <c r="L185" s="1237"/>
      <c r="M185" s="1237"/>
      <c r="N185" s="1233"/>
    </row>
    <row r="186" spans="2:14" ht="17" customHeight="1">
      <c r="L186" s="1237"/>
      <c r="M186" s="1237"/>
      <c r="N186" s="1233"/>
    </row>
    <row r="187" spans="2:14">
      <c r="L187" s="1237"/>
      <c r="M187" s="1237"/>
      <c r="N187" s="1233"/>
    </row>
    <row r="188" spans="2:14">
      <c r="L188" s="1237"/>
      <c r="M188" s="1237"/>
      <c r="N188" s="1233"/>
    </row>
    <row r="189" spans="2:14">
      <c r="L189" s="1237"/>
      <c r="M189" s="1237"/>
      <c r="N189" s="1233"/>
    </row>
    <row r="190" spans="2:14">
      <c r="L190" s="1237"/>
      <c r="M190" s="1237"/>
      <c r="N190" s="1233"/>
    </row>
    <row r="191" spans="2:14">
      <c r="L191" s="1237"/>
      <c r="M191" s="1237"/>
      <c r="N191" s="1233"/>
    </row>
    <row r="192" spans="2:14">
      <c r="L192" s="1237"/>
      <c r="M192" s="1237"/>
      <c r="N192" s="1233"/>
    </row>
    <row r="193" spans="1:26">
      <c r="L193" s="1237"/>
      <c r="M193" s="1237"/>
      <c r="N193" s="1233"/>
    </row>
    <row r="194" spans="1:26">
      <c r="L194" s="1237"/>
      <c r="M194" s="1237"/>
      <c r="N194" s="1233"/>
    </row>
    <row r="195" spans="1:26">
      <c r="L195" s="1237"/>
      <c r="M195" s="1237"/>
      <c r="N195" s="1233"/>
    </row>
    <row r="196" spans="1:26">
      <c r="L196" s="1237"/>
      <c r="M196" s="1237"/>
      <c r="N196" s="1233"/>
    </row>
    <row r="197" spans="1:26">
      <c r="L197" s="1237"/>
      <c r="M197" s="1237"/>
      <c r="N197" s="1233"/>
    </row>
    <row r="198" spans="1:26">
      <c r="L198" s="1237"/>
      <c r="M198" s="1237"/>
      <c r="N198" s="1233"/>
    </row>
    <row r="202" spans="1:26">
      <c r="B202"/>
      <c r="C202"/>
      <c r="D202"/>
      <c r="E202"/>
      <c r="F202"/>
      <c r="G202"/>
      <c r="H202"/>
      <c r="I202"/>
      <c r="J202"/>
      <c r="K202"/>
      <c r="L202"/>
      <c r="M202"/>
      <c r="N202"/>
    </row>
    <row r="203" spans="1:26" s="9" customFormat="1">
      <c r="A203" s="32"/>
      <c r="B203"/>
      <c r="C203"/>
      <c r="D203"/>
      <c r="E203"/>
      <c r="F203"/>
      <c r="G203"/>
      <c r="H203"/>
      <c r="I203"/>
      <c r="J203"/>
      <c r="K203"/>
      <c r="L203"/>
      <c r="M203"/>
      <c r="N203"/>
      <c r="O203" s="32"/>
      <c r="P203" s="32"/>
      <c r="Q203" s="32"/>
      <c r="R203" s="32"/>
      <c r="S203" s="32"/>
      <c r="T203" s="32"/>
      <c r="U203" s="32"/>
      <c r="V203" s="32"/>
      <c r="W203" s="32"/>
      <c r="X203" s="32"/>
      <c r="Y203" s="32"/>
      <c r="Z203" s="32"/>
    </row>
    <row r="204" spans="1:26" s="9" customFormat="1">
      <c r="A204" s="32"/>
      <c r="B204"/>
      <c r="C204"/>
      <c r="D204"/>
      <c r="E204"/>
      <c r="F204"/>
      <c r="G204"/>
      <c r="H204"/>
      <c r="I204"/>
      <c r="J204"/>
      <c r="K204"/>
      <c r="L204"/>
      <c r="M204"/>
      <c r="N204"/>
      <c r="O204" s="32"/>
      <c r="P204" s="32"/>
      <c r="Q204" s="32"/>
      <c r="R204" s="32"/>
      <c r="S204" s="32"/>
      <c r="T204" s="32"/>
      <c r="U204" s="32"/>
      <c r="V204" s="32"/>
      <c r="W204" s="32"/>
      <c r="X204" s="32"/>
      <c r="Y204" s="32"/>
      <c r="Z204" s="32"/>
    </row>
    <row r="205" spans="1:26" s="9" customFormat="1">
      <c r="A205" s="32"/>
      <c r="B205"/>
      <c r="C205"/>
      <c r="D205"/>
      <c r="E205"/>
      <c r="F205"/>
      <c r="G205"/>
      <c r="H205"/>
      <c r="I205"/>
      <c r="J205"/>
      <c r="K205"/>
      <c r="L205"/>
      <c r="M205"/>
      <c r="N205"/>
      <c r="O205" s="32"/>
      <c r="P205" s="32"/>
      <c r="Q205" s="32"/>
      <c r="R205" s="32"/>
      <c r="S205" s="32"/>
      <c r="T205" s="32"/>
      <c r="U205" s="32"/>
      <c r="V205" s="32"/>
      <c r="W205" s="32"/>
      <c r="X205" s="32"/>
      <c r="Y205" s="32"/>
      <c r="Z205" s="32"/>
    </row>
    <row r="206" spans="1:26" s="9" customFormat="1">
      <c r="A206" s="32"/>
      <c r="B206"/>
      <c r="C206"/>
      <c r="D206"/>
      <c r="E206"/>
      <c r="F206"/>
      <c r="G206"/>
      <c r="H206"/>
      <c r="I206"/>
      <c r="J206"/>
      <c r="K206"/>
      <c r="L206"/>
      <c r="M206"/>
      <c r="N206"/>
      <c r="O206" s="32"/>
      <c r="P206" s="32"/>
      <c r="Q206" s="32"/>
      <c r="R206" s="32"/>
      <c r="S206" s="32"/>
      <c r="T206" s="32"/>
      <c r="U206" s="32"/>
      <c r="V206" s="32"/>
      <c r="W206" s="32"/>
      <c r="X206" s="32"/>
      <c r="Y206" s="32"/>
      <c r="Z206" s="32"/>
    </row>
    <row r="207" spans="1:26" s="9" customFormat="1">
      <c r="A207" s="32"/>
      <c r="B207"/>
      <c r="C207"/>
      <c r="D207"/>
      <c r="E207"/>
      <c r="F207"/>
      <c r="G207"/>
      <c r="H207"/>
      <c r="I207"/>
      <c r="J207"/>
      <c r="K207"/>
      <c r="L207"/>
      <c r="M207"/>
      <c r="N207"/>
      <c r="O207" s="32"/>
      <c r="P207" s="32"/>
      <c r="Q207" s="32"/>
      <c r="R207" s="32"/>
      <c r="S207" s="32"/>
      <c r="T207" s="32"/>
      <c r="U207" s="32"/>
      <c r="V207" s="32"/>
      <c r="W207" s="32"/>
      <c r="X207" s="32"/>
      <c r="Y207" s="32"/>
      <c r="Z207" s="32"/>
    </row>
    <row r="208" spans="1:26" s="9" customFormat="1">
      <c r="A208" s="32"/>
      <c r="B208"/>
      <c r="C208"/>
      <c r="D208"/>
      <c r="E208"/>
      <c r="F208"/>
      <c r="G208"/>
      <c r="H208"/>
      <c r="I208"/>
      <c r="J208"/>
      <c r="K208"/>
      <c r="L208"/>
      <c r="M208"/>
      <c r="N208"/>
      <c r="O208" s="32"/>
      <c r="P208" s="32"/>
      <c r="Q208" s="32"/>
      <c r="R208" s="32"/>
      <c r="S208" s="32"/>
      <c r="T208" s="32"/>
      <c r="U208" s="32"/>
      <c r="V208" s="32"/>
      <c r="W208" s="32"/>
      <c r="X208" s="32"/>
      <c r="Y208" s="32"/>
      <c r="Z208" s="32"/>
    </row>
    <row r="209" spans="1:26" s="9" customFormat="1">
      <c r="A209" s="32"/>
      <c r="B209"/>
      <c r="C209"/>
      <c r="D209"/>
      <c r="E209"/>
      <c r="F209"/>
      <c r="G209"/>
      <c r="H209"/>
      <c r="I209"/>
      <c r="J209"/>
      <c r="K209"/>
      <c r="L209"/>
      <c r="M209"/>
      <c r="N209"/>
      <c r="O209" s="32"/>
      <c r="P209" s="32"/>
      <c r="Q209" s="32"/>
      <c r="R209" s="32"/>
      <c r="S209" s="32"/>
      <c r="T209" s="32"/>
      <c r="U209" s="32"/>
      <c r="V209" s="32"/>
      <c r="W209" s="32"/>
      <c r="X209" s="32"/>
      <c r="Y209" s="32"/>
      <c r="Z209" s="32"/>
    </row>
    <row r="210" spans="1:26" s="9" customFormat="1">
      <c r="A210" s="32"/>
      <c r="B210"/>
      <c r="C210"/>
      <c r="D210"/>
      <c r="E210"/>
      <c r="F210"/>
      <c r="G210"/>
      <c r="H210"/>
      <c r="I210"/>
      <c r="J210"/>
      <c r="K210"/>
      <c r="L210"/>
      <c r="M210"/>
      <c r="N210"/>
      <c r="O210" s="32"/>
      <c r="P210" s="32"/>
      <c r="Q210" s="32"/>
      <c r="R210" s="32"/>
      <c r="S210" s="32"/>
      <c r="T210" s="32"/>
      <c r="U210" s="32"/>
      <c r="V210" s="32"/>
      <c r="W210" s="32"/>
      <c r="X210" s="32"/>
      <c r="Y210" s="32"/>
      <c r="Z210" s="32"/>
    </row>
    <row r="211" spans="1:26" s="9" customFormat="1">
      <c r="A211" s="32"/>
      <c r="B211"/>
      <c r="C211"/>
      <c r="D211"/>
      <c r="E211"/>
      <c r="F211"/>
      <c r="G211"/>
      <c r="H211"/>
      <c r="I211"/>
      <c r="J211"/>
      <c r="K211"/>
      <c r="L211"/>
      <c r="M211"/>
      <c r="N211"/>
      <c r="O211" s="32"/>
      <c r="P211" s="32"/>
      <c r="Q211" s="32"/>
      <c r="R211" s="32"/>
      <c r="S211" s="32"/>
      <c r="T211" s="32"/>
      <c r="U211" s="32"/>
      <c r="V211" s="32"/>
      <c r="W211" s="32"/>
      <c r="X211" s="32"/>
      <c r="Y211" s="32"/>
      <c r="Z211" s="32"/>
    </row>
    <row r="212" spans="1:26" s="9" customFormat="1">
      <c r="A212" s="32"/>
      <c r="B212" s="2319"/>
      <c r="C212" s="2319"/>
      <c r="D212" s="2319"/>
      <c r="E212" s="2319"/>
      <c r="F212" s="2319"/>
      <c r="G212" s="2319"/>
      <c r="H212" s="2319"/>
      <c r="I212" s="2319"/>
      <c r="J212" s="2319"/>
      <c r="K212" s="2319"/>
      <c r="L212"/>
      <c r="M212"/>
      <c r="N212"/>
      <c r="O212" s="32"/>
      <c r="P212" s="32"/>
      <c r="Q212" s="32"/>
      <c r="R212" s="32"/>
      <c r="S212" s="32"/>
      <c r="T212" s="32"/>
      <c r="U212" s="32"/>
      <c r="V212" s="32"/>
      <c r="W212" s="32"/>
      <c r="X212" s="32"/>
      <c r="Y212" s="32"/>
      <c r="Z212" s="32"/>
    </row>
    <row r="213" spans="1:26" s="9" customFormat="1">
      <c r="A213" s="32"/>
      <c r="B213"/>
      <c r="C213" s="2319"/>
      <c r="D213" s="2319"/>
      <c r="E213" s="2319"/>
      <c r="F213" s="2319"/>
      <c r="G213" s="2319"/>
      <c r="H213"/>
      <c r="I213"/>
      <c r="J213"/>
      <c r="K213"/>
      <c r="L213"/>
      <c r="M213"/>
      <c r="N213"/>
      <c r="O213" s="32"/>
      <c r="P213" s="32"/>
      <c r="Q213" s="32"/>
      <c r="R213" s="32"/>
      <c r="S213" s="32"/>
      <c r="T213" s="32"/>
      <c r="U213" s="32"/>
      <c r="V213" s="32"/>
      <c r="W213" s="32"/>
      <c r="X213" s="32"/>
      <c r="Y213" s="32"/>
      <c r="Z213" s="32"/>
    </row>
    <row r="214" spans="1:26">
      <c r="B214"/>
      <c r="C214"/>
      <c r="D214"/>
      <c r="E214"/>
      <c r="F214"/>
      <c r="G214"/>
      <c r="H214"/>
      <c r="I214" s="2319"/>
      <c r="J214"/>
      <c r="K214"/>
      <c r="L214"/>
      <c r="M214"/>
      <c r="N214"/>
    </row>
    <row r="215" spans="1:26">
      <c r="B215"/>
      <c r="C215"/>
      <c r="D215"/>
      <c r="E215"/>
      <c r="F215"/>
      <c r="G215"/>
      <c r="H215"/>
      <c r="I215" s="2319"/>
      <c r="J215"/>
      <c r="K215"/>
      <c r="L215"/>
      <c r="M215"/>
      <c r="N215"/>
    </row>
    <row r="216" spans="1:26">
      <c r="B216"/>
      <c r="C216"/>
      <c r="D216"/>
      <c r="E216"/>
      <c r="F216"/>
      <c r="G216"/>
      <c r="H216"/>
      <c r="I216"/>
      <c r="J216"/>
      <c r="K216"/>
      <c r="L216"/>
      <c r="M216"/>
      <c r="N216"/>
    </row>
    <row r="217" spans="1:26">
      <c r="B217"/>
      <c r="C217"/>
      <c r="D217"/>
      <c r="E217"/>
      <c r="F217"/>
      <c r="G217"/>
      <c r="H217"/>
      <c r="I217"/>
      <c r="J217"/>
      <c r="K217"/>
      <c r="L217"/>
      <c r="M217"/>
      <c r="N217"/>
    </row>
  </sheetData>
  <mergeCells count="21">
    <mergeCell ref="B95:B98"/>
    <mergeCell ref="B212:K212"/>
    <mergeCell ref="C213:G213"/>
    <mergeCell ref="I214:I215"/>
    <mergeCell ref="B91:B94"/>
    <mergeCell ref="C16:L16"/>
    <mergeCell ref="B75:B78"/>
    <mergeCell ref="B79:B82"/>
    <mergeCell ref="B83:B86"/>
    <mergeCell ref="B87:B90"/>
    <mergeCell ref="C15:L15"/>
    <mergeCell ref="B2:E2"/>
    <mergeCell ref="B4:D4"/>
    <mergeCell ref="C6:D6"/>
    <mergeCell ref="C7:D7"/>
    <mergeCell ref="B9:L9"/>
    <mergeCell ref="C10:L10"/>
    <mergeCell ref="C11:L11"/>
    <mergeCell ref="C12:L12"/>
    <mergeCell ref="C13:L13"/>
    <mergeCell ref="C14:L14"/>
  </mergeCells>
  <conditionalFormatting sqref="C7">
    <cfRule type="containsText" dxfId="17" priority="1" operator="containsText" text="Calcul brouillon, odg">
      <formula>NOT(ISERROR(SEARCH("Calcul brouillon, odg",C7)))</formula>
    </cfRule>
    <cfRule type="containsText" dxfId="16" priority="2" operator="containsText" text="Pas ok">
      <formula>NOT(ISERROR(SEARCH("Pas ok",C7)))</formula>
    </cfRule>
    <cfRule type="containsText" dxfId="15" priority="3" operator="containsText" text="Calcul brouillon, ordre de grandeur">
      <formula>NOT(ISERROR(SEARCH("Calcul brouillon, ordre de grandeur",C7)))</formula>
    </cfRule>
    <cfRule type="containsText" dxfId="14" priority="4" operator="containsText" text="Bon ordre de grandeur">
      <formula>NOT(ISERROR(SEARCH("Bon ordre de grandeur",C7)))</formula>
    </cfRule>
    <cfRule type="containsText" dxfId="13" priority="5" operator="containsText" text="Calcul validé">
      <formula>NOT(ISERROR(SEARCH("Calcul validé",C7)))</formula>
    </cfRule>
    <cfRule type="containsText" dxfId="12" priority="6" operator="containsText" text="Pas ok">
      <formula>NOT(ISERROR(SEARCH("Pas ok",C7)))</formula>
    </cfRule>
    <cfRule type="containsText" dxfId="11" priority="7" operator="containsText" text="Calcul brouillon, ordre de grandeur">
      <formula>NOT(ISERROR(SEARCH("Calcul brouillon, ordre de grandeur",C7)))</formula>
    </cfRule>
    <cfRule type="containsText" dxfId="10" priority="8" operator="containsText" text="Bon ordre de grandeur">
      <formula>NOT(ISERROR(SEARCH("Bon ordre de grandeur",C7)))</formula>
    </cfRule>
    <cfRule type="containsText" dxfId="9" priority="9" operator="containsText" text="Calcul validé">
      <formula>NOT(ISERROR(SEARCH("Calcul validé",C7)))</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40335-90C5-6640-B089-B5F490A427D5}">
  <sheetPr>
    <tabColor rgb="FFC00000"/>
  </sheetPr>
  <dimension ref="A1:Q250"/>
  <sheetViews>
    <sheetView zoomScale="50" workbookViewId="0">
      <selection activeCell="E121" sqref="E121"/>
    </sheetView>
  </sheetViews>
  <sheetFormatPr baseColWidth="10" defaultColWidth="11.5" defaultRowHeight="14" outlineLevelRow="1"/>
  <cols>
    <col min="1" max="1" width="11.6640625" style="257" customWidth="1"/>
    <col min="2" max="2" width="49.5" style="257" customWidth="1"/>
    <col min="3" max="3" width="38.1640625" style="257" customWidth="1"/>
    <col min="4" max="4" width="43" style="257" customWidth="1"/>
    <col min="5" max="7" width="35.1640625" style="257" customWidth="1"/>
    <col min="8" max="8" width="38.1640625" style="257" customWidth="1"/>
    <col min="9" max="11" width="34.6640625" style="257" customWidth="1"/>
    <col min="12" max="33" width="16.1640625" style="257" customWidth="1"/>
    <col min="34" max="16384" width="11.5" style="257"/>
  </cols>
  <sheetData>
    <row r="1" spans="2:17" ht="29" customHeight="1">
      <c r="F1" s="32"/>
      <c r="G1" s="32"/>
      <c r="H1" s="32"/>
    </row>
    <row r="2" spans="2:17" ht="29" customHeight="1">
      <c r="B2" s="2005" t="s">
        <v>1241</v>
      </c>
      <c r="C2" s="2005"/>
      <c r="D2" s="2005"/>
      <c r="F2" s="32"/>
      <c r="G2" s="32"/>
      <c r="H2" s="32"/>
    </row>
    <row r="3" spans="2:17" ht="29" customHeight="1">
      <c r="F3" s="32"/>
      <c r="G3" s="32"/>
      <c r="H3" s="32"/>
    </row>
    <row r="4" spans="2:17" ht="29" customHeight="1" thickBot="1">
      <c r="F4" s="32"/>
      <c r="G4" s="32"/>
      <c r="H4" s="32"/>
    </row>
    <row r="5" spans="2:17" ht="29" customHeight="1">
      <c r="B5" s="2006" t="s">
        <v>2</v>
      </c>
      <c r="C5" s="2007"/>
      <c r="D5" s="2008"/>
      <c r="F5" s="32"/>
      <c r="G5" s="32"/>
      <c r="H5" s="32"/>
    </row>
    <row r="6" spans="2:17" ht="29" customHeight="1">
      <c r="B6" s="280" t="s">
        <v>335</v>
      </c>
      <c r="C6" s="413">
        <f>D29</f>
        <v>19458.502065823148</v>
      </c>
      <c r="D6" s="258" t="s">
        <v>3</v>
      </c>
      <c r="F6" s="32"/>
      <c r="G6" s="32"/>
      <c r="H6" s="32"/>
    </row>
    <row r="7" spans="2:17" ht="29" customHeight="1">
      <c r="B7" s="280" t="s">
        <v>336</v>
      </c>
      <c r="C7" s="413">
        <f>E29</f>
        <v>8070.6532901799419</v>
      </c>
      <c r="D7" s="258" t="s">
        <v>3</v>
      </c>
      <c r="F7" s="32"/>
      <c r="G7" s="32"/>
      <c r="H7" s="32"/>
    </row>
    <row r="8" spans="2:17" ht="29" customHeight="1" thickBot="1">
      <c r="B8" s="281" t="s">
        <v>337</v>
      </c>
      <c r="C8" s="2009">
        <f>(C7-C6)/C6</f>
        <v>-0.58523768875533266</v>
      </c>
      <c r="D8" s="2010"/>
      <c r="E8" s="32"/>
      <c r="F8" s="32"/>
      <c r="G8" s="32"/>
      <c r="H8" s="32"/>
    </row>
    <row r="9" spans="2:17" ht="29" customHeight="1">
      <c r="D9" s="259"/>
      <c r="E9" s="259"/>
      <c r="G9" s="263"/>
      <c r="H9" s="263"/>
      <c r="I9" s="263"/>
      <c r="J9" s="263"/>
      <c r="K9" s="263"/>
      <c r="L9" s="683"/>
      <c r="M9" s="683"/>
      <c r="N9" s="683"/>
      <c r="O9" s="683"/>
      <c r="P9" s="683"/>
      <c r="Q9" s="683"/>
    </row>
    <row r="10" spans="2:17" ht="29" customHeight="1">
      <c r="G10" s="263"/>
      <c r="H10" s="263"/>
      <c r="I10" s="263"/>
      <c r="J10" s="263"/>
      <c r="K10" s="263"/>
      <c r="L10" s="683"/>
      <c r="M10" s="683"/>
      <c r="N10" s="683"/>
      <c r="O10" s="683"/>
      <c r="P10" s="683"/>
      <c r="Q10" s="683"/>
    </row>
    <row r="11" spans="2:17" ht="29" customHeight="1">
      <c r="B11" s="260" t="s">
        <v>338</v>
      </c>
      <c r="H11" s="263"/>
      <c r="I11" s="263"/>
      <c r="J11" s="263"/>
      <c r="K11" s="263"/>
      <c r="L11" s="683"/>
      <c r="M11" s="683"/>
      <c r="N11" s="683"/>
      <c r="O11" s="683"/>
      <c r="P11" s="683"/>
      <c r="Q11" s="683"/>
    </row>
    <row r="12" spans="2:17" ht="29" customHeight="1" thickBot="1">
      <c r="H12" s="263"/>
      <c r="I12" s="263"/>
      <c r="J12" s="263"/>
      <c r="K12" s="263"/>
    </row>
    <row r="13" spans="2:17" ht="36" customHeight="1" thickBot="1">
      <c r="B13" s="684" t="s">
        <v>339</v>
      </c>
      <c r="C13" s="685" t="s">
        <v>340</v>
      </c>
      <c r="D13" s="686" t="s">
        <v>1242</v>
      </c>
      <c r="E13" s="687" t="s">
        <v>341</v>
      </c>
      <c r="F13" s="688" t="s">
        <v>1243</v>
      </c>
      <c r="G13" s="687" t="s">
        <v>754</v>
      </c>
      <c r="H13" s="689" t="s">
        <v>1244</v>
      </c>
      <c r="I13" s="263"/>
      <c r="J13" s="263"/>
      <c r="K13" s="263"/>
    </row>
    <row r="14" spans="2:17" ht="38" customHeight="1">
      <c r="H14" s="263"/>
      <c r="I14" s="263"/>
      <c r="J14" s="263"/>
      <c r="K14" s="263"/>
    </row>
    <row r="15" spans="2:17" ht="29" customHeight="1">
      <c r="B15" s="260" t="s">
        <v>361</v>
      </c>
      <c r="G15" s="263"/>
    </row>
    <row r="16" spans="2:17" ht="29" customHeight="1" thickBot="1">
      <c r="G16" s="263"/>
      <c r="I16" s="263"/>
      <c r="J16" s="263"/>
      <c r="K16" s="263"/>
      <c r="L16" s="263"/>
    </row>
    <row r="17" spans="2:12" ht="40" customHeight="1" thickBot="1">
      <c r="B17" s="32"/>
      <c r="C17" s="804"/>
      <c r="D17" s="297">
        <v>2020</v>
      </c>
      <c r="E17" s="297">
        <v>2050</v>
      </c>
      <c r="G17" s="263"/>
      <c r="L17" s="263"/>
    </row>
    <row r="18" spans="2:12" ht="44" customHeight="1" thickBot="1">
      <c r="B18" s="1200" t="str">
        <f>D13</f>
        <v>Quantité de déchets</v>
      </c>
      <c r="C18" s="1292" t="s">
        <v>1245</v>
      </c>
      <c r="D18" s="1293">
        <f>SUM('6. Déchets'!C46:C50)</f>
        <v>47131.639853483823</v>
      </c>
      <c r="E18" s="1294">
        <f>D118</f>
        <v>27233.826111749047</v>
      </c>
      <c r="H18" s="263"/>
      <c r="I18" s="263"/>
      <c r="J18" s="263"/>
      <c r="K18" s="263"/>
      <c r="L18" s="263"/>
    </row>
    <row r="19" spans="2:12" ht="44" customHeight="1">
      <c r="B19" s="1994" t="str">
        <f>F13</f>
        <v>Type de déchets</v>
      </c>
      <c r="C19" s="695" t="s">
        <v>1232</v>
      </c>
      <c r="D19" s="1295">
        <f>'6. Déchets'!C46/'Fiche levier - 6'!$D$18</f>
        <v>1.3727560718057022E-2</v>
      </c>
      <c r="E19" s="1296">
        <f>E113</f>
        <v>1.425438596491228E-2</v>
      </c>
      <c r="F19" s="263"/>
      <c r="G19" s="263"/>
      <c r="H19" s="263"/>
      <c r="I19" s="263"/>
      <c r="J19" s="263"/>
      <c r="K19" s="263"/>
      <c r="L19" s="263"/>
    </row>
    <row r="20" spans="2:12" ht="44" customHeight="1">
      <c r="B20" s="2320"/>
      <c r="C20" s="697" t="s">
        <v>1234</v>
      </c>
      <c r="D20" s="1297">
        <f>'6. Déchets'!C47/'Fiche levier - 6'!$D$18</f>
        <v>7.1805702217529035E-2</v>
      </c>
      <c r="E20" s="1298">
        <f>E114</f>
        <v>7.4561403508771926E-2</v>
      </c>
      <c r="F20" s="263"/>
      <c r="G20" s="263"/>
      <c r="H20" s="263"/>
      <c r="I20" s="263"/>
      <c r="J20" s="263"/>
      <c r="K20" s="263"/>
      <c r="L20" s="263"/>
    </row>
    <row r="21" spans="2:12" ht="44" customHeight="1">
      <c r="B21" s="2320"/>
      <c r="C21" s="697" t="s">
        <v>1198</v>
      </c>
      <c r="D21" s="1297">
        <f>'6. Déchets'!C48/'Fiche levier - 6'!$D$18</f>
        <v>0.33790918690601901</v>
      </c>
      <c r="E21" s="1298">
        <f>E115</f>
        <v>0.35087719298245612</v>
      </c>
      <c r="F21" s="263"/>
      <c r="G21" s="263"/>
      <c r="H21" s="263"/>
      <c r="I21" s="263"/>
      <c r="J21" s="263"/>
      <c r="K21" s="263"/>
      <c r="L21" s="263"/>
    </row>
    <row r="22" spans="2:12" ht="44" customHeight="1">
      <c r="B22" s="2320"/>
      <c r="C22" s="697" t="s">
        <v>1235</v>
      </c>
      <c r="D22" s="1297">
        <f>'6. Déchets'!C49/'Fiche levier - 6'!$D$18</f>
        <v>6.3357972544878557E-2</v>
      </c>
      <c r="E22" s="1298">
        <f>E116</f>
        <v>2.7412280701754381E-2</v>
      </c>
      <c r="F22" s="263"/>
      <c r="G22" s="263"/>
      <c r="H22" s="263"/>
      <c r="I22" s="263"/>
      <c r="J22" s="263"/>
      <c r="K22" s="263"/>
    </row>
    <row r="23" spans="2:12" ht="38" customHeight="1" thickBot="1">
      <c r="B23" s="1995"/>
      <c r="C23" s="808" t="s">
        <v>1246</v>
      </c>
      <c r="D23" s="1299">
        <f>'6. Déchets'!C50/'Fiche levier - 6'!$D$18</f>
        <v>0.51319957761351642</v>
      </c>
      <c r="E23" s="1300">
        <f>E117</f>
        <v>0.5328947368421052</v>
      </c>
      <c r="F23" s="263"/>
      <c r="G23" s="263"/>
    </row>
    <row r="24" spans="2:12" ht="44" customHeight="1">
      <c r="B24" s="2321" t="str">
        <f>H13</f>
        <v>Intensité carbone des déchets</v>
      </c>
      <c r="C24" s="1360" t="s">
        <v>1247</v>
      </c>
      <c r="D24" s="1362">
        <f>'6. Déchets'!C103</f>
        <v>1357.26</v>
      </c>
      <c r="E24" s="1361">
        <f>D93</f>
        <v>434</v>
      </c>
      <c r="G24" s="263"/>
      <c r="I24" s="706"/>
      <c r="J24" s="706"/>
    </row>
    <row r="25" spans="2:12" ht="44" customHeight="1">
      <c r="B25" s="2322"/>
      <c r="C25" s="707" t="s">
        <v>1248</v>
      </c>
      <c r="D25" s="1301">
        <f>'6. Déchets'!C104</f>
        <v>923.37</v>
      </c>
      <c r="E25" s="1302">
        <f>D94</f>
        <v>817.6</v>
      </c>
      <c r="G25" s="263"/>
      <c r="H25" s="32"/>
      <c r="I25" s="32"/>
    </row>
    <row r="26" spans="2:12" ht="44" customHeight="1">
      <c r="B26" s="2322"/>
      <c r="C26" s="707" t="s">
        <v>1249</v>
      </c>
      <c r="D26" s="1301">
        <f>'6. Déchets'!C108</f>
        <v>399.79999999999995</v>
      </c>
      <c r="E26" s="1302">
        <f>D98</f>
        <v>429.70000000000005</v>
      </c>
      <c r="G26" s="263"/>
      <c r="H26" s="32"/>
    </row>
    <row r="27" spans="2:12" ht="44" customHeight="1">
      <c r="B27" s="2322"/>
      <c r="C27" s="707" t="s">
        <v>1250</v>
      </c>
      <c r="D27" s="1301">
        <f>'6. Déchets'!C106</f>
        <v>33.270000000000003</v>
      </c>
      <c r="E27" s="1302">
        <f>D96</f>
        <v>30.549999999999997</v>
      </c>
      <c r="G27" s="263"/>
      <c r="H27" s="32"/>
    </row>
    <row r="28" spans="2:12" ht="44" customHeight="1" thickBot="1">
      <c r="B28" s="2322"/>
      <c r="C28" s="1303" t="s">
        <v>1251</v>
      </c>
      <c r="D28" s="1363">
        <f>'6. Déchets'!C107</f>
        <v>371.61999999999995</v>
      </c>
      <c r="E28" s="1304">
        <f>D97</f>
        <v>145.6</v>
      </c>
      <c r="G28" s="263"/>
      <c r="H28" s="32"/>
    </row>
    <row r="29" spans="2:12" ht="44" customHeight="1" thickBot="1">
      <c r="B29" s="712" t="s">
        <v>339</v>
      </c>
      <c r="C29" s="1305" t="s">
        <v>588</v>
      </c>
      <c r="D29" s="1306">
        <f>D18*SUMPRODUCT(D19:D23,D24:D28)/1000</f>
        <v>19458.502065823148</v>
      </c>
      <c r="E29" s="1306">
        <f>E18*SUMPRODUCT(E19:E23,E24:E28)/1000</f>
        <v>8070.6532901799419</v>
      </c>
      <c r="F29" s="715"/>
      <c r="G29" s="263"/>
      <c r="H29" s="32"/>
    </row>
    <row r="30" spans="2:12" ht="29" customHeight="1">
      <c r="D30" s="716"/>
      <c r="E30" s="717"/>
      <c r="F30" s="718"/>
      <c r="G30" s="263"/>
      <c r="H30" s="32"/>
    </row>
    <row r="31" spans="2:12" ht="29" customHeight="1">
      <c r="B31" s="327" t="s">
        <v>379</v>
      </c>
      <c r="D31" s="719"/>
      <c r="E31" s="719"/>
      <c r="H31" s="32"/>
    </row>
    <row r="32" spans="2:12" ht="29" hidden="1" customHeight="1" outlineLevel="1">
      <c r="B32" s="327"/>
      <c r="H32" s="32"/>
    </row>
    <row r="33" spans="2:10" ht="29" hidden="1" customHeight="1" outlineLevel="1">
      <c r="B33" s="35" t="s">
        <v>265</v>
      </c>
      <c r="C33" s="263"/>
      <c r="D33" s="263"/>
      <c r="E33" s="263"/>
      <c r="F33" s="263"/>
      <c r="G33" s="263"/>
      <c r="H33" s="32"/>
    </row>
    <row r="34" spans="2:10" ht="21" hidden="1" customHeight="1" outlineLevel="1">
      <c r="B34" s="10" t="s">
        <v>1252</v>
      </c>
      <c r="C34" s="1307"/>
      <c r="D34" s="1307"/>
      <c r="E34" s="1307"/>
      <c r="F34" s="1307"/>
      <c r="G34" s="1307"/>
      <c r="H34" s="1307"/>
    </row>
    <row r="35" spans="2:10" ht="25" hidden="1" customHeight="1" outlineLevel="1">
      <c r="B35" s="1308" t="s">
        <v>1200</v>
      </c>
      <c r="C35" s="2323" t="s">
        <v>1253</v>
      </c>
      <c r="D35" s="2324"/>
      <c r="E35" s="2323" t="s">
        <v>1288</v>
      </c>
      <c r="F35" s="2324"/>
      <c r="G35" s="2323" t="s">
        <v>1293</v>
      </c>
      <c r="H35" s="2325"/>
      <c r="I35" s="263"/>
      <c r="J35" s="263"/>
    </row>
    <row r="36" spans="2:10" ht="32" hidden="1" customHeight="1" outlineLevel="1">
      <c r="B36" s="1209" t="s">
        <v>1254</v>
      </c>
      <c r="C36" s="2326" t="s">
        <v>1255</v>
      </c>
      <c r="D36" s="2327"/>
      <c r="E36" s="2326" t="s">
        <v>1292</v>
      </c>
      <c r="F36" s="2327"/>
      <c r="G36" s="2326" t="s">
        <v>1256</v>
      </c>
      <c r="H36" s="2327"/>
      <c r="I36"/>
      <c r="J36" s="263"/>
    </row>
    <row r="37" spans="2:10" ht="32" hidden="1" customHeight="1" outlineLevel="1">
      <c r="B37" s="1209" t="s">
        <v>1257</v>
      </c>
      <c r="C37" s="2326" t="s">
        <v>1258</v>
      </c>
      <c r="D37" s="2327"/>
      <c r="E37" s="2326" t="s">
        <v>1259</v>
      </c>
      <c r="F37" s="2327"/>
      <c r="G37" s="2326" t="s">
        <v>1260</v>
      </c>
      <c r="H37" s="2327"/>
      <c r="I37" s="263"/>
      <c r="J37" s="263"/>
    </row>
    <row r="38" spans="2:10" ht="27" hidden="1" customHeight="1" outlineLevel="1">
      <c r="B38" s="1209" t="s">
        <v>1261</v>
      </c>
      <c r="C38" s="2328" t="s">
        <v>1262</v>
      </c>
      <c r="D38" s="2328"/>
      <c r="E38" s="2326" t="str">
        <f>E36</f>
        <v xml:space="preserve">La LTECV nous donne un objectif de réduction de 15% de la masse de tous les types de dechets en 2035 par rapport à 2023. </v>
      </c>
      <c r="F38" s="2327"/>
      <c r="G38" s="2326" t="s">
        <v>1263</v>
      </c>
      <c r="H38" s="2327"/>
      <c r="I38" s="263"/>
      <c r="J38" s="263"/>
    </row>
    <row r="39" spans="2:10" ht="27" hidden="1" customHeight="1" outlineLevel="1">
      <c r="B39" s="1310"/>
      <c r="C39" s="1307"/>
      <c r="D39" s="1307"/>
      <c r="E39" s="1307"/>
      <c r="F39" s="1307"/>
      <c r="G39" s="1307"/>
      <c r="H39" s="1307"/>
      <c r="I39" s="263"/>
      <c r="J39" s="263"/>
    </row>
    <row r="40" spans="2:10" ht="27" hidden="1" customHeight="1" outlineLevel="1">
      <c r="B40" s="35" t="s">
        <v>265</v>
      </c>
      <c r="C40" s="5"/>
      <c r="D40" s="5"/>
      <c r="E40" s="5"/>
      <c r="F40" s="5"/>
      <c r="G40" s="5"/>
      <c r="H40" s="5"/>
      <c r="I40" s="263"/>
      <c r="J40" s="263"/>
    </row>
    <row r="41" spans="2:10" ht="27" hidden="1" customHeight="1" outlineLevel="1">
      <c r="B41" s="10" t="s">
        <v>1264</v>
      </c>
      <c r="C41" s="5"/>
      <c r="D41" s="5"/>
      <c r="E41" s="5"/>
      <c r="F41" s="5"/>
      <c r="G41" s="5"/>
      <c r="H41" s="5"/>
      <c r="I41" s="263"/>
      <c r="J41" s="263"/>
    </row>
    <row r="42" spans="2:10" ht="27" hidden="1" customHeight="1" outlineLevel="1">
      <c r="B42" s="47" t="s">
        <v>1187</v>
      </c>
      <c r="C42" s="47" t="s">
        <v>1188</v>
      </c>
      <c r="D42" s="47" t="s">
        <v>1189</v>
      </c>
      <c r="E42" s="47" t="s">
        <v>1190</v>
      </c>
      <c r="F42" s="47" t="s">
        <v>1191</v>
      </c>
      <c r="G42" s="47" t="s">
        <v>1192</v>
      </c>
      <c r="H42" s="47" t="s">
        <v>0</v>
      </c>
    </row>
    <row r="43" spans="2:10" ht="29" hidden="1" customHeight="1" outlineLevel="1">
      <c r="B43" s="219" t="s">
        <v>1193</v>
      </c>
      <c r="C43" s="111">
        <v>0.57999999999999985</v>
      </c>
      <c r="D43" s="111">
        <v>0.32</v>
      </c>
      <c r="E43" s="111">
        <v>0.1</v>
      </c>
      <c r="F43" s="111">
        <v>0</v>
      </c>
      <c r="G43" s="111">
        <v>0</v>
      </c>
      <c r="H43" s="111">
        <v>0.99999999999999989</v>
      </c>
    </row>
    <row r="44" spans="2:10" ht="34" hidden="1" customHeight="1" outlineLevel="1">
      <c r="B44" s="219" t="s">
        <v>1194</v>
      </c>
      <c r="C44" s="111">
        <v>0.11999999999999998</v>
      </c>
      <c r="D44" s="111">
        <v>7.0000000000000007E-2</v>
      </c>
      <c r="E44" s="111">
        <v>0.8</v>
      </c>
      <c r="F44" s="111">
        <v>0.01</v>
      </c>
      <c r="G44" s="111">
        <v>0</v>
      </c>
      <c r="H44" s="111">
        <v>1</v>
      </c>
      <c r="I44" s="32"/>
    </row>
    <row r="45" spans="2:10" ht="29" hidden="1" customHeight="1" outlineLevel="1">
      <c r="B45" s="219" t="s">
        <v>1195</v>
      </c>
      <c r="C45" s="111">
        <v>0.23999999999999996</v>
      </c>
      <c r="D45" s="111">
        <v>0.14000000000000001</v>
      </c>
      <c r="E45" s="111">
        <v>0.6</v>
      </c>
      <c r="F45" s="111">
        <v>0.02</v>
      </c>
      <c r="G45" s="111">
        <v>0</v>
      </c>
      <c r="H45" s="111">
        <v>1</v>
      </c>
      <c r="I45" s="32"/>
    </row>
    <row r="46" spans="2:10" ht="29" hidden="1" customHeight="1" outlineLevel="1">
      <c r="B46" s="219" t="s">
        <v>1196</v>
      </c>
      <c r="C46" s="111">
        <v>0.55000000000000004</v>
      </c>
      <c r="D46" s="111">
        <v>0.30999999999999994</v>
      </c>
      <c r="E46" s="111">
        <v>0</v>
      </c>
      <c r="F46" s="111">
        <v>0.12</v>
      </c>
      <c r="G46" s="111">
        <v>0.02</v>
      </c>
      <c r="H46" s="111">
        <v>1</v>
      </c>
      <c r="I46" s="32"/>
    </row>
    <row r="47" spans="2:10" ht="29" hidden="1" customHeight="1" outlineLevel="1">
      <c r="B47" s="219" t="s">
        <v>1197</v>
      </c>
      <c r="C47" s="111">
        <v>0.4</v>
      </c>
      <c r="D47" s="111">
        <v>0.55000000000000004</v>
      </c>
      <c r="E47" s="111">
        <v>0.01</v>
      </c>
      <c r="F47" s="111">
        <v>0.03</v>
      </c>
      <c r="G47" s="111">
        <v>0.01</v>
      </c>
      <c r="H47" s="111">
        <v>1</v>
      </c>
      <c r="I47" s="32"/>
    </row>
    <row r="48" spans="2:10" ht="29" hidden="1" customHeight="1" outlineLevel="1">
      <c r="B48" s="264" t="s">
        <v>1198</v>
      </c>
      <c r="C48" s="111">
        <v>0.4</v>
      </c>
      <c r="D48" s="111">
        <v>0</v>
      </c>
      <c r="E48" s="111">
        <v>0.6</v>
      </c>
      <c r="F48" s="111">
        <v>0</v>
      </c>
      <c r="G48" s="111">
        <v>0</v>
      </c>
      <c r="H48" s="111">
        <v>1</v>
      </c>
      <c r="I48" s="32"/>
    </row>
    <row r="49" spans="2:9" ht="29" hidden="1" customHeight="1" outlineLevel="1">
      <c r="B49" s="1224"/>
      <c r="C49" s="1224"/>
      <c r="D49" s="1224"/>
      <c r="E49" s="1224"/>
      <c r="F49" s="1224"/>
      <c r="G49" s="1224"/>
      <c r="H49" s="1224"/>
    </row>
    <row r="50" spans="2:9" ht="29" hidden="1" customHeight="1" outlineLevel="1">
      <c r="B50" s="35" t="s">
        <v>265</v>
      </c>
      <c r="C50" s="1224"/>
      <c r="D50" s="1224"/>
      <c r="E50" s="1224"/>
      <c r="F50" s="1224"/>
      <c r="G50" s="1224"/>
      <c r="H50" s="1224"/>
      <c r="I50" s="32"/>
    </row>
    <row r="51" spans="2:9" ht="29" hidden="1" customHeight="1" outlineLevel="1">
      <c r="B51" s="1223" t="s">
        <v>1265</v>
      </c>
      <c r="C51" s="1224"/>
      <c r="D51" s="1224"/>
      <c r="E51" s="1224"/>
      <c r="F51" s="1224"/>
      <c r="G51" s="1224"/>
      <c r="H51" s="1224"/>
      <c r="I51" s="32"/>
    </row>
    <row r="52" spans="2:9" ht="29" hidden="1" customHeight="1" outlineLevel="1">
      <c r="B52" s="1229" t="s">
        <v>1187</v>
      </c>
      <c r="C52" s="1229" t="s">
        <v>1188</v>
      </c>
      <c r="D52" s="1229" t="s">
        <v>1189</v>
      </c>
      <c r="E52" s="1229" t="s">
        <v>1190</v>
      </c>
      <c r="F52" s="1229" t="s">
        <v>1191</v>
      </c>
      <c r="G52" s="1229" t="s">
        <v>1192</v>
      </c>
      <c r="H52" s="1229" t="s">
        <v>0</v>
      </c>
    </row>
    <row r="53" spans="2:9" ht="29" hidden="1" customHeight="1" outlineLevel="1">
      <c r="B53" s="219" t="s">
        <v>1193</v>
      </c>
      <c r="C53" s="111">
        <v>0</v>
      </c>
      <c r="D53" s="111">
        <v>0</v>
      </c>
      <c r="E53" s="111">
        <v>1</v>
      </c>
      <c r="F53" s="111">
        <v>0</v>
      </c>
      <c r="G53" s="111">
        <v>0</v>
      </c>
      <c r="H53" s="111">
        <f>SUM(C53:G53)</f>
        <v>1</v>
      </c>
    </row>
    <row r="54" spans="2:9" ht="29" hidden="1" customHeight="1" outlineLevel="1">
      <c r="B54" s="219" t="s">
        <v>1194</v>
      </c>
      <c r="C54" s="111">
        <v>0</v>
      </c>
      <c r="D54" s="111">
        <v>0.2</v>
      </c>
      <c r="E54" s="111">
        <v>0.8</v>
      </c>
      <c r="F54" s="111">
        <v>0</v>
      </c>
      <c r="G54" s="111">
        <v>0</v>
      </c>
      <c r="H54" s="111">
        <f>SUM(C54:G54)</f>
        <v>1</v>
      </c>
    </row>
    <row r="55" spans="2:9" ht="29" hidden="1" customHeight="1" outlineLevel="1">
      <c r="B55" s="219" t="s">
        <v>1195</v>
      </c>
      <c r="C55" s="111">
        <v>0.03</v>
      </c>
      <c r="D55" s="111">
        <v>0.32</v>
      </c>
      <c r="E55" s="111">
        <v>0.65</v>
      </c>
      <c r="F55" s="111">
        <v>0</v>
      </c>
      <c r="G55" s="111">
        <v>0</v>
      </c>
      <c r="H55" s="111">
        <f>SUM(C55:G55)</f>
        <v>1</v>
      </c>
    </row>
    <row r="56" spans="2:9" ht="29" hidden="1" customHeight="1" outlineLevel="1">
      <c r="B56" s="219" t="s">
        <v>1196</v>
      </c>
      <c r="C56" s="111">
        <v>0.18</v>
      </c>
      <c r="D56" s="111">
        <v>0.15</v>
      </c>
      <c r="E56" s="111">
        <v>0</v>
      </c>
      <c r="F56" s="111">
        <v>0.65</v>
      </c>
      <c r="G56" s="111">
        <v>0.02</v>
      </c>
      <c r="H56" s="111">
        <f>SUM(C56:G56)</f>
        <v>1</v>
      </c>
    </row>
    <row r="57" spans="2:9" ht="29" hidden="1" customHeight="1" outlineLevel="1">
      <c r="B57" s="219" t="s">
        <v>1197</v>
      </c>
      <c r="C57" s="111">
        <v>0.09</v>
      </c>
      <c r="D57" s="111">
        <v>0.24</v>
      </c>
      <c r="E57" s="111">
        <v>0</v>
      </c>
      <c r="F57" s="111">
        <v>0.65</v>
      </c>
      <c r="G57" s="111">
        <v>0.02</v>
      </c>
      <c r="H57" s="111">
        <v>1</v>
      </c>
    </row>
    <row r="58" spans="2:9" ht="29" hidden="1" customHeight="1" outlineLevel="1">
      <c r="B58" s="264" t="s">
        <v>1198</v>
      </c>
      <c r="C58" s="111">
        <v>0.35</v>
      </c>
      <c r="D58" s="111">
        <v>0</v>
      </c>
      <c r="E58" s="111">
        <v>0.65</v>
      </c>
      <c r="F58" s="111">
        <v>0</v>
      </c>
      <c r="G58" s="111">
        <v>0</v>
      </c>
      <c r="H58" s="111">
        <v>1</v>
      </c>
    </row>
    <row r="59" spans="2:9" ht="29" customHeight="1" collapsed="1">
      <c r="B59" s="5"/>
      <c r="C59" s="5"/>
      <c r="D59" s="5"/>
      <c r="E59" s="5"/>
      <c r="F59" s="5"/>
      <c r="G59" s="5"/>
      <c r="H59" s="5"/>
    </row>
    <row r="60" spans="2:9" ht="29" customHeight="1">
      <c r="B60" s="1311" t="s">
        <v>1266</v>
      </c>
      <c r="C60" s="5"/>
      <c r="D60" s="5"/>
      <c r="E60" s="5"/>
      <c r="F60" s="5"/>
      <c r="G60" s="5"/>
      <c r="H60" s="5"/>
    </row>
    <row r="61" spans="2:9" ht="29" hidden="1" customHeight="1" outlineLevel="1">
      <c r="B61" s="1312"/>
      <c r="C61" s="5"/>
      <c r="D61" s="5"/>
      <c r="E61" s="5"/>
      <c r="F61" s="5"/>
      <c r="G61" s="5"/>
      <c r="H61" s="5"/>
    </row>
    <row r="62" spans="2:9" ht="29" hidden="1" customHeight="1" outlineLevel="1">
      <c r="B62" s="65" t="s">
        <v>426</v>
      </c>
      <c r="C62" s="5"/>
      <c r="D62" s="5"/>
      <c r="E62" s="5"/>
      <c r="F62" s="5"/>
      <c r="G62" s="5"/>
      <c r="H62" s="5"/>
    </row>
    <row r="63" spans="2:9" ht="29" hidden="1" customHeight="1" outlineLevel="1">
      <c r="B63" s="10" t="s">
        <v>1199</v>
      </c>
      <c r="C63" s="10"/>
      <c r="D63" s="10"/>
      <c r="E63" s="10"/>
      <c r="F63" s="10"/>
      <c r="G63" s="10"/>
      <c r="H63" s="10"/>
      <c r="I63" s="32"/>
    </row>
    <row r="64" spans="2:9" ht="29" hidden="1" customHeight="1" outlineLevel="1">
      <c r="B64" s="1229" t="s">
        <v>1200</v>
      </c>
      <c r="C64" s="1229" t="s">
        <v>1201</v>
      </c>
      <c r="D64" s="1229" t="s">
        <v>1202</v>
      </c>
      <c r="E64" s="5"/>
      <c r="F64" s="5"/>
      <c r="G64" s="5"/>
      <c r="H64" s="5"/>
      <c r="I64" s="263"/>
    </row>
    <row r="65" spans="2:9" ht="29" hidden="1" customHeight="1" outlineLevel="1">
      <c r="B65" s="1959" t="s">
        <v>1203</v>
      </c>
      <c r="C65" s="264" t="s">
        <v>1204</v>
      </c>
      <c r="D65" s="1313">
        <v>1210</v>
      </c>
      <c r="E65" s="1291"/>
      <c r="F65" s="1291"/>
      <c r="G65" s="1291"/>
      <c r="H65" s="1291"/>
      <c r="I65" s="263"/>
    </row>
    <row r="66" spans="2:9" ht="29" hidden="1" customHeight="1" outlineLevel="1">
      <c r="B66" s="1959"/>
      <c r="C66" s="264" t="s">
        <v>1188</v>
      </c>
      <c r="D66" s="1313">
        <v>737</v>
      </c>
      <c r="E66" s="1227"/>
      <c r="F66" s="1227"/>
      <c r="G66" s="1227"/>
      <c r="H66" s="1227"/>
      <c r="I66" s="263"/>
    </row>
    <row r="67" spans="2:9" ht="29" hidden="1" customHeight="1" outlineLevel="1">
      <c r="B67" s="1959"/>
      <c r="C67" s="264" t="s">
        <v>1189</v>
      </c>
      <c r="D67" s="1314">
        <v>2770</v>
      </c>
      <c r="E67" s="1228"/>
      <c r="F67" s="1228"/>
      <c r="G67" s="1228"/>
      <c r="H67" s="1228"/>
      <c r="I67" s="263"/>
    </row>
    <row r="68" spans="2:9" ht="29" hidden="1" customHeight="1" outlineLevel="1">
      <c r="B68" s="1959"/>
      <c r="C68" s="264" t="s">
        <v>1190</v>
      </c>
      <c r="D68" s="1314">
        <v>434</v>
      </c>
      <c r="E68" s="1228"/>
      <c r="F68" s="1228"/>
      <c r="G68" s="1228"/>
      <c r="H68" s="1228"/>
      <c r="I68" s="263"/>
    </row>
    <row r="69" spans="2:9" ht="29" hidden="1" customHeight="1" outlineLevel="1">
      <c r="B69" s="1959" t="s">
        <v>1205</v>
      </c>
      <c r="C69" s="264" t="s">
        <v>1204</v>
      </c>
      <c r="D69" s="1314">
        <v>737</v>
      </c>
      <c r="E69" s="1228"/>
      <c r="F69" s="1228"/>
      <c r="G69" s="1228"/>
      <c r="H69" s="1228"/>
      <c r="I69" s="263"/>
    </row>
    <row r="70" spans="2:9" ht="29" hidden="1" customHeight="1" outlineLevel="1">
      <c r="B70" s="1959"/>
      <c r="C70" s="264" t="s">
        <v>1188</v>
      </c>
      <c r="D70" s="1314">
        <v>950</v>
      </c>
      <c r="E70" s="1228"/>
      <c r="F70" s="1228"/>
      <c r="G70" s="1228"/>
      <c r="H70" s="1228"/>
      <c r="I70" s="263"/>
    </row>
    <row r="71" spans="2:9" ht="29" hidden="1" customHeight="1" outlineLevel="1">
      <c r="B71" s="1959"/>
      <c r="C71" s="264" t="s">
        <v>1189</v>
      </c>
      <c r="D71" s="1314">
        <v>120</v>
      </c>
      <c r="E71" s="1228"/>
      <c r="F71" s="1228"/>
      <c r="G71" s="1228"/>
      <c r="H71" s="1228"/>
      <c r="I71" s="263"/>
    </row>
    <row r="72" spans="2:9" ht="29" hidden="1" customHeight="1" outlineLevel="1">
      <c r="B72" s="1959"/>
      <c r="C72" s="264" t="s">
        <v>1190</v>
      </c>
      <c r="D72" s="1314">
        <v>992</v>
      </c>
      <c r="E72" s="1228"/>
      <c r="F72" s="1228"/>
      <c r="G72" s="1228"/>
      <c r="H72" s="1228"/>
      <c r="I72" s="263"/>
    </row>
    <row r="73" spans="2:9" ht="29" hidden="1" customHeight="1" outlineLevel="1">
      <c r="B73" s="2329" t="s">
        <v>1206</v>
      </c>
      <c r="C73" s="264" t="s">
        <v>1204</v>
      </c>
      <c r="D73" s="1314" t="s">
        <v>1207</v>
      </c>
      <c r="E73" s="1228"/>
      <c r="F73" s="1228"/>
      <c r="G73" s="1228"/>
      <c r="H73" s="1228"/>
      <c r="I73" s="263"/>
    </row>
    <row r="74" spans="2:9" ht="29" hidden="1" customHeight="1" outlineLevel="1">
      <c r="B74" s="2330"/>
      <c r="C74" s="264" t="s">
        <v>1188</v>
      </c>
      <c r="D74" s="1314">
        <v>950</v>
      </c>
      <c r="E74" s="1228"/>
      <c r="F74" s="1228"/>
      <c r="G74" s="1228"/>
      <c r="H74" s="1228"/>
      <c r="I74" s="263"/>
    </row>
    <row r="75" spans="2:9" ht="29" hidden="1" customHeight="1" outlineLevel="1">
      <c r="B75" s="2330"/>
      <c r="C75" s="264" t="s">
        <v>1189</v>
      </c>
      <c r="D75" s="1314">
        <v>47</v>
      </c>
      <c r="E75" s="1228"/>
      <c r="F75" s="1228"/>
      <c r="G75" s="1228"/>
      <c r="H75" s="1228"/>
      <c r="I75" s="263"/>
    </row>
    <row r="76" spans="2:9" ht="29" hidden="1" customHeight="1" outlineLevel="1">
      <c r="B76" s="2331"/>
      <c r="C76" s="264" t="s">
        <v>1190</v>
      </c>
      <c r="D76" s="1314">
        <v>992</v>
      </c>
      <c r="E76" s="1228"/>
      <c r="F76" s="1228"/>
      <c r="G76" s="1228"/>
      <c r="H76" s="1228"/>
      <c r="I76" s="263"/>
    </row>
    <row r="77" spans="2:9" ht="29" hidden="1" customHeight="1" outlineLevel="1">
      <c r="B77" s="2329" t="s">
        <v>1208</v>
      </c>
      <c r="C77" s="264" t="s">
        <v>1204</v>
      </c>
      <c r="D77" s="1314" t="s">
        <v>1207</v>
      </c>
      <c r="E77" s="5"/>
      <c r="F77" s="5"/>
      <c r="G77" s="5"/>
      <c r="H77" s="5"/>
      <c r="I77" s="263"/>
    </row>
    <row r="78" spans="2:9" ht="29" hidden="1" customHeight="1" outlineLevel="1">
      <c r="B78" s="2330"/>
      <c r="C78" s="264" t="s">
        <v>1188</v>
      </c>
      <c r="D78" s="1314">
        <v>28</v>
      </c>
      <c r="E78" s="5"/>
      <c r="F78" s="5"/>
      <c r="G78" s="5"/>
      <c r="H78" s="5"/>
      <c r="I78" s="263"/>
    </row>
    <row r="79" spans="2:9" ht="29" hidden="1" customHeight="1" outlineLevel="1">
      <c r="B79" s="2330"/>
      <c r="C79" s="264" t="s">
        <v>1189</v>
      </c>
      <c r="D79" s="1314">
        <v>45</v>
      </c>
      <c r="E79" s="5"/>
      <c r="F79" s="5"/>
      <c r="G79" s="5"/>
      <c r="H79" s="5"/>
      <c r="I79" s="263"/>
    </row>
    <row r="80" spans="2:9" ht="29" hidden="1" customHeight="1" outlineLevel="1">
      <c r="B80" s="2331"/>
      <c r="C80" s="264" t="s">
        <v>1191</v>
      </c>
      <c r="D80" s="1314">
        <v>28</v>
      </c>
      <c r="E80" s="5"/>
      <c r="F80" s="5"/>
      <c r="G80" s="5"/>
      <c r="H80" s="5"/>
      <c r="I80" s="263"/>
    </row>
    <row r="81" spans="2:16" ht="29" hidden="1" customHeight="1" outlineLevel="1">
      <c r="B81" s="2329" t="s">
        <v>1209</v>
      </c>
      <c r="C81" s="264" t="s">
        <v>1204</v>
      </c>
      <c r="D81" s="1314">
        <v>386</v>
      </c>
      <c r="E81" s="5"/>
      <c r="F81" s="5"/>
      <c r="G81" s="5"/>
      <c r="H81" s="5"/>
      <c r="I81" s="263"/>
    </row>
    <row r="82" spans="2:16" ht="29" hidden="1" customHeight="1" outlineLevel="1">
      <c r="B82" s="2330"/>
      <c r="C82" s="264" t="s">
        <v>1188</v>
      </c>
      <c r="D82" s="1314">
        <v>412</v>
      </c>
      <c r="E82" s="334"/>
      <c r="F82" s="335"/>
      <c r="G82" s="336"/>
      <c r="H82" s="334"/>
      <c r="I82" s="263"/>
    </row>
    <row r="83" spans="2:16" ht="29" hidden="1" customHeight="1" outlineLevel="1">
      <c r="B83" s="2330"/>
      <c r="C83" s="264" t="s">
        <v>1189</v>
      </c>
      <c r="D83" s="1314">
        <v>374</v>
      </c>
      <c r="E83" s="1232"/>
      <c r="F83" s="1232"/>
      <c r="G83" s="1232"/>
      <c r="H83" s="1232"/>
      <c r="I83" s="263"/>
    </row>
    <row r="84" spans="2:16" ht="29" hidden="1" customHeight="1" outlineLevel="1">
      <c r="B84" s="2331"/>
      <c r="C84" s="264" t="s">
        <v>1191</v>
      </c>
      <c r="D84" s="1314">
        <v>28</v>
      </c>
      <c r="E84" s="1233"/>
      <c r="F84" s="1237"/>
      <c r="G84" s="1237"/>
      <c r="H84" s="1233"/>
      <c r="I84" s="263"/>
    </row>
    <row r="85" spans="2:16" ht="29" hidden="1" customHeight="1" outlineLevel="1">
      <c r="B85" s="1959" t="s">
        <v>1198</v>
      </c>
      <c r="C85" s="264" t="s">
        <v>1204</v>
      </c>
      <c r="D85" s="264">
        <v>496</v>
      </c>
      <c r="E85" s="1233"/>
      <c r="F85" s="1237"/>
      <c r="G85" s="1237"/>
      <c r="H85" s="1233"/>
      <c r="I85" s="263"/>
    </row>
    <row r="86" spans="2:16" ht="29" hidden="1" customHeight="1" outlineLevel="1">
      <c r="B86" s="1959"/>
      <c r="C86" s="264" t="s">
        <v>1188</v>
      </c>
      <c r="D86" s="264">
        <v>41</v>
      </c>
      <c r="E86" s="1233"/>
      <c r="F86" s="1237"/>
      <c r="G86" s="1237"/>
      <c r="H86" s="1233"/>
      <c r="I86" s="263"/>
    </row>
    <row r="87" spans="2:16" ht="29" hidden="1" customHeight="1" outlineLevel="1">
      <c r="B87" s="1959"/>
      <c r="C87" s="264" t="s">
        <v>1189</v>
      </c>
      <c r="D87" s="264">
        <v>130</v>
      </c>
      <c r="E87" s="1233"/>
      <c r="F87" s="1237"/>
      <c r="G87" s="1237"/>
      <c r="H87" s="1233"/>
      <c r="I87" s="263"/>
    </row>
    <row r="88" spans="2:16" ht="29" hidden="1" customHeight="1" outlineLevel="1">
      <c r="B88" s="1959"/>
      <c r="C88" s="264" t="s">
        <v>1190</v>
      </c>
      <c r="D88" s="264">
        <v>639</v>
      </c>
      <c r="E88" s="1233"/>
      <c r="F88" s="1237"/>
      <c r="G88" s="1237"/>
      <c r="H88" s="1233"/>
      <c r="I88" s="263"/>
    </row>
    <row r="89" spans="2:16" ht="29" hidden="1" customHeight="1" outlineLevel="1">
      <c r="B89" s="1236"/>
      <c r="C89" s="1237"/>
      <c r="D89" s="1237"/>
      <c r="E89" s="1233"/>
      <c r="F89" s="1237"/>
      <c r="G89" s="1237"/>
      <c r="H89" s="1233"/>
      <c r="I89" s="263"/>
      <c r="J89" s="263"/>
      <c r="K89" s="263"/>
      <c r="L89" s="263"/>
      <c r="M89" s="263"/>
      <c r="N89" s="263"/>
      <c r="O89" s="263"/>
      <c r="P89" s="263"/>
    </row>
    <row r="90" spans="2:16" ht="29" hidden="1" customHeight="1" outlineLevel="1">
      <c r="B90" s="65" t="s">
        <v>426</v>
      </c>
      <c r="C90" s="1237"/>
      <c r="D90" s="1237"/>
      <c r="E90" s="1233"/>
      <c r="F90" s="1237"/>
      <c r="G90" s="1237"/>
      <c r="H90" s="1233"/>
      <c r="I90" s="263"/>
      <c r="J90" s="263"/>
      <c r="K90" s="263"/>
      <c r="L90" s="263"/>
      <c r="M90" s="263"/>
      <c r="N90" s="263"/>
      <c r="O90" s="263"/>
      <c r="P90" s="263"/>
    </row>
    <row r="91" spans="2:16" ht="29" hidden="1" customHeight="1" outlineLevel="1" thickBot="1">
      <c r="B91" s="1315" t="s">
        <v>1267</v>
      </c>
      <c r="C91" s="1237"/>
      <c r="D91" s="1237"/>
      <c r="E91" s="1233"/>
      <c r="F91" s="1237"/>
      <c r="G91" s="1237"/>
      <c r="H91" s="1233"/>
      <c r="I91" s="263"/>
      <c r="J91" s="263"/>
      <c r="K91" s="263"/>
      <c r="L91" s="263"/>
      <c r="M91" s="263"/>
      <c r="N91" s="263"/>
      <c r="O91" s="263"/>
      <c r="P91" s="263"/>
    </row>
    <row r="92" spans="2:16" ht="39" hidden="1" outlineLevel="1" thickBot="1">
      <c r="B92" s="1316" t="s">
        <v>1212</v>
      </c>
      <c r="C92" s="1317">
        <v>2022</v>
      </c>
      <c r="D92" s="1318">
        <v>2035</v>
      </c>
      <c r="E92" s="1319" t="s">
        <v>1268</v>
      </c>
      <c r="F92" s="1237"/>
      <c r="G92" s="1237"/>
      <c r="H92" s="1233"/>
      <c r="I92" s="263"/>
      <c r="J92" s="263"/>
      <c r="K92" s="263"/>
      <c r="L92" s="263"/>
      <c r="M92" s="263"/>
      <c r="N92" s="263"/>
      <c r="O92" s="263"/>
      <c r="P92" s="263"/>
    </row>
    <row r="93" spans="2:16" ht="29" hidden="1" customHeight="1" outlineLevel="1">
      <c r="B93" s="1320" t="s">
        <v>1203</v>
      </c>
      <c r="C93" s="1321">
        <f>C43*D66+D43*D67+E43*D68</f>
        <v>1357.26</v>
      </c>
      <c r="D93" s="1322">
        <f>C53*D66+D53*D67+E53*D68</f>
        <v>434</v>
      </c>
      <c r="E93" s="1323">
        <f>-(C93-D93)/C93</f>
        <v>-0.68023812681431706</v>
      </c>
      <c r="F93" s="1237"/>
      <c r="G93" s="1237"/>
      <c r="H93" s="1233"/>
      <c r="I93" s="263"/>
      <c r="J93" s="263"/>
      <c r="K93" s="263"/>
      <c r="L93" s="263"/>
      <c r="M93" s="263"/>
      <c r="N93" s="263"/>
      <c r="O93" s="263"/>
      <c r="P93" s="263"/>
    </row>
    <row r="94" spans="2:16" ht="29" hidden="1" customHeight="1" outlineLevel="1">
      <c r="B94" s="1324" t="s">
        <v>1205</v>
      </c>
      <c r="C94" s="1321">
        <f>C44*D70+D44*D71+E44*D72+F44*D69</f>
        <v>923.37</v>
      </c>
      <c r="D94" s="1325">
        <f>C54*D70+D54*D71+E54*D72+F54*D69</f>
        <v>817.6</v>
      </c>
      <c r="E94" s="1326">
        <f t="shared" ref="E94:E98" si="0">-(C94-D94)/C94</f>
        <v>-0.11454779774088392</v>
      </c>
      <c r="F94" s="1237"/>
      <c r="G94" s="1237"/>
      <c r="H94" s="1233"/>
      <c r="I94" s="263"/>
      <c r="J94" s="263"/>
      <c r="K94" s="263"/>
      <c r="L94" s="263"/>
      <c r="M94" s="263"/>
      <c r="N94" s="263"/>
      <c r="O94" s="263"/>
      <c r="P94" s="263"/>
    </row>
    <row r="95" spans="2:16" ht="29" hidden="1" customHeight="1" outlineLevel="1">
      <c r="B95" s="1324" t="s">
        <v>1206</v>
      </c>
      <c r="C95" s="1321">
        <f>C45*D74+D45*D75+E45*D76+F45*D74</f>
        <v>848.78</v>
      </c>
      <c r="D95" s="1325">
        <f>C55*D74+D55*D75+E55*D76+F55*D74</f>
        <v>688.34</v>
      </c>
      <c r="E95" s="1326">
        <f t="shared" si="0"/>
        <v>-0.18902424656565889</v>
      </c>
      <c r="F95" s="1237"/>
      <c r="G95" s="1237"/>
      <c r="H95" s="1233"/>
      <c r="I95" s="263"/>
      <c r="J95" s="263"/>
      <c r="K95" s="263"/>
      <c r="L95" s="263"/>
      <c r="M95" s="263"/>
      <c r="N95" s="263"/>
      <c r="O95" s="263"/>
      <c r="P95" s="263"/>
    </row>
    <row r="96" spans="2:16" ht="29" hidden="1" customHeight="1" outlineLevel="1">
      <c r="B96" s="1324" t="s">
        <v>1208</v>
      </c>
      <c r="C96" s="1321">
        <f>C46*D78+D46*D79+F46*D80+G46*D80</f>
        <v>33.270000000000003</v>
      </c>
      <c r="D96" s="1325">
        <f>C56*D78+D56*D79+F56*D80+G56*D80</f>
        <v>30.549999999999997</v>
      </c>
      <c r="E96" s="1326">
        <f t="shared" si="0"/>
        <v>-8.1755335136760018E-2</v>
      </c>
      <c r="F96" s="1237"/>
      <c r="G96" s="1237"/>
      <c r="H96" s="1233"/>
      <c r="I96" s="263"/>
      <c r="J96" s="263"/>
      <c r="K96" s="263"/>
      <c r="L96" s="263"/>
      <c r="M96" s="263"/>
      <c r="N96" s="263"/>
      <c r="O96" s="263"/>
      <c r="P96" s="263"/>
    </row>
    <row r="97" spans="2:16" ht="29" hidden="1" customHeight="1" outlineLevel="1">
      <c r="B97" s="1324" t="s">
        <v>1209</v>
      </c>
      <c r="C97" s="1327">
        <f>C47*D82+D47*D83+F47*D84+G47*D84</f>
        <v>371.61999999999995</v>
      </c>
      <c r="D97" s="1325">
        <f>C57*D82+D57*D83+F57*D84+(E57+G57)*D84</f>
        <v>145.6</v>
      </c>
      <c r="E97" s="1326">
        <f t="shared" si="0"/>
        <v>-0.6082019266993165</v>
      </c>
      <c r="F97" s="1237"/>
      <c r="G97" s="1237"/>
      <c r="H97" s="1233"/>
      <c r="I97" s="263"/>
      <c r="J97" s="263"/>
      <c r="K97" s="263"/>
      <c r="L97" s="263"/>
      <c r="M97" s="263"/>
      <c r="N97" s="263"/>
      <c r="O97" s="263"/>
      <c r="P97" s="263"/>
    </row>
    <row r="98" spans="2:16" ht="29" hidden="1" customHeight="1" outlineLevel="1" thickBot="1">
      <c r="B98" s="1328" t="s">
        <v>1198</v>
      </c>
      <c r="C98" s="1329">
        <f>D86*C48+D88*E48</f>
        <v>399.79999999999995</v>
      </c>
      <c r="D98" s="1330">
        <f>D86*C58+E58*D88</f>
        <v>429.70000000000005</v>
      </c>
      <c r="E98" s="1331">
        <f t="shared" si="0"/>
        <v>7.4787393696848656E-2</v>
      </c>
      <c r="F98" s="263"/>
      <c r="G98" s="263"/>
      <c r="H98" s="263"/>
      <c r="I98" s="263"/>
      <c r="J98" s="263"/>
      <c r="K98" s="263"/>
      <c r="L98" s="263"/>
      <c r="M98" s="263"/>
      <c r="N98" s="263"/>
      <c r="O98" s="263"/>
      <c r="P98" s="263"/>
    </row>
    <row r="99" spans="2:16" ht="29" hidden="1" customHeight="1" outlineLevel="1">
      <c r="B99" s="1365"/>
      <c r="C99" s="1366"/>
      <c r="D99" s="1366"/>
      <c r="E99" s="1367"/>
      <c r="F99" s="263"/>
      <c r="G99" s="263"/>
      <c r="H99" s="263"/>
      <c r="I99" s="263"/>
      <c r="J99" s="263"/>
      <c r="K99" s="263"/>
      <c r="L99" s="263"/>
      <c r="M99" s="263"/>
      <c r="N99" s="263"/>
      <c r="O99" s="263"/>
      <c r="P99" s="263"/>
    </row>
    <row r="100" spans="2:16" ht="29" hidden="1" customHeight="1" outlineLevel="1">
      <c r="B100" s="1368" t="s">
        <v>1294</v>
      </c>
      <c r="C100" s="1366"/>
      <c r="D100" s="1366"/>
      <c r="E100" s="1367"/>
      <c r="F100" s="263"/>
      <c r="G100" s="263"/>
      <c r="H100" s="263"/>
      <c r="I100" s="263"/>
      <c r="J100" s="263"/>
      <c r="K100" s="263"/>
      <c r="L100" s="263"/>
      <c r="M100" s="263"/>
      <c r="N100" s="263"/>
      <c r="O100" s="263"/>
      <c r="P100" s="263"/>
    </row>
    <row r="101" spans="2:16" ht="29" customHeight="1" collapsed="1">
      <c r="B101" s="263"/>
      <c r="C101" s="263"/>
      <c r="D101" s="263"/>
      <c r="E101" s="263"/>
      <c r="F101" s="263"/>
      <c r="G101" s="263"/>
      <c r="H101" s="263"/>
      <c r="I101" s="263"/>
      <c r="J101" s="263"/>
      <c r="K101" s="263"/>
      <c r="L101" s="263"/>
      <c r="M101" s="263"/>
      <c r="N101" s="263"/>
      <c r="O101" s="263"/>
      <c r="P101" s="263"/>
    </row>
    <row r="102" spans="2:16" ht="29" customHeight="1">
      <c r="B102" s="1312" t="s">
        <v>1269</v>
      </c>
      <c r="C102" s="263"/>
      <c r="D102" s="263"/>
      <c r="E102" s="263"/>
      <c r="F102" s="263"/>
      <c r="G102" s="263"/>
      <c r="H102" s="263"/>
      <c r="I102" s="263"/>
      <c r="J102" s="263"/>
      <c r="K102" s="263"/>
      <c r="L102" s="263"/>
      <c r="M102" s="263"/>
      <c r="N102" s="263"/>
      <c r="O102" s="263"/>
      <c r="P102" s="263"/>
    </row>
    <row r="103" spans="2:16" ht="29" hidden="1" customHeight="1" outlineLevel="1">
      <c r="B103" s="349" t="s">
        <v>265</v>
      </c>
      <c r="D103" s="5"/>
      <c r="E103" s="263"/>
      <c r="F103" s="263"/>
      <c r="G103" s="263"/>
      <c r="H103" s="263"/>
      <c r="I103" s="263"/>
      <c r="J103" s="263"/>
      <c r="K103" s="263"/>
      <c r="L103" s="263"/>
      <c r="M103" s="263"/>
      <c r="N103" s="263"/>
      <c r="O103" s="263"/>
      <c r="P103" s="263"/>
    </row>
    <row r="104" spans="2:16" ht="29" hidden="1" customHeight="1" outlineLevel="1">
      <c r="B104" s="257" t="s">
        <v>1289</v>
      </c>
      <c r="D104" s="5"/>
      <c r="E104" s="263"/>
      <c r="F104" s="263"/>
      <c r="G104" s="263"/>
      <c r="H104" s="263"/>
      <c r="I104" s="263"/>
      <c r="J104" s="263"/>
      <c r="K104" s="263"/>
      <c r="L104" s="263"/>
      <c r="M104" s="263"/>
      <c r="N104" s="263"/>
      <c r="O104" s="263"/>
      <c r="P104" s="263"/>
    </row>
    <row r="105" spans="2:16" ht="34" hidden="1" customHeight="1" outlineLevel="1">
      <c r="B105" s="47" t="str">
        <f>B35</f>
        <v>Type de dechet</v>
      </c>
      <c r="C105" s="47" t="str">
        <f>E35</f>
        <v>Objectifs que nous fixons sur les quantités en 2035</v>
      </c>
      <c r="D105" s="107" t="s">
        <v>1270</v>
      </c>
      <c r="E105" s="47" t="s">
        <v>1290</v>
      </c>
      <c r="F105" s="107" t="s">
        <v>1291</v>
      </c>
      <c r="G105" s="263"/>
      <c r="H105" s="263"/>
      <c r="I105" s="263"/>
      <c r="J105" s="263"/>
      <c r="K105" s="263"/>
      <c r="L105" s="263"/>
      <c r="M105" s="263"/>
      <c r="N105" s="263"/>
      <c r="O105" s="263"/>
      <c r="P105" s="263"/>
    </row>
    <row r="106" spans="2:16" ht="29" hidden="1" customHeight="1" outlineLevel="1">
      <c r="B106" s="42" t="str">
        <f>B36</f>
        <v>Carton, verre et DIB (= déchets ménagers)</v>
      </c>
      <c r="C106" s="34" t="str">
        <f>E36</f>
        <v xml:space="preserve">La LTECV nous donne un objectif de réduction de 15% de la masse de tous les types de dechets en 2035 par rapport à 2023. </v>
      </c>
      <c r="D106" s="215">
        <f>-15%</f>
        <v>-0.15</v>
      </c>
      <c r="E106" s="34" t="s">
        <v>1295</v>
      </c>
      <c r="F106" s="215">
        <v>-0.4</v>
      </c>
      <c r="G106" s="263"/>
      <c r="H106" s="263"/>
      <c r="I106" s="263"/>
      <c r="J106" s="263"/>
      <c r="K106" s="263"/>
      <c r="L106" s="263"/>
      <c r="M106" s="263"/>
      <c r="N106" s="263"/>
      <c r="O106" s="263"/>
      <c r="P106" s="263"/>
    </row>
    <row r="107" spans="2:16" ht="29" hidden="1" customHeight="1" outlineLevel="1">
      <c r="B107" s="42" t="str">
        <f>B37</f>
        <v>Alimentaire</v>
      </c>
      <c r="C107" s="34" t="str">
        <f t="shared" ref="C107:C108" si="1">E37</f>
        <v>Réduire de 50% la quantité de dechets alimentaires produits en 2035 par rapport à 2023.</v>
      </c>
      <c r="D107" s="1364">
        <v>-0.5</v>
      </c>
      <c r="E107" s="34" t="s">
        <v>1296</v>
      </c>
      <c r="F107" s="1364">
        <v>-0.75</v>
      </c>
      <c r="G107" s="263"/>
      <c r="H107" s="263"/>
      <c r="I107" s="263"/>
      <c r="J107" s="263"/>
      <c r="K107" s="263"/>
      <c r="L107" s="263"/>
      <c r="M107" s="263"/>
      <c r="N107" s="263"/>
      <c r="O107" s="263"/>
      <c r="P107" s="263"/>
    </row>
    <row r="108" spans="2:16" ht="29" hidden="1" customHeight="1" outlineLevel="1">
      <c r="B108" s="42" t="str">
        <f>B38</f>
        <v>Plastiques</v>
      </c>
      <c r="C108" s="759" t="str">
        <f t="shared" si="1"/>
        <v xml:space="preserve">La LTECV nous donne un objectif de réduction de 15% de la masse de tous les types de dechets en 2035 par rapport à 2023. </v>
      </c>
      <c r="D108" s="215">
        <f>-15%</f>
        <v>-0.15</v>
      </c>
      <c r="E108" s="34" t="s">
        <v>1295</v>
      </c>
      <c r="F108" s="215">
        <v>-0.4</v>
      </c>
      <c r="G108" s="263"/>
      <c r="H108" s="263"/>
      <c r="I108" s="263"/>
      <c r="J108" s="263"/>
      <c r="K108" s="263"/>
      <c r="L108" s="263"/>
      <c r="M108" s="263"/>
      <c r="N108" s="263"/>
      <c r="O108" s="263"/>
      <c r="P108" s="263"/>
    </row>
    <row r="109" spans="2:16" ht="29" hidden="1" customHeight="1" outlineLevel="1">
      <c r="B109" s="65"/>
      <c r="C109" s="10"/>
      <c r="D109" s="5"/>
      <c r="E109" s="263"/>
      <c r="F109" s="263"/>
      <c r="G109" s="263"/>
      <c r="H109" s="263"/>
      <c r="I109" s="263"/>
      <c r="J109" s="263"/>
      <c r="K109" s="263"/>
      <c r="L109" s="263"/>
      <c r="M109" s="263"/>
      <c r="N109" s="263"/>
      <c r="O109" s="263"/>
      <c r="P109" s="263"/>
    </row>
    <row r="110" spans="2:16" ht="29" hidden="1" customHeight="1" outlineLevel="1">
      <c r="B110" s="349" t="s">
        <v>265</v>
      </c>
      <c r="C110" s="32"/>
      <c r="D110" s="32"/>
      <c r="E110" s="263"/>
      <c r="F110" s="263"/>
      <c r="G110" s="263"/>
      <c r="H110" s="263"/>
      <c r="I110" s="263"/>
      <c r="J110" s="263"/>
      <c r="K110" s="263"/>
      <c r="L110" s="263"/>
      <c r="M110" s="263"/>
      <c r="N110" s="263"/>
      <c r="O110" s="263"/>
      <c r="P110" s="263"/>
    </row>
    <row r="111" spans="2:16" ht="29" hidden="1" customHeight="1" outlineLevel="1" thickBot="1">
      <c r="B111" s="32" t="s">
        <v>1271</v>
      </c>
      <c r="C111" s="32"/>
      <c r="D111" s="32"/>
      <c r="E111" s="263"/>
      <c r="F111" s="263"/>
      <c r="G111" s="263"/>
      <c r="H111" s="263"/>
      <c r="I111" s="263"/>
      <c r="J111" s="263"/>
      <c r="K111" s="263"/>
      <c r="L111" s="263"/>
      <c r="M111" s="263"/>
      <c r="N111" s="263"/>
      <c r="O111" s="263"/>
      <c r="P111" s="263"/>
    </row>
    <row r="112" spans="2:16" ht="29" hidden="1" customHeight="1" outlineLevel="1" thickBot="1">
      <c r="B112" s="1332" t="s">
        <v>1179</v>
      </c>
      <c r="C112" s="1333" t="s">
        <v>1272</v>
      </c>
      <c r="D112" s="1333" t="s">
        <v>1273</v>
      </c>
      <c r="E112" s="1334" t="s">
        <v>89</v>
      </c>
      <c r="F112" s="263"/>
      <c r="G112" s="263"/>
      <c r="H112" s="263"/>
      <c r="I112" s="263"/>
      <c r="J112" s="263"/>
      <c r="K112" s="263"/>
      <c r="L112" s="263"/>
      <c r="M112" s="263"/>
      <c r="N112" s="263"/>
      <c r="O112" s="263"/>
      <c r="P112" s="263"/>
    </row>
    <row r="113" spans="1:16" ht="29" hidden="1" customHeight="1" outlineLevel="1">
      <c r="B113" s="1335" t="str">
        <f>C19</f>
        <v>Bouteilles plastiques</v>
      </c>
      <c r="C113" s="1336">
        <f>D19*$D$18</f>
        <v>647.0024478302953</v>
      </c>
      <c r="D113" s="1337">
        <f>D19*$D$18*(1+F108)</f>
        <v>388.20146869817717</v>
      </c>
      <c r="E113" s="1338">
        <f>D113/$D$118</f>
        <v>1.425438596491228E-2</v>
      </c>
      <c r="F113" s="263"/>
      <c r="G113" s="263"/>
      <c r="H113" s="263"/>
      <c r="I113" s="263"/>
      <c r="J113" s="263"/>
      <c r="K113" s="263"/>
      <c r="L113" s="263"/>
      <c r="M113" s="263"/>
      <c r="N113" s="263"/>
      <c r="O113" s="263"/>
      <c r="P113" s="263"/>
    </row>
    <row r="114" spans="1:16" ht="29" hidden="1" customHeight="1" outlineLevel="1">
      <c r="B114" s="763" t="str">
        <f>C20</f>
        <v>Carton</v>
      </c>
      <c r="C114" s="1339">
        <f t="shared" ref="C114:C117" si="2">D20*$D$18</f>
        <v>3384.3204963430831</v>
      </c>
      <c r="D114" s="1340">
        <f>D20*$D$18*(1+F106)</f>
        <v>2030.5922978058497</v>
      </c>
      <c r="E114" s="276">
        <f>D114/$D$118</f>
        <v>7.4561403508771926E-2</v>
      </c>
      <c r="F114" s="263"/>
      <c r="G114" s="263"/>
      <c r="H114" s="263"/>
      <c r="I114" s="263"/>
      <c r="J114" s="263"/>
      <c r="K114" s="263"/>
      <c r="L114" s="263"/>
      <c r="M114" s="263"/>
      <c r="N114" s="263"/>
      <c r="O114" s="263"/>
      <c r="P114" s="263"/>
    </row>
    <row r="115" spans="1:16" ht="29" hidden="1" customHeight="1" outlineLevel="1">
      <c r="B115" s="763" t="str">
        <f>C21</f>
        <v>Verre</v>
      </c>
      <c r="C115" s="1339">
        <f t="shared" si="2"/>
        <v>15926.214100438039</v>
      </c>
      <c r="D115" s="1340">
        <f>D21*$D$18*(1+F106)</f>
        <v>9555.7284602628224</v>
      </c>
      <c r="E115" s="276">
        <f>D115/$D$118</f>
        <v>0.35087719298245612</v>
      </c>
      <c r="F115" s="263"/>
      <c r="G115" s="263"/>
      <c r="H115" s="263"/>
      <c r="I115" s="263"/>
      <c r="J115" s="263"/>
      <c r="K115" s="263"/>
      <c r="L115" s="263"/>
      <c r="M115" s="263"/>
      <c r="N115" s="263"/>
      <c r="O115" s="263"/>
      <c r="P115" s="263"/>
    </row>
    <row r="116" spans="1:16" ht="29" hidden="1" customHeight="1" outlineLevel="1">
      <c r="B116" s="763" t="str">
        <f>C22</f>
        <v>Bio-déchets (pelouse et alimentaire)</v>
      </c>
      <c r="C116" s="1339">
        <f t="shared" si="2"/>
        <v>2986.1651438321319</v>
      </c>
      <c r="D116" s="1340">
        <f>D22*$D$18*(1+F107)</f>
        <v>746.54128595803297</v>
      </c>
      <c r="E116" s="276">
        <f>D116/$D$118</f>
        <v>2.7412280701754381E-2</v>
      </c>
      <c r="F116" s="263"/>
      <c r="G116" s="263"/>
      <c r="H116" s="263"/>
      <c r="I116" s="263"/>
      <c r="J116" s="263"/>
      <c r="K116" s="263"/>
      <c r="L116" s="263"/>
      <c r="M116" s="263"/>
      <c r="N116" s="263"/>
      <c r="O116" s="263"/>
      <c r="P116" s="263"/>
    </row>
    <row r="117" spans="1:16" ht="29" hidden="1" customHeight="1" outlineLevel="1" thickBot="1">
      <c r="B117" s="1341" t="str">
        <f>C23</f>
        <v>DIB et déchets ménagers</v>
      </c>
      <c r="C117" s="1342">
        <f t="shared" si="2"/>
        <v>24187.937665040274</v>
      </c>
      <c r="D117" s="1343">
        <f>D23*$D$18*(1+F106)</f>
        <v>14512.762599024163</v>
      </c>
      <c r="E117" s="1344">
        <f>D117/$D$118</f>
        <v>0.5328947368421052</v>
      </c>
      <c r="F117" s="263"/>
      <c r="G117" s="263"/>
      <c r="H117" s="263"/>
      <c r="I117" s="263"/>
      <c r="J117" s="263"/>
      <c r="K117" s="263"/>
      <c r="L117" s="263"/>
      <c r="M117" s="263"/>
      <c r="N117" s="263"/>
      <c r="O117" s="263"/>
      <c r="P117" s="263"/>
    </row>
    <row r="118" spans="1:16" ht="29" hidden="1" customHeight="1" outlineLevel="1" thickBot="1">
      <c r="B118" s="1345" t="s">
        <v>139</v>
      </c>
      <c r="C118" s="884">
        <f>SUM(C113:C117)</f>
        <v>47131.639853483823</v>
      </c>
      <c r="D118" s="884">
        <f>SUM(D113:D117)</f>
        <v>27233.826111749047</v>
      </c>
      <c r="E118" s="1346">
        <f>SUM(E113:E117)</f>
        <v>0.99999999999999989</v>
      </c>
      <c r="F118" s="263"/>
      <c r="G118" s="263"/>
      <c r="H118" s="263"/>
      <c r="I118" s="263"/>
      <c r="J118" s="263"/>
      <c r="K118" s="263"/>
      <c r="L118" s="263"/>
      <c r="M118" s="263"/>
      <c r="N118" s="263"/>
      <c r="O118" s="263"/>
      <c r="P118" s="263"/>
    </row>
    <row r="119" spans="1:16" ht="29" hidden="1" customHeight="1" outlineLevel="1">
      <c r="A119"/>
      <c r="B119" s="263"/>
      <c r="C119" s="263"/>
      <c r="D119" s="263"/>
      <c r="E119" s="263"/>
      <c r="F119" s="44"/>
      <c r="G119" s="263"/>
      <c r="H119" s="263"/>
      <c r="I119" s="263"/>
      <c r="J119" s="263"/>
      <c r="K119" s="263"/>
      <c r="L119" s="263"/>
      <c r="M119" s="263"/>
      <c r="N119" s="263"/>
      <c r="O119" s="263"/>
      <c r="P119" s="263"/>
    </row>
    <row r="120" spans="1:16" ht="29" customHeight="1" collapsed="1">
      <c r="B120" s="263"/>
      <c r="C120" s="263"/>
      <c r="D120" s="263"/>
      <c r="E120" s="263"/>
      <c r="F120" s="263"/>
      <c r="G120" s="263"/>
      <c r="H120" s="263"/>
      <c r="I120" s="263"/>
      <c r="J120" s="263"/>
      <c r="K120" s="263"/>
      <c r="L120" s="263"/>
      <c r="M120" s="263"/>
      <c r="N120" s="263"/>
      <c r="O120" s="263"/>
      <c r="P120" s="263"/>
    </row>
    <row r="121" spans="1:16" ht="29" customHeight="1">
      <c r="B121" s="263"/>
      <c r="C121" s="263"/>
      <c r="D121" s="263"/>
      <c r="E121" s="263"/>
      <c r="F121" s="263"/>
      <c r="G121" s="263"/>
      <c r="H121" s="263"/>
      <c r="I121" s="263"/>
      <c r="J121" s="263"/>
      <c r="K121" s="263"/>
      <c r="L121" s="263"/>
      <c r="M121" s="263"/>
      <c r="N121" s="263"/>
      <c r="O121" s="263"/>
      <c r="P121" s="263"/>
    </row>
    <row r="122" spans="1:16" ht="29" customHeight="1">
      <c r="B122" s="263"/>
      <c r="C122" s="263"/>
      <c r="D122" s="263"/>
      <c r="E122" s="263"/>
      <c r="F122" s="263"/>
      <c r="G122" s="263"/>
      <c r="H122" s="263"/>
      <c r="I122" s="263"/>
      <c r="J122" s="263"/>
      <c r="K122" s="263"/>
      <c r="L122" s="263"/>
      <c r="M122" s="263"/>
      <c r="N122" s="263"/>
      <c r="O122" s="263"/>
      <c r="P122" s="263"/>
    </row>
    <row r="123" spans="1:16" ht="29" customHeight="1">
      <c r="B123" s="263"/>
      <c r="C123" s="263"/>
      <c r="D123" s="263"/>
      <c r="E123" s="263"/>
      <c r="F123" s="263"/>
      <c r="G123" s="263"/>
      <c r="H123" s="263"/>
      <c r="I123" s="263"/>
      <c r="J123" s="263"/>
      <c r="K123" s="263"/>
      <c r="L123" s="263"/>
      <c r="M123" s="263"/>
      <c r="N123" s="263"/>
      <c r="O123" s="263"/>
      <c r="P123" s="263"/>
    </row>
    <row r="124" spans="1:16" ht="29" customHeight="1">
      <c r="B124" s="263"/>
      <c r="C124" s="263"/>
      <c r="D124" s="263"/>
      <c r="E124" s="263"/>
      <c r="F124" s="263"/>
      <c r="G124" s="263"/>
      <c r="H124" s="263"/>
      <c r="I124" s="263"/>
      <c r="J124" s="263"/>
      <c r="K124" s="263"/>
      <c r="L124" s="263"/>
      <c r="M124" s="263"/>
      <c r="N124" s="263"/>
      <c r="O124" s="263"/>
      <c r="P124" s="263"/>
    </row>
    <row r="125" spans="1:16" ht="29" customHeight="1">
      <c r="B125" s="263"/>
      <c r="C125" s="263"/>
      <c r="D125" s="263"/>
      <c r="E125" s="263"/>
      <c r="F125" s="263"/>
      <c r="G125" s="263"/>
      <c r="H125" s="263"/>
      <c r="I125" s="263"/>
      <c r="J125" s="263"/>
      <c r="K125" s="263"/>
      <c r="L125" s="263"/>
      <c r="M125" s="263"/>
      <c r="N125" s="263"/>
      <c r="O125" s="263"/>
      <c r="P125" s="263"/>
    </row>
    <row r="126" spans="1:16" ht="29" customHeight="1">
      <c r="B126" s="263"/>
      <c r="C126" s="263"/>
      <c r="D126" s="263"/>
      <c r="E126" s="263"/>
      <c r="F126" s="263"/>
      <c r="G126" s="263"/>
      <c r="H126" s="263"/>
      <c r="I126" s="263"/>
      <c r="J126" s="263"/>
      <c r="K126" s="263"/>
      <c r="L126" s="263"/>
      <c r="M126" s="263"/>
      <c r="N126" s="263"/>
      <c r="O126" s="263"/>
      <c r="P126" s="263"/>
    </row>
    <row r="127" spans="1:16" ht="29" customHeight="1">
      <c r="B127" s="263"/>
      <c r="C127" s="263"/>
      <c r="D127" s="263"/>
      <c r="E127" s="263"/>
      <c r="F127" s="263"/>
      <c r="G127" s="263"/>
      <c r="H127" s="44"/>
      <c r="I127" s="263"/>
      <c r="J127" s="263"/>
      <c r="K127" s="263"/>
      <c r="L127" s="263"/>
      <c r="M127" s="263"/>
      <c r="N127" s="263"/>
      <c r="O127" s="263"/>
      <c r="P127" s="263"/>
    </row>
    <row r="128" spans="1:16" ht="29" customHeight="1">
      <c r="B128" s="263"/>
      <c r="C128" s="263"/>
      <c r="D128" s="263"/>
      <c r="E128" s="263"/>
      <c r="F128" s="263"/>
      <c r="G128" s="263"/>
      <c r="H128" s="263"/>
      <c r="I128" s="263"/>
      <c r="J128" s="263"/>
      <c r="K128" s="263"/>
      <c r="L128" s="263"/>
      <c r="M128" s="263"/>
      <c r="N128" s="263"/>
      <c r="O128" s="263"/>
      <c r="P128" s="263"/>
    </row>
    <row r="129" spans="2:16" ht="29" customHeight="1">
      <c r="B129" s="263"/>
      <c r="C129" s="263"/>
      <c r="D129" s="263"/>
      <c r="E129" s="263"/>
      <c r="F129" s="263"/>
      <c r="G129" s="263"/>
      <c r="H129" s="263"/>
      <c r="I129" s="263"/>
      <c r="J129" s="263"/>
      <c r="K129" s="263"/>
      <c r="L129" s="263"/>
      <c r="M129" s="263"/>
      <c r="N129" s="263"/>
      <c r="O129" s="263"/>
      <c r="P129" s="263"/>
    </row>
    <row r="130" spans="2:16" ht="29" customHeight="1">
      <c r="B130" s="263"/>
      <c r="C130" s="263"/>
      <c r="D130" s="263"/>
      <c r="E130" s="263"/>
      <c r="F130" s="263"/>
      <c r="G130" s="263"/>
      <c r="H130" s="263"/>
      <c r="I130" s="263"/>
      <c r="J130" s="263"/>
      <c r="K130" s="263"/>
      <c r="L130" s="263"/>
      <c r="M130" s="263"/>
      <c r="N130" s="263"/>
      <c r="O130" s="263"/>
      <c r="P130" s="263"/>
    </row>
    <row r="131" spans="2:16" ht="29" customHeight="1">
      <c r="B131" s="263"/>
      <c r="C131" s="263"/>
      <c r="D131" s="263"/>
      <c r="E131" s="263"/>
      <c r="F131" s="263"/>
      <c r="G131" s="263"/>
      <c r="H131" s="263"/>
      <c r="I131" s="263"/>
      <c r="J131" s="263"/>
      <c r="K131" s="263"/>
      <c r="L131" s="263"/>
      <c r="M131" s="263"/>
      <c r="N131" s="263"/>
      <c r="O131" s="263"/>
      <c r="P131" s="263"/>
    </row>
    <row r="132" spans="2:16" ht="29" customHeight="1">
      <c r="B132" s="263"/>
      <c r="C132" s="263"/>
      <c r="D132" s="263"/>
      <c r="E132" s="263"/>
      <c r="F132" s="263"/>
      <c r="G132" s="263"/>
      <c r="H132" s="263"/>
      <c r="I132" s="263"/>
      <c r="J132" s="263"/>
      <c r="K132" s="263"/>
      <c r="L132" s="263"/>
      <c r="M132" s="263"/>
      <c r="N132" s="263"/>
      <c r="O132" s="263"/>
      <c r="P132" s="263"/>
    </row>
    <row r="133" spans="2:16" ht="29" customHeight="1">
      <c r="B133" s="263"/>
      <c r="C133" s="263"/>
      <c r="D133" s="263"/>
      <c r="E133" s="263"/>
      <c r="F133" s="263"/>
      <c r="G133" s="263"/>
      <c r="H133" s="263"/>
      <c r="I133" s="263"/>
      <c r="J133" s="263"/>
      <c r="K133" s="263"/>
      <c r="L133" s="263"/>
      <c r="M133" s="263"/>
      <c r="N133" s="263"/>
      <c r="O133" s="263"/>
      <c r="P133" s="263"/>
    </row>
    <row r="134" spans="2:16" ht="29" customHeight="1">
      <c r="B134" s="263"/>
      <c r="C134" s="263"/>
      <c r="D134" s="263"/>
      <c r="E134" s="263"/>
      <c r="F134" s="263"/>
      <c r="G134" s="263"/>
      <c r="H134" s="263"/>
      <c r="I134" s="263"/>
      <c r="J134" s="263"/>
      <c r="K134" s="263"/>
      <c r="L134" s="263"/>
      <c r="M134" s="263"/>
      <c r="N134" s="263"/>
      <c r="O134" s="263"/>
      <c r="P134" s="263"/>
    </row>
    <row r="135" spans="2:16" ht="29" customHeight="1">
      <c r="B135" s="263"/>
      <c r="C135" s="263"/>
      <c r="D135" s="263"/>
      <c r="E135" s="263"/>
      <c r="F135" s="263"/>
      <c r="G135" s="263"/>
      <c r="H135" s="263"/>
      <c r="I135" s="263"/>
      <c r="J135" s="263"/>
      <c r="K135" s="263"/>
      <c r="L135" s="263"/>
      <c r="M135" s="263"/>
      <c r="N135" s="263"/>
      <c r="O135" s="263"/>
      <c r="P135" s="263"/>
    </row>
    <row r="136" spans="2:16" ht="29" customHeight="1">
      <c r="B136" s="263"/>
      <c r="C136" s="263"/>
      <c r="D136" s="263"/>
      <c r="E136" s="263"/>
      <c r="F136" s="263"/>
      <c r="G136" s="263"/>
      <c r="H136" s="263"/>
      <c r="I136" s="263"/>
      <c r="J136" s="263"/>
      <c r="K136" s="263"/>
      <c r="L136" s="263"/>
      <c r="M136" s="263"/>
      <c r="N136" s="263"/>
      <c r="O136" s="263"/>
      <c r="P136" s="263"/>
    </row>
    <row r="137" spans="2:16" ht="29" customHeight="1">
      <c r="B137" s="263"/>
      <c r="C137" s="263"/>
      <c r="D137" s="263"/>
      <c r="E137" s="263"/>
      <c r="F137" s="263"/>
      <c r="G137" s="263"/>
      <c r="H137" s="263"/>
      <c r="I137" s="263"/>
      <c r="J137" s="263"/>
      <c r="K137" s="263"/>
      <c r="L137" s="263"/>
      <c r="M137" s="263"/>
      <c r="N137" s="263"/>
      <c r="O137" s="263"/>
      <c r="P137" s="263"/>
    </row>
    <row r="138" spans="2:16" ht="29" customHeight="1">
      <c r="B138" s="263"/>
      <c r="C138" s="263"/>
      <c r="D138" s="263"/>
      <c r="E138" s="263"/>
      <c r="F138" s="263"/>
      <c r="G138" s="263"/>
      <c r="H138" s="263"/>
      <c r="I138" s="263"/>
      <c r="J138" s="263"/>
      <c r="K138" s="263"/>
      <c r="L138" s="263"/>
      <c r="M138" s="263"/>
      <c r="N138" s="263"/>
      <c r="O138" s="263"/>
      <c r="P138" s="263"/>
    </row>
    <row r="139" spans="2:16" ht="29" customHeight="1">
      <c r="B139" s="263"/>
      <c r="C139" s="263"/>
      <c r="D139" s="263"/>
      <c r="E139" s="263"/>
      <c r="F139" s="263"/>
      <c r="G139" s="263"/>
      <c r="H139" s="263"/>
      <c r="I139" s="263"/>
      <c r="J139" s="263"/>
      <c r="K139" s="263"/>
      <c r="L139" s="263"/>
      <c r="M139" s="263"/>
      <c r="N139" s="263"/>
      <c r="O139" s="263"/>
      <c r="P139" s="263"/>
    </row>
    <row r="140" spans="2:16" ht="29" customHeight="1">
      <c r="B140" s="263"/>
      <c r="C140" s="263"/>
      <c r="D140" s="263"/>
      <c r="E140" s="263"/>
      <c r="F140" s="263"/>
      <c r="G140" s="263"/>
      <c r="H140" s="263"/>
      <c r="I140" s="263"/>
      <c r="J140" s="263"/>
      <c r="K140" s="263"/>
      <c r="L140" s="263"/>
      <c r="M140" s="263"/>
      <c r="N140" s="263"/>
      <c r="O140" s="263"/>
      <c r="P140" s="263"/>
    </row>
    <row r="141" spans="2:16" ht="29" customHeight="1">
      <c r="B141" s="263"/>
      <c r="C141" s="263"/>
      <c r="D141" s="263"/>
      <c r="E141" s="263"/>
      <c r="F141" s="263"/>
      <c r="G141" s="263"/>
      <c r="H141" s="263"/>
      <c r="I141" s="263"/>
      <c r="J141" s="263"/>
      <c r="K141" s="263"/>
      <c r="L141" s="263"/>
      <c r="M141" s="263"/>
      <c r="N141" s="263"/>
      <c r="O141" s="263"/>
      <c r="P141" s="263"/>
    </row>
    <row r="142" spans="2:16" ht="29" customHeight="1">
      <c r="B142" s="263"/>
      <c r="C142" s="263"/>
      <c r="D142" s="263"/>
      <c r="E142" s="263"/>
      <c r="F142" s="263"/>
      <c r="G142" s="263"/>
      <c r="H142" s="263"/>
      <c r="I142" s="263"/>
      <c r="J142" s="263"/>
      <c r="K142" s="263"/>
      <c r="L142" s="263"/>
      <c r="M142" s="263"/>
      <c r="N142" s="263"/>
      <c r="O142" s="263"/>
      <c r="P142" s="263"/>
    </row>
    <row r="143" spans="2:16" ht="29" customHeight="1">
      <c r="B143" s="263"/>
      <c r="C143" s="263"/>
      <c r="D143" s="263"/>
      <c r="E143" s="263"/>
      <c r="F143" s="263"/>
      <c r="G143" s="263"/>
      <c r="H143" s="263"/>
      <c r="I143" s="263"/>
      <c r="J143" s="263"/>
      <c r="K143" s="263"/>
      <c r="L143" s="263"/>
      <c r="M143" s="263"/>
      <c r="N143" s="263"/>
      <c r="O143" s="263"/>
      <c r="P143" s="263"/>
    </row>
    <row r="144" spans="2:16" ht="29" customHeight="1">
      <c r="B144" s="263"/>
      <c r="C144" s="263"/>
      <c r="D144" s="263"/>
      <c r="E144" s="263"/>
      <c r="F144" s="263"/>
      <c r="G144" s="263"/>
      <c r="H144" s="263"/>
      <c r="I144" s="263"/>
      <c r="J144" s="263"/>
      <c r="K144" s="263"/>
      <c r="L144" s="263"/>
      <c r="M144" s="263"/>
      <c r="N144" s="263"/>
      <c r="O144" s="263"/>
      <c r="P144" s="263"/>
    </row>
    <row r="145" spans="2:16" ht="29" customHeight="1">
      <c r="B145" s="263"/>
      <c r="C145" s="263"/>
      <c r="D145" s="263"/>
      <c r="E145" s="263"/>
      <c r="F145" s="263"/>
      <c r="G145" s="263"/>
      <c r="H145" s="263"/>
      <c r="I145" s="263"/>
      <c r="J145" s="263"/>
      <c r="K145" s="263"/>
      <c r="L145" s="263"/>
      <c r="M145" s="263"/>
      <c r="N145" s="263"/>
      <c r="O145" s="263"/>
      <c r="P145" s="263"/>
    </row>
    <row r="146" spans="2:16" ht="29" customHeight="1">
      <c r="B146" s="263"/>
      <c r="C146" s="263"/>
      <c r="D146" s="263"/>
      <c r="E146" s="263"/>
      <c r="F146" s="263"/>
      <c r="G146" s="263"/>
      <c r="H146" s="263"/>
      <c r="I146" s="263"/>
      <c r="J146" s="263"/>
      <c r="K146" s="263"/>
      <c r="L146" s="263"/>
      <c r="M146" s="263"/>
      <c r="N146" s="263"/>
      <c r="O146" s="263"/>
      <c r="P146" s="263"/>
    </row>
    <row r="147" spans="2:16" ht="29" customHeight="1">
      <c r="B147" s="263"/>
      <c r="C147" s="263"/>
      <c r="D147" s="263"/>
      <c r="E147" s="263"/>
      <c r="F147" s="263"/>
      <c r="G147" s="263"/>
      <c r="H147" s="263"/>
      <c r="I147" s="263"/>
      <c r="J147" s="263"/>
      <c r="K147" s="263"/>
      <c r="L147" s="263"/>
      <c r="M147" s="263"/>
      <c r="N147" s="263"/>
      <c r="O147" s="263"/>
      <c r="P147" s="263"/>
    </row>
    <row r="148" spans="2:16" ht="29" customHeight="1">
      <c r="B148" s="263"/>
      <c r="C148" s="263"/>
      <c r="D148" s="263"/>
      <c r="E148" s="263"/>
      <c r="F148" s="263"/>
      <c r="G148" s="263"/>
      <c r="H148" s="263"/>
      <c r="I148" s="263"/>
      <c r="J148" s="263"/>
      <c r="K148" s="263"/>
      <c r="L148" s="263"/>
      <c r="M148" s="263"/>
      <c r="N148" s="263"/>
      <c r="O148" s="263"/>
      <c r="P148" s="263"/>
    </row>
    <row r="149" spans="2:16" ht="29" customHeight="1">
      <c r="B149" s="263"/>
      <c r="C149" s="263"/>
      <c r="D149" s="263"/>
      <c r="E149" s="263"/>
      <c r="F149" s="263"/>
      <c r="G149" s="263"/>
      <c r="H149" s="263"/>
      <c r="I149" s="263"/>
      <c r="J149" s="263"/>
      <c r="K149" s="263"/>
      <c r="L149" s="263"/>
      <c r="M149" s="263"/>
      <c r="N149" s="263"/>
      <c r="O149" s="263"/>
      <c r="P149" s="263"/>
    </row>
    <row r="150" spans="2:16" ht="29" customHeight="1">
      <c r="B150" s="263"/>
      <c r="C150" s="263"/>
      <c r="D150" s="263"/>
      <c r="E150" s="263"/>
      <c r="F150" s="263"/>
      <c r="G150" s="263"/>
      <c r="H150" s="263"/>
      <c r="I150" s="263"/>
      <c r="J150" s="263"/>
      <c r="K150" s="263"/>
      <c r="L150" s="263"/>
      <c r="M150" s="263"/>
      <c r="N150" s="263"/>
      <c r="O150" s="263"/>
      <c r="P150" s="263"/>
    </row>
    <row r="151" spans="2:16" ht="29" customHeight="1">
      <c r="B151" s="263"/>
      <c r="C151" s="263"/>
      <c r="D151" s="263"/>
      <c r="E151" s="263"/>
      <c r="F151" s="263"/>
      <c r="G151" s="263"/>
      <c r="H151" s="263"/>
      <c r="I151" s="263"/>
      <c r="J151" s="263"/>
      <c r="K151" s="263"/>
      <c r="L151" s="263"/>
      <c r="M151" s="263"/>
      <c r="N151" s="263"/>
      <c r="O151" s="263"/>
      <c r="P151" s="263"/>
    </row>
    <row r="152" spans="2:16" ht="29" customHeight="1">
      <c r="B152" s="263"/>
      <c r="C152" s="263"/>
      <c r="D152" s="263"/>
      <c r="E152" s="263"/>
      <c r="F152" s="263"/>
      <c r="G152" s="263"/>
      <c r="H152" s="263"/>
      <c r="I152" s="263"/>
      <c r="J152" s="263"/>
      <c r="K152" s="263"/>
      <c r="L152" s="263"/>
      <c r="M152" s="263"/>
      <c r="N152" s="263"/>
      <c r="O152" s="263"/>
      <c r="P152" s="263"/>
    </row>
    <row r="153" spans="2:16" ht="29" customHeight="1">
      <c r="B153" s="263"/>
      <c r="C153" s="263"/>
      <c r="D153" s="263"/>
      <c r="E153" s="263"/>
      <c r="F153" s="263"/>
      <c r="G153" s="263"/>
      <c r="H153" s="263"/>
      <c r="I153" s="263"/>
      <c r="J153" s="263"/>
      <c r="K153" s="263"/>
      <c r="L153" s="263"/>
      <c r="M153" s="263"/>
      <c r="N153" s="263"/>
      <c r="O153" s="263"/>
      <c r="P153" s="263"/>
    </row>
    <row r="154" spans="2:16" ht="29" customHeight="1">
      <c r="B154" s="263"/>
      <c r="C154" s="263"/>
      <c r="D154" s="263"/>
      <c r="E154" s="263"/>
      <c r="F154" s="263"/>
      <c r="G154" s="263"/>
      <c r="H154" s="263"/>
      <c r="I154" s="263"/>
      <c r="J154" s="263"/>
      <c r="K154" s="263"/>
      <c r="L154" s="263"/>
      <c r="M154" s="263"/>
      <c r="N154" s="263"/>
      <c r="O154" s="263"/>
      <c r="P154" s="263"/>
    </row>
    <row r="155" spans="2:16" ht="29" customHeight="1">
      <c r="B155" s="263"/>
      <c r="C155" s="263"/>
      <c r="D155" s="263"/>
      <c r="E155" s="263"/>
      <c r="F155" s="263"/>
      <c r="G155" s="263"/>
      <c r="H155" s="263"/>
      <c r="I155" s="263"/>
      <c r="J155" s="263"/>
      <c r="K155" s="263"/>
      <c r="L155" s="263"/>
      <c r="M155" s="263"/>
      <c r="N155" s="263"/>
      <c r="O155" s="263"/>
      <c r="P155" s="263"/>
    </row>
    <row r="156" spans="2:16" ht="29" customHeight="1">
      <c r="B156" s="263"/>
      <c r="C156" s="263"/>
      <c r="D156" s="263"/>
      <c r="E156" s="263"/>
      <c r="F156" s="263"/>
      <c r="G156" s="263"/>
      <c r="H156" s="263"/>
      <c r="I156" s="263"/>
      <c r="J156" s="263"/>
      <c r="K156" s="263"/>
      <c r="L156" s="263"/>
      <c r="M156" s="263"/>
      <c r="N156" s="263"/>
      <c r="O156" s="263"/>
      <c r="P156" s="263"/>
    </row>
    <row r="157" spans="2:16" ht="29" customHeight="1">
      <c r="B157" s="263"/>
      <c r="C157" s="263"/>
      <c r="D157" s="263"/>
      <c r="E157" s="263"/>
      <c r="F157" s="263"/>
      <c r="G157" s="263"/>
      <c r="H157" s="263"/>
      <c r="I157" s="263"/>
      <c r="J157" s="263"/>
      <c r="K157" s="263"/>
      <c r="L157" s="263"/>
      <c r="M157" s="263"/>
      <c r="N157" s="263"/>
      <c r="O157" s="263"/>
      <c r="P157" s="263"/>
    </row>
    <row r="158" spans="2:16" ht="29" customHeight="1">
      <c r="B158" s="263"/>
      <c r="C158" s="263"/>
      <c r="D158" s="263"/>
      <c r="E158" s="263"/>
      <c r="F158" s="263"/>
      <c r="G158" s="263"/>
      <c r="H158" s="263"/>
      <c r="I158" s="263"/>
      <c r="J158" s="263"/>
      <c r="K158" s="263"/>
      <c r="L158" s="263"/>
      <c r="M158" s="263"/>
      <c r="N158" s="263"/>
      <c r="O158" s="263"/>
      <c r="P158" s="263"/>
    </row>
    <row r="159" spans="2:16" ht="29" customHeight="1">
      <c r="B159" s="263"/>
      <c r="C159" s="263"/>
      <c r="D159" s="263"/>
      <c r="E159" s="263"/>
      <c r="F159" s="263"/>
      <c r="G159" s="263"/>
      <c r="H159" s="263"/>
      <c r="I159" s="263"/>
      <c r="J159" s="263"/>
      <c r="K159" s="263"/>
      <c r="L159" s="263"/>
      <c r="M159" s="263"/>
      <c r="N159" s="263"/>
      <c r="O159" s="263"/>
      <c r="P159" s="263"/>
    </row>
    <row r="160" spans="2:16" ht="29" customHeight="1">
      <c r="B160" s="263"/>
      <c r="C160" s="263"/>
      <c r="D160" s="263"/>
      <c r="E160" s="263"/>
      <c r="F160" s="263"/>
      <c r="G160" s="263"/>
      <c r="H160" s="263"/>
      <c r="I160" s="263"/>
      <c r="J160" s="263"/>
      <c r="K160" s="263"/>
      <c r="L160" s="263"/>
      <c r="M160" s="263"/>
      <c r="N160" s="263"/>
      <c r="O160" s="263"/>
      <c r="P160" s="263"/>
    </row>
    <row r="161" spans="2:16" ht="29" customHeight="1">
      <c r="B161" s="263"/>
      <c r="C161" s="263"/>
      <c r="D161" s="263"/>
      <c r="E161" s="263"/>
      <c r="F161" s="263"/>
      <c r="G161" s="263"/>
      <c r="H161" s="263"/>
      <c r="I161" s="263"/>
      <c r="J161" s="263"/>
      <c r="K161" s="263"/>
      <c r="L161" s="263"/>
      <c r="M161" s="263"/>
      <c r="N161" s="263"/>
      <c r="O161" s="263"/>
      <c r="P161" s="263"/>
    </row>
    <row r="162" spans="2:16" ht="29" customHeight="1">
      <c r="B162" s="263"/>
      <c r="C162" s="263"/>
      <c r="D162" s="263"/>
      <c r="E162" s="263"/>
      <c r="F162" s="263"/>
      <c r="G162" s="263"/>
      <c r="H162" s="263"/>
      <c r="I162" s="263"/>
      <c r="J162" s="263"/>
      <c r="K162" s="263"/>
      <c r="L162" s="263"/>
      <c r="M162" s="263"/>
      <c r="N162" s="263"/>
      <c r="O162" s="263"/>
      <c r="P162" s="263"/>
    </row>
    <row r="163" spans="2:16" ht="29" customHeight="1">
      <c r="B163" s="263"/>
      <c r="C163" s="263"/>
      <c r="D163" s="263"/>
      <c r="E163" s="263"/>
      <c r="F163" s="263"/>
      <c r="G163" s="263"/>
      <c r="H163" s="263"/>
      <c r="I163" s="263"/>
      <c r="J163" s="263"/>
      <c r="K163" s="263"/>
      <c r="L163" s="263"/>
      <c r="M163" s="263"/>
      <c r="N163" s="263"/>
      <c r="O163" s="263"/>
      <c r="P163" s="263"/>
    </row>
    <row r="164" spans="2:16" ht="29" customHeight="1">
      <c r="B164" s="263"/>
      <c r="C164" s="263"/>
      <c r="D164" s="263"/>
      <c r="E164" s="263"/>
      <c r="F164" s="263"/>
      <c r="G164" s="263"/>
      <c r="H164" s="263"/>
      <c r="I164" s="263"/>
      <c r="J164" s="263"/>
      <c r="K164" s="263"/>
      <c r="L164" s="263"/>
      <c r="M164" s="263"/>
      <c r="N164" s="263"/>
      <c r="O164" s="263"/>
      <c r="P164" s="263"/>
    </row>
    <row r="165" spans="2:16" ht="29" customHeight="1">
      <c r="B165" s="263"/>
      <c r="C165" s="263"/>
      <c r="D165" s="263"/>
      <c r="E165" s="263"/>
      <c r="F165" s="263"/>
      <c r="G165" s="263"/>
      <c r="H165" s="263"/>
      <c r="I165" s="263"/>
      <c r="J165" s="263"/>
      <c r="K165" s="263"/>
      <c r="L165" s="263"/>
      <c r="M165" s="263"/>
      <c r="N165" s="263"/>
      <c r="O165" s="263"/>
      <c r="P165" s="263"/>
    </row>
    <row r="166" spans="2:16" ht="29" customHeight="1">
      <c r="B166" s="263"/>
      <c r="C166" s="263"/>
      <c r="D166" s="263"/>
      <c r="E166" s="263"/>
      <c r="F166" s="263"/>
      <c r="G166" s="263"/>
      <c r="H166" s="263"/>
      <c r="I166" s="263"/>
      <c r="J166" s="263"/>
      <c r="K166" s="263"/>
      <c r="L166" s="263"/>
      <c r="M166" s="263"/>
      <c r="N166" s="263"/>
      <c r="O166" s="263"/>
      <c r="P166" s="263"/>
    </row>
    <row r="167" spans="2:16" ht="29" customHeight="1">
      <c r="B167" s="263"/>
      <c r="C167" s="263"/>
      <c r="D167" s="263"/>
      <c r="E167" s="263"/>
      <c r="F167" s="263"/>
      <c r="G167" s="263"/>
      <c r="H167" s="263"/>
      <c r="I167" s="263"/>
      <c r="J167" s="263"/>
      <c r="K167" s="263"/>
      <c r="L167" s="263"/>
      <c r="M167" s="263"/>
      <c r="N167" s="263"/>
      <c r="O167" s="263"/>
      <c r="P167" s="263"/>
    </row>
    <row r="168" spans="2:16" ht="29" customHeight="1">
      <c r="B168" s="263"/>
      <c r="C168" s="263"/>
      <c r="D168" s="263"/>
      <c r="E168" s="263"/>
      <c r="F168" s="263"/>
      <c r="G168" s="263"/>
      <c r="H168" s="263"/>
      <c r="I168" s="263"/>
      <c r="J168" s="263"/>
      <c r="K168" s="263"/>
      <c r="L168" s="263"/>
      <c r="M168" s="263"/>
      <c r="N168" s="263"/>
      <c r="O168" s="263"/>
      <c r="P168" s="263"/>
    </row>
    <row r="169" spans="2:16" ht="29" customHeight="1">
      <c r="B169" s="263"/>
      <c r="C169" s="263"/>
      <c r="D169" s="263"/>
      <c r="E169" s="263"/>
      <c r="F169" s="263"/>
      <c r="G169" s="263"/>
      <c r="H169" s="263"/>
      <c r="I169" s="263"/>
      <c r="J169" s="263"/>
      <c r="K169" s="263"/>
      <c r="L169" s="263"/>
      <c r="M169" s="263"/>
      <c r="N169" s="263"/>
      <c r="O169" s="263"/>
      <c r="P169" s="263"/>
    </row>
    <row r="170" spans="2:16" ht="29" customHeight="1">
      <c r="B170" s="263"/>
      <c r="C170" s="263"/>
      <c r="D170" s="263"/>
      <c r="E170" s="263"/>
      <c r="F170" s="263"/>
      <c r="G170" s="263"/>
      <c r="H170" s="263"/>
      <c r="I170" s="263"/>
      <c r="J170" s="263"/>
      <c r="K170" s="263"/>
      <c r="L170" s="263"/>
      <c r="M170" s="263"/>
      <c r="N170" s="263"/>
      <c r="O170" s="263"/>
      <c r="P170" s="263"/>
    </row>
    <row r="171" spans="2:16" ht="29" customHeight="1">
      <c r="B171" s="263"/>
      <c r="C171" s="263"/>
      <c r="D171" s="263"/>
      <c r="E171" s="263"/>
      <c r="F171" s="263"/>
      <c r="G171" s="263"/>
      <c r="H171" s="263"/>
      <c r="I171" s="263"/>
      <c r="J171" s="263"/>
      <c r="K171" s="263"/>
      <c r="L171" s="263"/>
      <c r="M171" s="263"/>
      <c r="N171" s="263"/>
      <c r="O171" s="263"/>
      <c r="P171" s="263"/>
    </row>
    <row r="172" spans="2:16" ht="29" customHeight="1">
      <c r="B172" s="263"/>
      <c r="C172" s="263"/>
      <c r="D172" s="263"/>
      <c r="E172" s="263"/>
      <c r="F172" s="263"/>
      <c r="G172" s="263"/>
      <c r="H172" s="263"/>
      <c r="I172" s="263"/>
      <c r="J172" s="263"/>
      <c r="K172" s="263"/>
      <c r="L172" s="263"/>
      <c r="M172" s="263"/>
      <c r="N172" s="263"/>
      <c r="O172" s="263"/>
      <c r="P172" s="263"/>
    </row>
    <row r="173" spans="2:16" ht="29" customHeight="1">
      <c r="B173" s="263"/>
      <c r="C173" s="263"/>
      <c r="D173" s="263"/>
      <c r="E173" s="263"/>
      <c r="F173" s="263"/>
      <c r="G173" s="263"/>
      <c r="H173" s="263"/>
      <c r="I173" s="263"/>
      <c r="J173" s="263"/>
      <c r="K173" s="263"/>
      <c r="L173" s="263"/>
      <c r="M173" s="263"/>
      <c r="N173" s="263"/>
      <c r="O173" s="263"/>
      <c r="P173" s="263"/>
    </row>
    <row r="174" spans="2:16" ht="29" customHeight="1">
      <c r="B174" s="263"/>
      <c r="C174" s="263"/>
      <c r="D174" s="263"/>
      <c r="E174" s="263"/>
      <c r="F174" s="263"/>
      <c r="G174" s="263"/>
      <c r="H174" s="263"/>
      <c r="I174" s="263"/>
      <c r="J174" s="263"/>
      <c r="K174" s="263"/>
      <c r="L174" s="263"/>
      <c r="M174" s="263"/>
      <c r="N174" s="263"/>
      <c r="O174" s="263"/>
      <c r="P174" s="263"/>
    </row>
    <row r="175" spans="2:16" ht="29" customHeight="1">
      <c r="B175" s="263"/>
      <c r="C175" s="263"/>
      <c r="D175" s="263"/>
      <c r="E175" s="263"/>
      <c r="F175" s="263"/>
      <c r="G175" s="263"/>
      <c r="H175" s="263"/>
      <c r="I175" s="263"/>
      <c r="J175" s="263"/>
      <c r="K175" s="263"/>
      <c r="L175" s="263"/>
      <c r="M175" s="263"/>
      <c r="N175" s="263"/>
      <c r="O175" s="263"/>
      <c r="P175" s="263"/>
    </row>
    <row r="176" spans="2:16" ht="29" customHeight="1">
      <c r="B176" s="263"/>
      <c r="C176" s="263"/>
      <c r="D176" s="263"/>
      <c r="E176" s="263"/>
      <c r="F176" s="263"/>
      <c r="G176" s="263"/>
      <c r="H176" s="263"/>
      <c r="I176" s="263"/>
      <c r="J176" s="263"/>
      <c r="K176" s="263"/>
      <c r="L176" s="263"/>
      <c r="M176" s="263"/>
      <c r="N176" s="263"/>
      <c r="O176" s="263"/>
      <c r="P176" s="263"/>
    </row>
    <row r="177" spans="1:16" ht="29" customHeight="1">
      <c r="B177" s="263"/>
      <c r="C177" s="263"/>
      <c r="D177" s="263"/>
      <c r="E177" s="263"/>
      <c r="F177" s="263"/>
      <c r="G177" s="263"/>
      <c r="H177" s="263"/>
      <c r="I177" s="263"/>
      <c r="J177" s="263"/>
      <c r="K177" s="263"/>
      <c r="L177" s="263"/>
      <c r="M177" s="263"/>
      <c r="N177" s="263"/>
      <c r="O177" s="263"/>
      <c r="P177" s="263"/>
    </row>
    <row r="178" spans="1:16" ht="29" customHeight="1">
      <c r="B178" s="263"/>
      <c r="C178" s="263"/>
      <c r="D178" s="263"/>
      <c r="E178" s="263"/>
      <c r="F178" s="263"/>
      <c r="G178" s="263"/>
      <c r="H178" s="263"/>
      <c r="I178" s="263"/>
      <c r="J178" s="263"/>
      <c r="K178" s="263"/>
      <c r="L178" s="263"/>
      <c r="M178" s="263"/>
      <c r="N178" s="263"/>
      <c r="O178" s="263"/>
      <c r="P178" s="263"/>
    </row>
    <row r="179" spans="1:16" ht="29" customHeight="1">
      <c r="B179" s="263"/>
      <c r="C179" s="263"/>
      <c r="D179" s="263"/>
      <c r="E179" s="263"/>
      <c r="F179" s="263"/>
      <c r="G179" s="263"/>
      <c r="H179" s="263"/>
      <c r="I179" s="263"/>
      <c r="J179" s="263"/>
      <c r="K179" s="263"/>
      <c r="L179" s="263"/>
      <c r="M179" s="263"/>
      <c r="N179" s="263"/>
      <c r="O179" s="263"/>
      <c r="P179" s="263"/>
    </row>
    <row r="180" spans="1:16" ht="29" customHeight="1">
      <c r="B180" s="263"/>
      <c r="C180" s="263"/>
      <c r="D180" s="263"/>
      <c r="E180" s="263"/>
      <c r="F180" s="263"/>
      <c r="G180" s="263"/>
      <c r="H180" s="263"/>
      <c r="I180" s="263"/>
      <c r="J180" s="263"/>
      <c r="K180" s="263"/>
      <c r="L180" s="263"/>
      <c r="M180" s="263"/>
      <c r="N180" s="263"/>
      <c r="O180" s="263"/>
      <c r="P180" s="263"/>
    </row>
    <row r="181" spans="1:16" ht="29" customHeight="1">
      <c r="B181" s="263"/>
      <c r="C181" s="263"/>
      <c r="D181" s="263"/>
      <c r="E181" s="263"/>
      <c r="F181" s="263"/>
      <c r="G181" s="263"/>
      <c r="H181" s="263"/>
      <c r="I181" s="263"/>
      <c r="J181" s="263"/>
      <c r="K181" s="263"/>
      <c r="L181" s="263"/>
      <c r="M181" s="263"/>
      <c r="N181" s="263"/>
      <c r="O181" s="263"/>
      <c r="P181" s="263"/>
    </row>
    <row r="182" spans="1:16" ht="29" customHeight="1">
      <c r="B182" s="263"/>
      <c r="C182" s="263"/>
      <c r="D182" s="263"/>
      <c r="E182" s="263"/>
      <c r="F182" s="263"/>
      <c r="G182" s="263"/>
      <c r="H182" s="263"/>
      <c r="I182" s="263"/>
      <c r="J182" s="263"/>
      <c r="K182" s="263"/>
      <c r="L182" s="263"/>
      <c r="M182" s="263"/>
      <c r="N182" s="263"/>
      <c r="O182" s="263"/>
      <c r="P182" s="263"/>
    </row>
    <row r="183" spans="1:16" ht="29" customHeight="1">
      <c r="B183" s="263"/>
      <c r="C183" s="263"/>
      <c r="D183" s="263"/>
      <c r="E183" s="263"/>
      <c r="F183" s="263"/>
      <c r="G183" s="263"/>
      <c r="H183" s="263"/>
      <c r="I183" s="263"/>
      <c r="J183" s="263"/>
      <c r="K183" s="263"/>
      <c r="L183" s="263"/>
      <c r="M183" s="263"/>
      <c r="N183" s="263"/>
      <c r="O183" s="263"/>
      <c r="P183" s="263"/>
    </row>
    <row r="184" spans="1:16" ht="29" customHeight="1">
      <c r="A184" s="263"/>
      <c r="B184" s="263"/>
      <c r="C184" s="263"/>
      <c r="D184" s="263"/>
      <c r="E184" s="263"/>
      <c r="F184" s="263"/>
      <c r="G184" s="263"/>
      <c r="H184" s="263"/>
      <c r="I184" s="263"/>
      <c r="J184" s="263"/>
      <c r="K184" s="263"/>
      <c r="L184" s="263"/>
      <c r="M184" s="263"/>
      <c r="N184" s="263"/>
      <c r="O184" s="263"/>
      <c r="P184" s="263"/>
    </row>
    <row r="185" spans="1:16" ht="29" customHeight="1">
      <c r="A185" s="263"/>
      <c r="B185" s="263"/>
      <c r="C185" s="263"/>
      <c r="D185" s="263"/>
      <c r="E185" s="263"/>
      <c r="F185" s="263"/>
      <c r="G185" s="263"/>
      <c r="H185" s="263"/>
      <c r="I185" s="263"/>
      <c r="J185" s="263"/>
      <c r="K185" s="263"/>
      <c r="L185" s="263"/>
      <c r="M185" s="263"/>
      <c r="N185" s="263"/>
      <c r="O185" s="263"/>
      <c r="P185" s="263"/>
    </row>
    <row r="186" spans="1:16" ht="29" customHeight="1">
      <c r="A186" s="263"/>
      <c r="B186" s="263"/>
      <c r="C186" s="263"/>
      <c r="D186" s="263"/>
      <c r="E186" s="263"/>
      <c r="F186" s="263"/>
      <c r="G186" s="263"/>
      <c r="H186" s="263"/>
      <c r="I186" s="263"/>
      <c r="K186" s="263"/>
      <c r="L186" s="263"/>
      <c r="M186" s="263"/>
      <c r="N186" s="263"/>
      <c r="O186" s="263"/>
      <c r="P186" s="263"/>
    </row>
    <row r="187" spans="1:16" ht="29" customHeight="1">
      <c r="A187" s="263"/>
      <c r="B187" s="263"/>
      <c r="C187" s="263"/>
      <c r="D187" s="263"/>
      <c r="E187" s="263"/>
      <c r="F187" s="263"/>
      <c r="G187" s="263"/>
      <c r="H187" s="263"/>
      <c r="I187" s="263"/>
      <c r="K187" s="263"/>
      <c r="L187" s="263"/>
      <c r="M187" s="263"/>
      <c r="N187" s="263"/>
      <c r="O187" s="263"/>
      <c r="P187" s="263"/>
    </row>
    <row r="188" spans="1:16" ht="29" customHeight="1">
      <c r="A188" s="263"/>
      <c r="B188" s="263"/>
      <c r="C188" s="263"/>
      <c r="D188" s="263"/>
      <c r="E188" s="263"/>
      <c r="F188" s="263"/>
      <c r="G188" s="263"/>
      <c r="H188" s="263"/>
      <c r="I188" s="263"/>
      <c r="K188" s="263"/>
      <c r="L188" s="263"/>
      <c r="M188" s="263"/>
      <c r="N188" s="263"/>
      <c r="O188" s="263"/>
      <c r="P188" s="263"/>
    </row>
    <row r="189" spans="1:16" ht="29" customHeight="1">
      <c r="A189" s="263"/>
      <c r="B189" s="263"/>
      <c r="C189" s="263"/>
      <c r="D189" s="263"/>
      <c r="E189" s="263"/>
      <c r="F189" s="263"/>
      <c r="G189" s="263"/>
      <c r="H189" s="263"/>
      <c r="I189" s="263"/>
      <c r="J189" s="263"/>
      <c r="K189" s="263"/>
      <c r="L189" s="263"/>
      <c r="M189" s="263"/>
      <c r="N189" s="263"/>
      <c r="O189" s="263"/>
      <c r="P189" s="263"/>
    </row>
    <row r="190" spans="1:16" ht="29" customHeight="1">
      <c r="A190" s="263"/>
      <c r="B190" s="263"/>
      <c r="C190" s="263"/>
      <c r="D190" s="263"/>
      <c r="E190" s="263"/>
      <c r="F190" s="263"/>
      <c r="G190" s="263"/>
      <c r="H190" s="263"/>
      <c r="I190" s="263"/>
      <c r="J190" s="263"/>
      <c r="K190" s="263"/>
      <c r="L190" s="263"/>
      <c r="M190" s="263"/>
      <c r="N190" s="263"/>
      <c r="O190" s="263"/>
      <c r="P190" s="263"/>
    </row>
    <row r="191" spans="1:16" ht="29" customHeight="1">
      <c r="A191" s="263"/>
      <c r="B191" s="263"/>
      <c r="C191" s="263"/>
      <c r="D191" s="263"/>
      <c r="E191" s="263"/>
      <c r="F191" s="263"/>
      <c r="G191" s="263"/>
      <c r="H191" s="263"/>
      <c r="I191" s="263"/>
      <c r="J191" s="263"/>
      <c r="K191" s="263"/>
      <c r="L191" s="263"/>
      <c r="M191" s="263"/>
      <c r="N191" s="263"/>
      <c r="O191" s="263"/>
      <c r="P191" s="263"/>
    </row>
    <row r="192" spans="1:16" ht="29" customHeight="1">
      <c r="A192" s="263"/>
      <c r="B192" s="263"/>
      <c r="C192" s="263"/>
      <c r="D192" s="263"/>
      <c r="E192" s="263"/>
      <c r="F192" s="263"/>
      <c r="G192" s="263"/>
      <c r="H192" s="263"/>
      <c r="I192" s="263"/>
      <c r="J192" s="263"/>
      <c r="K192" s="263"/>
      <c r="L192" s="263"/>
      <c r="M192" s="263"/>
      <c r="N192" s="263"/>
      <c r="O192" s="263"/>
      <c r="P192" s="263"/>
    </row>
    <row r="193" spans="1:16" ht="29" customHeight="1">
      <c r="A193" s="263"/>
      <c r="B193" s="263"/>
      <c r="C193" s="263"/>
      <c r="D193" s="263"/>
      <c r="E193" s="263"/>
      <c r="F193" s="263"/>
      <c r="G193" s="263"/>
      <c r="H193" s="263"/>
      <c r="I193" s="263"/>
      <c r="J193" s="263"/>
      <c r="K193" s="263"/>
      <c r="L193" s="263"/>
      <c r="M193" s="263"/>
      <c r="N193" s="263"/>
      <c r="O193" s="263"/>
      <c r="P193" s="263"/>
    </row>
    <row r="194" spans="1:16" ht="29" customHeight="1">
      <c r="A194" s="263"/>
      <c r="B194" s="263"/>
      <c r="C194" s="263"/>
      <c r="D194" s="263"/>
      <c r="E194" s="263"/>
      <c r="F194" s="263"/>
      <c r="G194" s="263"/>
      <c r="H194" s="263"/>
      <c r="I194" s="263"/>
      <c r="J194" s="263"/>
      <c r="K194" s="263"/>
      <c r="L194" s="263"/>
      <c r="M194" s="263"/>
      <c r="N194" s="263"/>
      <c r="O194" s="263"/>
      <c r="P194" s="263"/>
    </row>
    <row r="195" spans="1:16" ht="29" customHeight="1">
      <c r="A195" s="263"/>
      <c r="B195" s="263"/>
      <c r="C195" s="263"/>
      <c r="D195" s="263"/>
      <c r="E195" s="263"/>
      <c r="F195" s="263"/>
      <c r="G195" s="263"/>
      <c r="H195" s="263"/>
      <c r="I195" s="263"/>
      <c r="J195" s="263"/>
      <c r="K195" s="263"/>
      <c r="L195" s="263"/>
      <c r="M195" s="263"/>
      <c r="N195" s="263"/>
      <c r="O195" s="263"/>
      <c r="P195" s="263"/>
    </row>
    <row r="196" spans="1:16" ht="29" customHeight="1">
      <c r="A196" s="263"/>
      <c r="B196" s="263"/>
      <c r="C196" s="263"/>
      <c r="D196" s="263"/>
      <c r="E196" s="263"/>
      <c r="F196" s="263"/>
      <c r="G196" s="263"/>
      <c r="H196" s="263"/>
      <c r="I196" s="263"/>
      <c r="J196" s="263"/>
      <c r="K196" s="263"/>
      <c r="L196" s="263"/>
      <c r="M196" s="263"/>
      <c r="N196" s="263"/>
      <c r="O196" s="263"/>
      <c r="P196" s="263"/>
    </row>
    <row r="197" spans="1:16" ht="29" customHeight="1">
      <c r="A197" s="263"/>
      <c r="B197" s="263"/>
      <c r="C197" s="263"/>
      <c r="D197" s="263"/>
      <c r="E197" s="263"/>
      <c r="F197" s="263"/>
      <c r="G197" s="263"/>
      <c r="H197" s="263"/>
      <c r="I197" s="263"/>
      <c r="J197" s="263"/>
      <c r="K197" s="263"/>
      <c r="L197" s="263"/>
      <c r="M197" s="263"/>
      <c r="N197" s="263"/>
      <c r="O197" s="263"/>
      <c r="P197" s="263"/>
    </row>
    <row r="198" spans="1:16" ht="29" customHeight="1">
      <c r="A198" s="263"/>
      <c r="B198" s="263"/>
      <c r="C198" s="263"/>
      <c r="D198" s="263"/>
      <c r="E198" s="263"/>
      <c r="F198" s="263"/>
      <c r="G198" s="263"/>
      <c r="H198" s="263"/>
      <c r="I198" s="263"/>
      <c r="J198" s="263"/>
      <c r="K198" s="263"/>
      <c r="L198" s="263"/>
      <c r="M198" s="263"/>
      <c r="N198" s="263"/>
      <c r="O198" s="263"/>
      <c r="P198" s="263"/>
    </row>
    <row r="199" spans="1:16" ht="29" customHeight="1">
      <c r="A199" s="263"/>
      <c r="B199" s="263"/>
      <c r="C199" s="263"/>
      <c r="D199" s="263"/>
      <c r="E199" s="263"/>
      <c r="F199" s="263"/>
      <c r="G199" s="263"/>
      <c r="H199" s="263"/>
      <c r="I199" s="263"/>
      <c r="J199" s="263"/>
      <c r="K199" s="263"/>
      <c r="L199" s="263"/>
      <c r="M199" s="263"/>
      <c r="N199" s="263"/>
      <c r="O199" s="263"/>
      <c r="P199" s="263"/>
    </row>
    <row r="200" spans="1:16" ht="29" customHeight="1">
      <c r="A200" s="263"/>
      <c r="B200" s="263"/>
      <c r="C200" s="263"/>
      <c r="D200" s="263"/>
      <c r="E200" s="263"/>
      <c r="F200" s="263"/>
      <c r="G200" s="263"/>
      <c r="H200" s="263"/>
      <c r="I200" s="263"/>
      <c r="J200" s="263"/>
      <c r="K200" s="263"/>
      <c r="L200" s="263"/>
      <c r="M200" s="263"/>
      <c r="N200" s="263"/>
      <c r="O200" s="263"/>
      <c r="P200" s="263"/>
    </row>
    <row r="201" spans="1:16" ht="29" customHeight="1">
      <c r="A201" s="263"/>
      <c r="B201" s="263"/>
      <c r="C201" s="263"/>
      <c r="D201" s="263"/>
      <c r="E201" s="263"/>
      <c r="F201" s="263"/>
      <c r="G201" s="263"/>
      <c r="H201" s="263"/>
      <c r="I201" s="263"/>
      <c r="J201" s="263"/>
      <c r="K201" s="263"/>
      <c r="L201" s="263"/>
      <c r="M201" s="263"/>
      <c r="N201" s="263"/>
      <c r="O201" s="263"/>
      <c r="P201" s="263"/>
    </row>
    <row r="202" spans="1:16" ht="29" customHeight="1">
      <c r="A202" s="263"/>
      <c r="B202" s="263"/>
      <c r="C202" s="263"/>
      <c r="D202" s="263"/>
      <c r="E202" s="263"/>
      <c r="F202" s="263"/>
      <c r="G202" s="263"/>
      <c r="H202" s="263"/>
      <c r="I202" s="263"/>
      <c r="J202" s="263"/>
      <c r="K202" s="263"/>
      <c r="L202" s="263"/>
      <c r="M202" s="263"/>
      <c r="N202" s="263"/>
      <c r="O202" s="263"/>
      <c r="P202" s="263"/>
    </row>
    <row r="203" spans="1:16" ht="29" customHeight="1">
      <c r="A203" s="263"/>
      <c r="B203" s="263"/>
      <c r="C203" s="263"/>
      <c r="D203" s="263"/>
      <c r="E203" s="263"/>
      <c r="F203" s="263"/>
      <c r="G203" s="263"/>
      <c r="H203" s="263"/>
      <c r="I203" s="263"/>
      <c r="J203" s="263"/>
      <c r="K203" s="263"/>
      <c r="L203" s="263"/>
      <c r="M203" s="263"/>
      <c r="N203" s="263"/>
      <c r="O203" s="263"/>
      <c r="P203" s="263"/>
    </row>
    <row r="204" spans="1:16" ht="29" customHeight="1">
      <c r="A204" s="263"/>
      <c r="B204" s="263"/>
      <c r="C204" s="263"/>
      <c r="D204" s="263"/>
      <c r="E204" s="263"/>
      <c r="F204" s="263"/>
      <c r="G204" s="263"/>
      <c r="H204" s="263"/>
      <c r="I204" s="263"/>
      <c r="J204" s="263"/>
      <c r="K204" s="263"/>
      <c r="L204" s="263"/>
      <c r="M204" s="263"/>
      <c r="N204" s="263"/>
      <c r="O204" s="263"/>
      <c r="P204" s="263"/>
    </row>
    <row r="205" spans="1:16" ht="29" customHeight="1">
      <c r="A205" s="263"/>
      <c r="B205" s="263"/>
      <c r="C205" s="263"/>
      <c r="D205" s="263"/>
      <c r="E205" s="263"/>
      <c r="F205" s="263"/>
      <c r="G205" s="263"/>
      <c r="H205" s="263"/>
      <c r="I205" s="263"/>
      <c r="J205" s="263"/>
      <c r="K205" s="263"/>
      <c r="L205" s="263"/>
      <c r="M205" s="263"/>
      <c r="N205" s="263"/>
      <c r="O205" s="263"/>
      <c r="P205" s="263"/>
    </row>
    <row r="206" spans="1:16" ht="29" customHeight="1">
      <c r="A206" s="263"/>
      <c r="B206" s="263"/>
      <c r="C206" s="263"/>
      <c r="D206" s="263"/>
      <c r="E206" s="263"/>
      <c r="F206" s="263"/>
      <c r="G206" s="263"/>
      <c r="H206" s="263"/>
      <c r="I206" s="263"/>
      <c r="J206" s="263"/>
      <c r="K206" s="263"/>
      <c r="L206" s="263"/>
      <c r="M206" s="263"/>
      <c r="N206" s="263"/>
      <c r="O206" s="263"/>
      <c r="P206" s="263"/>
    </row>
    <row r="207" spans="1:16" ht="29" customHeight="1">
      <c r="A207" s="263"/>
      <c r="B207" s="263"/>
      <c r="C207" s="263"/>
      <c r="D207" s="263"/>
      <c r="E207" s="263"/>
      <c r="F207" s="263"/>
      <c r="G207" s="263"/>
      <c r="H207" s="263"/>
      <c r="I207" s="263"/>
      <c r="J207" s="263"/>
      <c r="K207" s="263"/>
      <c r="L207" s="263"/>
      <c r="M207" s="263"/>
      <c r="N207" s="263"/>
      <c r="O207" s="263"/>
      <c r="P207" s="263"/>
    </row>
    <row r="208" spans="1:16" ht="29" customHeight="1">
      <c r="A208" s="263"/>
      <c r="B208" s="263"/>
      <c r="C208" s="263"/>
      <c r="D208" s="263"/>
      <c r="E208" s="263"/>
      <c r="F208" s="263"/>
      <c r="G208" s="263"/>
      <c r="H208" s="263"/>
      <c r="I208" s="263"/>
      <c r="J208" s="263"/>
      <c r="K208" s="263"/>
      <c r="L208" s="263"/>
      <c r="M208" s="263"/>
      <c r="N208" s="263"/>
      <c r="O208" s="263"/>
      <c r="P208" s="263"/>
    </row>
    <row r="209" spans="1:16" ht="29" customHeight="1">
      <c r="A209" s="263"/>
      <c r="B209" s="263"/>
      <c r="C209" s="263"/>
      <c r="D209" s="263"/>
      <c r="E209" s="263"/>
      <c r="F209" s="263"/>
      <c r="G209" s="263"/>
      <c r="H209" s="263"/>
      <c r="I209" s="263"/>
      <c r="J209" s="263"/>
      <c r="K209" s="263"/>
      <c r="L209" s="263"/>
      <c r="M209" s="263"/>
      <c r="N209" s="263"/>
      <c r="O209" s="263"/>
      <c r="P209" s="263"/>
    </row>
    <row r="210" spans="1:16" ht="29" customHeight="1">
      <c r="A210" s="263"/>
      <c r="B210" s="263"/>
      <c r="C210" s="263"/>
      <c r="D210" s="263"/>
      <c r="E210" s="263"/>
      <c r="F210" s="263"/>
      <c r="G210" s="263"/>
      <c r="H210" s="263"/>
      <c r="I210" s="263"/>
      <c r="J210" s="263"/>
      <c r="K210" s="263"/>
      <c r="L210" s="263"/>
      <c r="M210" s="263"/>
      <c r="N210" s="263"/>
      <c r="O210" s="263"/>
      <c r="P210" s="263"/>
    </row>
    <row r="211" spans="1:16" ht="29" customHeight="1">
      <c r="A211" s="263"/>
      <c r="B211" s="263"/>
      <c r="C211" s="263"/>
      <c r="D211" s="263"/>
      <c r="E211" s="263"/>
      <c r="F211" s="263"/>
      <c r="G211" s="263"/>
      <c r="H211" s="263"/>
      <c r="I211" s="263"/>
      <c r="J211" s="263"/>
      <c r="K211" s="263"/>
      <c r="L211" s="263"/>
      <c r="M211" s="263"/>
      <c r="N211" s="263"/>
      <c r="O211" s="263"/>
      <c r="P211" s="263"/>
    </row>
    <row r="212" spans="1:16" ht="29" customHeight="1">
      <c r="A212" s="263"/>
      <c r="B212" s="263"/>
      <c r="C212" s="263"/>
      <c r="D212" s="263"/>
      <c r="E212" s="263"/>
      <c r="F212" s="263"/>
      <c r="G212" s="263"/>
      <c r="H212" s="263"/>
      <c r="I212" s="263"/>
      <c r="J212" s="263"/>
      <c r="K212" s="263"/>
      <c r="L212" s="263"/>
      <c r="M212" s="263"/>
      <c r="N212" s="263"/>
      <c r="O212" s="263"/>
      <c r="P212" s="263"/>
    </row>
    <row r="213" spans="1:16" ht="29" customHeight="1">
      <c r="A213" s="263"/>
      <c r="B213" s="263"/>
      <c r="C213" s="263"/>
      <c r="D213" s="263"/>
      <c r="E213" s="263"/>
      <c r="F213" s="263"/>
      <c r="G213" s="263"/>
      <c r="H213" s="263"/>
      <c r="I213" s="263"/>
      <c r="J213" s="263"/>
      <c r="K213" s="263"/>
      <c r="L213" s="263"/>
      <c r="M213" s="263"/>
      <c r="N213" s="263"/>
      <c r="O213" s="263"/>
      <c r="P213" s="263"/>
    </row>
    <row r="214" spans="1:16" ht="29" customHeight="1">
      <c r="A214" s="263"/>
      <c r="B214" s="263"/>
      <c r="C214" s="263"/>
      <c r="D214" s="263"/>
      <c r="E214" s="263"/>
      <c r="F214" s="263"/>
      <c r="G214" s="263"/>
      <c r="H214" s="263"/>
      <c r="I214" s="263"/>
      <c r="J214" s="263"/>
      <c r="K214" s="263"/>
      <c r="L214" s="263"/>
      <c r="M214" s="263"/>
      <c r="N214" s="263"/>
      <c r="O214" s="263"/>
      <c r="P214" s="263"/>
    </row>
    <row r="215" spans="1:16" ht="29" customHeight="1">
      <c r="A215" s="263"/>
      <c r="B215" s="263"/>
      <c r="C215" s="263"/>
      <c r="D215" s="263"/>
      <c r="E215" s="263"/>
      <c r="F215" s="263"/>
      <c r="G215" s="263"/>
      <c r="H215" s="263"/>
      <c r="I215" s="263"/>
      <c r="J215" s="263"/>
      <c r="K215" s="263"/>
      <c r="L215" s="263"/>
      <c r="M215" s="263"/>
      <c r="N215" s="263"/>
      <c r="O215" s="263"/>
      <c r="P215" s="263"/>
    </row>
    <row r="216" spans="1:16" ht="29" customHeight="1">
      <c r="A216" s="263"/>
      <c r="B216" s="263"/>
      <c r="C216" s="263"/>
      <c r="D216" s="263"/>
      <c r="E216" s="263"/>
      <c r="F216" s="263"/>
      <c r="G216" s="263"/>
      <c r="H216" s="263"/>
      <c r="I216" s="263"/>
      <c r="J216" s="263"/>
      <c r="K216" s="263"/>
      <c r="L216" s="263"/>
      <c r="M216" s="263"/>
      <c r="N216" s="263"/>
      <c r="O216" s="263"/>
      <c r="P216" s="263"/>
    </row>
    <row r="217" spans="1:16" ht="29" customHeight="1">
      <c r="A217" s="263"/>
      <c r="B217" s="263"/>
      <c r="C217" s="263"/>
      <c r="D217" s="263"/>
      <c r="E217" s="263"/>
      <c r="F217" s="263"/>
      <c r="G217" s="263"/>
      <c r="H217" s="263"/>
      <c r="I217" s="263"/>
      <c r="J217" s="263"/>
      <c r="K217" s="263"/>
      <c r="L217" s="263"/>
      <c r="M217" s="263"/>
      <c r="N217" s="263"/>
      <c r="O217" s="263"/>
      <c r="P217" s="263"/>
    </row>
    <row r="218" spans="1:16" ht="29" customHeight="1">
      <c r="A218" s="263"/>
      <c r="B218" s="263"/>
      <c r="C218" s="263"/>
      <c r="D218" s="263"/>
      <c r="E218" s="263"/>
      <c r="F218" s="263"/>
      <c r="G218" s="263"/>
      <c r="H218" s="263"/>
      <c r="I218" s="263"/>
      <c r="J218" s="263"/>
      <c r="K218" s="263"/>
      <c r="L218" s="263"/>
      <c r="M218" s="263"/>
      <c r="N218" s="263"/>
      <c r="O218" s="263"/>
      <c r="P218" s="263"/>
    </row>
    <row r="219" spans="1:16" ht="29" customHeight="1">
      <c r="A219" s="263"/>
      <c r="B219" s="263"/>
      <c r="C219" s="263"/>
      <c r="D219" s="263"/>
      <c r="E219" s="263"/>
      <c r="F219" s="263"/>
      <c r="G219" s="263"/>
      <c r="H219" s="263"/>
      <c r="I219" s="263"/>
      <c r="J219" s="263"/>
      <c r="K219" s="263"/>
      <c r="L219" s="263"/>
      <c r="M219" s="263"/>
      <c r="N219" s="263"/>
      <c r="O219" s="263"/>
      <c r="P219" s="263"/>
    </row>
    <row r="220" spans="1:16" ht="16">
      <c r="A220" s="263"/>
      <c r="B220" s="263"/>
      <c r="C220" s="263"/>
      <c r="D220" s="263"/>
      <c r="E220" s="263"/>
      <c r="F220" s="263"/>
      <c r="G220" s="263"/>
      <c r="H220" s="263"/>
      <c r="I220" s="263"/>
      <c r="J220" s="263"/>
      <c r="K220" s="263"/>
      <c r="L220" s="263"/>
      <c r="M220" s="263"/>
      <c r="N220" s="263"/>
      <c r="O220" s="263"/>
      <c r="P220" s="263"/>
    </row>
    <row r="221" spans="1:16" ht="16">
      <c r="A221" s="263"/>
      <c r="B221" s="263"/>
      <c r="C221" s="263"/>
      <c r="D221" s="263"/>
      <c r="E221" s="263"/>
      <c r="F221" s="263"/>
      <c r="G221" s="263"/>
      <c r="H221" s="263"/>
      <c r="I221" s="263"/>
      <c r="J221" s="263"/>
      <c r="K221" s="263"/>
      <c r="L221" s="263"/>
      <c r="M221" s="263"/>
      <c r="N221" s="263"/>
      <c r="O221" s="263"/>
      <c r="P221" s="263"/>
    </row>
    <row r="222" spans="1:16" ht="16">
      <c r="A222" s="263"/>
      <c r="B222" s="263"/>
      <c r="C222" s="263"/>
      <c r="D222" s="263"/>
      <c r="E222" s="263"/>
      <c r="F222" s="263"/>
      <c r="G222" s="263"/>
      <c r="H222" s="263"/>
      <c r="I222" s="263"/>
      <c r="J222" s="263"/>
      <c r="K222" s="263"/>
      <c r="L222" s="263"/>
      <c r="M222" s="263"/>
      <c r="N222" s="263"/>
      <c r="O222" s="263"/>
      <c r="P222" s="263"/>
    </row>
    <row r="223" spans="1:16" ht="16">
      <c r="A223" s="263"/>
      <c r="B223" s="263"/>
      <c r="C223" s="263"/>
      <c r="D223" s="263"/>
      <c r="E223" s="263"/>
      <c r="F223" s="263"/>
      <c r="G223" s="263"/>
      <c r="H223" s="263"/>
      <c r="I223" s="263"/>
      <c r="J223" s="263"/>
      <c r="K223" s="263"/>
      <c r="L223" s="263"/>
      <c r="M223" s="263"/>
      <c r="N223" s="263"/>
      <c r="O223" s="263"/>
      <c r="P223" s="263"/>
    </row>
    <row r="224" spans="1:16" ht="16">
      <c r="A224" s="263"/>
      <c r="B224" s="263"/>
      <c r="C224" s="263"/>
      <c r="D224" s="263"/>
      <c r="E224" s="263"/>
      <c r="F224" s="263"/>
      <c r="G224" s="263"/>
      <c r="H224" s="263"/>
      <c r="I224" s="263"/>
      <c r="J224" s="263"/>
      <c r="K224" s="263"/>
      <c r="L224" s="263"/>
      <c r="M224" s="263"/>
      <c r="N224" s="263"/>
      <c r="O224" s="263"/>
      <c r="P224" s="263"/>
    </row>
    <row r="225" spans="1:16" ht="16">
      <c r="A225" s="263"/>
      <c r="B225" s="263"/>
      <c r="C225" s="263"/>
      <c r="D225" s="263"/>
      <c r="E225" s="263"/>
      <c r="F225" s="263"/>
      <c r="G225" s="263"/>
      <c r="H225" s="263"/>
      <c r="I225" s="263"/>
      <c r="J225" s="263"/>
      <c r="K225" s="263"/>
      <c r="L225" s="263"/>
      <c r="M225" s="263"/>
      <c r="N225" s="263"/>
      <c r="O225" s="263"/>
      <c r="P225" s="263"/>
    </row>
    <row r="226" spans="1:16" ht="16">
      <c r="A226" s="263"/>
      <c r="B226" s="263"/>
      <c r="C226" s="263"/>
      <c r="D226" s="263"/>
      <c r="E226" s="263"/>
      <c r="F226" s="263"/>
      <c r="G226" s="263"/>
      <c r="H226" s="263"/>
      <c r="I226" s="263"/>
      <c r="J226" s="263"/>
      <c r="K226" s="263"/>
      <c r="L226" s="263"/>
      <c r="M226" s="263"/>
      <c r="N226" s="263"/>
      <c r="O226" s="263"/>
      <c r="P226" s="263"/>
    </row>
    <row r="227" spans="1:16" ht="16">
      <c r="A227" s="263"/>
      <c r="B227" s="263"/>
      <c r="C227" s="263"/>
      <c r="D227" s="263"/>
      <c r="E227" s="263"/>
      <c r="F227" s="263"/>
      <c r="G227" s="263"/>
      <c r="H227" s="263"/>
      <c r="I227" s="263"/>
      <c r="J227" s="263"/>
      <c r="K227" s="263"/>
      <c r="L227" s="263"/>
      <c r="M227" s="263"/>
      <c r="N227" s="263"/>
      <c r="O227" s="263"/>
      <c r="P227" s="263"/>
    </row>
    <row r="228" spans="1:16" ht="16">
      <c r="A228" s="263"/>
      <c r="B228" s="263"/>
      <c r="C228" s="263"/>
      <c r="D228" s="263"/>
      <c r="E228" s="263"/>
      <c r="F228" s="263"/>
      <c r="G228" s="263"/>
      <c r="H228" s="263"/>
      <c r="I228" s="263"/>
      <c r="J228" s="263"/>
      <c r="K228" s="263"/>
      <c r="L228" s="263"/>
      <c r="M228" s="263"/>
      <c r="N228" s="263"/>
      <c r="O228" s="263"/>
      <c r="P228" s="263"/>
    </row>
    <row r="229" spans="1:16" ht="16">
      <c r="A229" s="263"/>
      <c r="B229" s="263"/>
      <c r="C229" s="263"/>
      <c r="D229" s="263"/>
      <c r="E229" s="263"/>
      <c r="F229" s="263"/>
      <c r="G229" s="263"/>
      <c r="H229" s="263"/>
      <c r="I229" s="263"/>
      <c r="J229" s="263"/>
      <c r="K229" s="263"/>
      <c r="L229" s="263"/>
      <c r="M229" s="263"/>
      <c r="N229" s="263"/>
      <c r="O229" s="263"/>
      <c r="P229" s="263"/>
    </row>
    <row r="230" spans="1:16" ht="16">
      <c r="A230" s="263"/>
      <c r="B230" s="263"/>
      <c r="C230" s="263"/>
      <c r="D230" s="263"/>
      <c r="E230" s="263"/>
      <c r="F230" s="263"/>
      <c r="G230" s="263"/>
      <c r="H230" s="263"/>
      <c r="I230" s="263"/>
      <c r="J230" s="263"/>
      <c r="K230" s="263"/>
      <c r="L230" s="263"/>
      <c r="M230" s="263"/>
      <c r="N230" s="263"/>
      <c r="O230" s="263"/>
      <c r="P230" s="263"/>
    </row>
    <row r="231" spans="1:16" ht="16">
      <c r="A231" s="263"/>
      <c r="B231" s="263"/>
      <c r="C231" s="263"/>
      <c r="D231" s="263"/>
      <c r="E231" s="263"/>
      <c r="F231" s="263"/>
      <c r="G231" s="263"/>
      <c r="H231" s="263"/>
      <c r="I231" s="263"/>
      <c r="J231" s="263"/>
      <c r="K231" s="263"/>
      <c r="L231" s="263"/>
      <c r="M231" s="263"/>
      <c r="N231" s="263"/>
      <c r="O231" s="263"/>
      <c r="P231" s="263"/>
    </row>
    <row r="232" spans="1:16" ht="16">
      <c r="A232" s="263"/>
      <c r="B232" s="263"/>
      <c r="C232" s="263"/>
      <c r="D232" s="263"/>
      <c r="E232" s="263"/>
      <c r="F232" s="263"/>
      <c r="G232" s="263"/>
      <c r="H232" s="263"/>
      <c r="I232" s="263"/>
      <c r="J232" s="263"/>
      <c r="K232" s="263"/>
      <c r="L232" s="263"/>
      <c r="M232" s="263"/>
      <c r="N232" s="263"/>
      <c r="O232" s="263"/>
      <c r="P232" s="263"/>
    </row>
    <row r="233" spans="1:16" ht="16">
      <c r="A233" s="263"/>
      <c r="B233" s="263"/>
      <c r="C233" s="263"/>
      <c r="D233" s="263"/>
      <c r="E233" s="263"/>
      <c r="F233" s="263"/>
      <c r="G233" s="263"/>
      <c r="H233" s="263"/>
      <c r="I233" s="263"/>
      <c r="J233" s="263"/>
      <c r="K233" s="263"/>
      <c r="L233" s="263"/>
      <c r="M233" s="263"/>
      <c r="N233" s="263"/>
      <c r="O233" s="263"/>
      <c r="P233" s="263"/>
    </row>
    <row r="234" spans="1:16" ht="16">
      <c r="A234" s="263"/>
      <c r="B234" s="263"/>
      <c r="C234" s="263"/>
      <c r="D234" s="263"/>
      <c r="E234" s="263"/>
      <c r="F234" s="263"/>
      <c r="G234" s="263"/>
      <c r="H234" s="263"/>
      <c r="I234" s="263"/>
      <c r="J234" s="263"/>
      <c r="K234" s="263"/>
      <c r="L234" s="263"/>
      <c r="M234" s="263"/>
      <c r="N234" s="263"/>
      <c r="O234" s="263"/>
      <c r="P234" s="263"/>
    </row>
    <row r="235" spans="1:16" ht="16">
      <c r="A235" s="263"/>
      <c r="B235" s="263"/>
      <c r="C235" s="263"/>
      <c r="D235" s="263"/>
      <c r="E235" s="263"/>
      <c r="F235" s="263"/>
      <c r="G235" s="263"/>
      <c r="H235" s="263"/>
      <c r="I235" s="263"/>
      <c r="J235" s="263"/>
      <c r="K235" s="263"/>
      <c r="L235" s="263"/>
      <c r="M235" s="263"/>
      <c r="N235" s="263"/>
      <c r="O235" s="263"/>
      <c r="P235" s="263"/>
    </row>
    <row r="236" spans="1:16" ht="16">
      <c r="A236" s="263"/>
      <c r="B236" s="263"/>
      <c r="C236" s="263"/>
      <c r="D236" s="263"/>
      <c r="E236" s="263"/>
      <c r="F236" s="263"/>
      <c r="G236" s="263"/>
      <c r="H236" s="263"/>
      <c r="I236" s="263"/>
      <c r="J236" s="263"/>
      <c r="K236" s="263"/>
      <c r="L236" s="263"/>
      <c r="M236" s="263"/>
      <c r="N236" s="263"/>
      <c r="O236" s="263"/>
      <c r="P236" s="263"/>
    </row>
    <row r="237" spans="1:16" ht="16">
      <c r="B237" s="263"/>
      <c r="C237" s="263"/>
      <c r="D237" s="263"/>
      <c r="E237" s="263"/>
      <c r="F237" s="263"/>
      <c r="G237" s="263"/>
      <c r="H237" s="263"/>
      <c r="I237" s="263"/>
      <c r="J237" s="263"/>
      <c r="K237" s="263"/>
      <c r="L237" s="263"/>
      <c r="M237" s="263"/>
      <c r="N237" s="263"/>
      <c r="O237" s="263"/>
      <c r="P237" s="263"/>
    </row>
    <row r="238" spans="1:16" ht="16">
      <c r="B238" s="263"/>
      <c r="C238" s="263"/>
      <c r="D238" s="263"/>
      <c r="E238" s="263"/>
      <c r="F238" s="263"/>
      <c r="G238" s="263"/>
      <c r="H238" s="263"/>
      <c r="I238" s="263"/>
      <c r="J238" s="263"/>
      <c r="K238" s="263"/>
      <c r="L238" s="263"/>
      <c r="M238" s="263"/>
      <c r="N238" s="263"/>
      <c r="O238" s="263"/>
      <c r="P238" s="263"/>
    </row>
    <row r="239" spans="1:16" ht="16">
      <c r="B239" s="263"/>
      <c r="C239" s="263"/>
      <c r="D239" s="263"/>
      <c r="E239" s="263"/>
      <c r="F239" s="263"/>
      <c r="G239" s="263"/>
      <c r="H239" s="263"/>
      <c r="I239" s="263"/>
      <c r="J239" s="263"/>
      <c r="K239" s="263"/>
      <c r="L239" s="263"/>
      <c r="M239" s="263"/>
      <c r="N239" s="263"/>
      <c r="O239" s="263"/>
      <c r="P239" s="263"/>
    </row>
    <row r="240" spans="1:16" ht="16">
      <c r="B240" s="263"/>
      <c r="C240" s="263"/>
      <c r="D240" s="263"/>
      <c r="E240" s="263"/>
      <c r="F240" s="263"/>
      <c r="G240" s="263"/>
      <c r="H240" s="263"/>
      <c r="I240" s="263"/>
      <c r="J240" s="263"/>
      <c r="K240" s="263"/>
      <c r="L240" s="263"/>
      <c r="M240" s="263"/>
      <c r="N240" s="263"/>
      <c r="O240" s="263"/>
      <c r="P240" s="263"/>
    </row>
    <row r="241" spans="2:16" ht="16">
      <c r="B241" s="263"/>
      <c r="C241" s="263"/>
      <c r="D241" s="263"/>
      <c r="E241" s="263"/>
      <c r="F241" s="263"/>
      <c r="G241" s="263"/>
      <c r="H241" s="263"/>
      <c r="I241" s="263"/>
      <c r="J241" s="263"/>
      <c r="K241" s="263"/>
      <c r="L241" s="263"/>
      <c r="M241" s="263"/>
      <c r="N241" s="263"/>
      <c r="O241" s="263"/>
      <c r="P241" s="263"/>
    </row>
    <row r="242" spans="2:16" ht="16">
      <c r="B242" s="263"/>
      <c r="C242" s="263"/>
      <c r="D242" s="263"/>
      <c r="E242" s="263"/>
      <c r="F242" s="263"/>
      <c r="G242" s="263"/>
      <c r="H242" s="263"/>
      <c r="I242" s="263"/>
      <c r="J242" s="263"/>
      <c r="K242" s="263"/>
      <c r="L242" s="263"/>
      <c r="M242" s="263"/>
      <c r="N242" s="263"/>
      <c r="O242" s="263"/>
      <c r="P242" s="263"/>
    </row>
    <row r="243" spans="2:16" ht="16">
      <c r="B243" s="263"/>
      <c r="C243" s="263"/>
      <c r="D243" s="263"/>
      <c r="E243" s="263"/>
      <c r="F243" s="263"/>
      <c r="G243" s="263"/>
      <c r="H243" s="263"/>
      <c r="I243" s="263"/>
      <c r="J243" s="263"/>
      <c r="K243" s="263"/>
      <c r="L243" s="263"/>
      <c r="M243" s="263"/>
      <c r="N243" s="263"/>
      <c r="O243" s="263"/>
      <c r="P243" s="263"/>
    </row>
    <row r="244" spans="2:16" ht="16">
      <c r="B244" s="263"/>
      <c r="C244" s="263"/>
      <c r="D244" s="263"/>
      <c r="E244" s="263"/>
      <c r="F244" s="263"/>
      <c r="G244" s="263"/>
      <c r="H244" s="263"/>
      <c r="I244" s="263"/>
      <c r="J244" s="263"/>
      <c r="K244" s="263"/>
      <c r="L244" s="263"/>
      <c r="M244" s="263"/>
      <c r="N244" s="263"/>
      <c r="O244" s="263"/>
      <c r="P244" s="263"/>
    </row>
    <row r="245" spans="2:16" ht="16">
      <c r="B245" s="263"/>
      <c r="C245" s="263"/>
      <c r="D245" s="263"/>
      <c r="E245" s="263"/>
      <c r="F245" s="263"/>
      <c r="G245" s="263"/>
      <c r="H245" s="263"/>
      <c r="I245" s="263"/>
      <c r="J245" s="263"/>
      <c r="K245" s="263"/>
      <c r="L245" s="263"/>
      <c r="M245" s="263"/>
      <c r="N245" s="263"/>
      <c r="O245" s="263"/>
      <c r="P245" s="263"/>
    </row>
    <row r="246" spans="2:16" ht="16">
      <c r="B246" s="263"/>
      <c r="C246" s="263"/>
      <c r="D246" s="263"/>
      <c r="E246" s="263"/>
      <c r="F246" s="263"/>
      <c r="G246" s="263"/>
      <c r="H246" s="263"/>
      <c r="I246" s="263"/>
      <c r="J246" s="263"/>
      <c r="K246" s="263"/>
      <c r="L246" s="263"/>
      <c r="M246" s="263"/>
      <c r="N246" s="263"/>
      <c r="O246" s="263"/>
      <c r="P246" s="263"/>
    </row>
    <row r="247" spans="2:16" ht="16">
      <c r="B247" s="263"/>
      <c r="C247" s="263"/>
      <c r="D247" s="263"/>
      <c r="E247" s="263"/>
      <c r="F247" s="263"/>
      <c r="G247" s="263"/>
      <c r="H247" s="263"/>
      <c r="I247" s="263"/>
      <c r="J247" s="263"/>
      <c r="K247" s="263"/>
      <c r="L247" s="263"/>
      <c r="M247" s="263"/>
      <c r="N247" s="263"/>
      <c r="O247" s="263"/>
      <c r="P247" s="263"/>
    </row>
    <row r="248" spans="2:16" ht="16">
      <c r="B248" s="263"/>
      <c r="C248" s="263"/>
      <c r="D248" s="263"/>
      <c r="E248" s="263"/>
      <c r="F248" s="263"/>
      <c r="G248" s="263"/>
      <c r="H248" s="263"/>
      <c r="I248" s="263"/>
      <c r="J248" s="263"/>
      <c r="K248" s="263"/>
      <c r="L248" s="263"/>
      <c r="M248" s="263"/>
      <c r="N248" s="263"/>
      <c r="O248" s="263"/>
      <c r="P248" s="263"/>
    </row>
    <row r="249" spans="2:16" ht="16">
      <c r="J249" s="263"/>
      <c r="K249" s="263"/>
      <c r="L249" s="263"/>
      <c r="M249" s="263"/>
      <c r="N249" s="263"/>
      <c r="O249" s="263"/>
      <c r="P249" s="263"/>
    </row>
    <row r="250" spans="2:16" ht="16">
      <c r="J250" s="263"/>
      <c r="K250" s="263"/>
      <c r="L250" s="263"/>
      <c r="M250" s="263"/>
      <c r="N250" s="263"/>
      <c r="O250" s="263"/>
      <c r="P250" s="263"/>
    </row>
  </sheetData>
  <mergeCells count="23">
    <mergeCell ref="B85:B88"/>
    <mergeCell ref="C37:D37"/>
    <mergeCell ref="E37:F37"/>
    <mergeCell ref="G37:H37"/>
    <mergeCell ref="C38:D38"/>
    <mergeCell ref="E38:F38"/>
    <mergeCell ref="G38:H38"/>
    <mergeCell ref="B65:B68"/>
    <mergeCell ref="B69:B72"/>
    <mergeCell ref="B73:B76"/>
    <mergeCell ref="B77:B80"/>
    <mergeCell ref="B81:B84"/>
    <mergeCell ref="C35:D35"/>
    <mergeCell ref="E35:F35"/>
    <mergeCell ref="G35:H35"/>
    <mergeCell ref="C36:D36"/>
    <mergeCell ref="E36:F36"/>
    <mergeCell ref="G36:H36"/>
    <mergeCell ref="B19:B23"/>
    <mergeCell ref="B24:B28"/>
    <mergeCell ref="B2:D2"/>
    <mergeCell ref="B5:D5"/>
    <mergeCell ref="C8:D8"/>
  </mergeCells>
  <conditionalFormatting sqref="D9">
    <cfRule type="containsText" dxfId="8" priority="1" operator="containsText" text="Pas ok">
      <formula>NOT(ISERROR(SEARCH("Pas ok",D9)))</formula>
    </cfRule>
    <cfRule type="containsText" dxfId="7" priority="2" operator="containsText" text="Calcul brouillon, ordre de grandeur">
      <formula>NOT(ISERROR(SEARCH("Calcul brouillon, ordre de grandeur",D9)))</formula>
    </cfRule>
    <cfRule type="containsText" dxfId="6" priority="3" operator="containsText" text="Bon ordre de grandeur">
      <formula>NOT(ISERROR(SEARCH("Bon ordre de grandeur",D9)))</formula>
    </cfRule>
    <cfRule type="containsText" dxfId="5" priority="4" operator="containsText" text="Calcul validé">
      <formula>NOT(ISERROR(SEARCH("Calcul validé",D9)))</formula>
    </cfRule>
    <cfRule type="containsText" dxfId="4" priority="5" operator="containsText" text="Pas ok">
      <formula>NOT(ISERROR(SEARCH("Pas ok",D9)))</formula>
    </cfRule>
    <cfRule type="containsText" dxfId="3" priority="6" operator="containsText" text="Calcul brouillon, ordre de grandeur">
      <formula>NOT(ISERROR(SEARCH("Calcul brouillon, ordre de grandeur",D9)))</formula>
    </cfRule>
    <cfRule type="containsText" dxfId="2" priority="7" operator="containsText" text="Bon ordre de grandeur">
      <formula>NOT(ISERROR(SEARCH("Bon ordre de grandeur",D9)))</formula>
    </cfRule>
    <cfRule type="containsText" dxfId="1" priority="8" operator="containsText" text="Calcul validé">
      <formula>NOT(ISERROR(SEARCH("Calcul validé",D9)))</formula>
    </cfRule>
  </conditionalFormatting>
  <conditionalFormatting sqref="D9:E9">
    <cfRule type="containsText" dxfId="0" priority="9" operator="containsText" text="Calcul brouillon, odg">
      <formula>NOT(ISERROR(SEARCH("Calcul brouillon, odg",D9)))</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7310D-77BE-A145-8B81-CAEF35CCD098}">
  <dimension ref="A1:X52"/>
  <sheetViews>
    <sheetView zoomScale="61" workbookViewId="0">
      <selection activeCell="L18" sqref="L18"/>
    </sheetView>
  </sheetViews>
  <sheetFormatPr baseColWidth="10" defaultRowHeight="14"/>
  <cols>
    <col min="2" max="2" width="32.33203125" customWidth="1"/>
    <col min="3" max="3" width="25.83203125" customWidth="1"/>
    <col min="4" max="4" width="27.5" style="3" customWidth="1"/>
    <col min="5" max="5" width="20" customWidth="1"/>
    <col min="6" max="6" width="20" style="137" customWidth="1"/>
  </cols>
  <sheetData>
    <row r="1" spans="1:24" s="1655" customFormat="1" ht="42" customHeight="1">
      <c r="A1" s="1653" t="s">
        <v>1521</v>
      </c>
      <c r="B1" s="1654"/>
      <c r="C1" s="1654"/>
      <c r="D1" s="1654"/>
      <c r="E1" s="1654"/>
      <c r="W1" s="1656"/>
      <c r="X1" s="1657"/>
    </row>
    <row r="2" spans="1:24" ht="31" customHeight="1" thickBot="1">
      <c r="B2" s="926"/>
    </row>
    <row r="3" spans="1:24" ht="46" thickBot="1">
      <c r="B3" s="2338"/>
      <c r="C3" s="2339"/>
      <c r="D3" s="210" t="s">
        <v>262</v>
      </c>
      <c r="E3" s="203" t="s">
        <v>308</v>
      </c>
      <c r="F3" s="204" t="s">
        <v>295</v>
      </c>
    </row>
    <row r="4" spans="1:24" ht="20" customHeight="1">
      <c r="B4" s="2345" t="s">
        <v>211</v>
      </c>
      <c r="C4" s="2346"/>
      <c r="D4" s="211">
        <v>1</v>
      </c>
      <c r="E4" s="188">
        <v>30435</v>
      </c>
      <c r="F4" s="195"/>
    </row>
    <row r="5" spans="1:24" ht="20" customHeight="1">
      <c r="B5" s="2347" t="s">
        <v>213</v>
      </c>
      <c r="C5" s="2348"/>
      <c r="D5" s="212">
        <v>1</v>
      </c>
      <c r="E5" s="136">
        <v>24266</v>
      </c>
      <c r="F5" s="191"/>
    </row>
    <row r="6" spans="1:24" ht="20" customHeight="1">
      <c r="B6" s="2344" t="s">
        <v>212</v>
      </c>
      <c r="C6" s="2343"/>
      <c r="D6" s="213">
        <v>0.98672580910136354</v>
      </c>
      <c r="E6" s="135">
        <v>2932605</v>
      </c>
      <c r="F6" s="191"/>
    </row>
    <row r="7" spans="1:24" ht="20" customHeight="1">
      <c r="B7" s="2342" t="s">
        <v>162</v>
      </c>
      <c r="C7" s="2343"/>
      <c r="D7" s="213">
        <v>0.99211434204041404</v>
      </c>
      <c r="E7" s="135">
        <v>35750</v>
      </c>
      <c r="F7" s="191"/>
    </row>
    <row r="8" spans="1:24" ht="20" customHeight="1" thickBot="1">
      <c r="B8" s="2340" t="s">
        <v>163</v>
      </c>
      <c r="C8" s="2341"/>
      <c r="D8" s="214">
        <v>0.99438146870379496</v>
      </c>
      <c r="E8" s="192">
        <v>98492</v>
      </c>
      <c r="F8" s="193"/>
    </row>
    <row r="9" spans="1:24" ht="32" customHeight="1">
      <c r="B9" s="2335" t="s">
        <v>164</v>
      </c>
      <c r="C9" s="196" t="s">
        <v>165</v>
      </c>
      <c r="D9" s="2332">
        <v>1</v>
      </c>
      <c r="E9" s="189">
        <v>1511</v>
      </c>
      <c r="F9" s="190">
        <v>4.9646788237226874E-2</v>
      </c>
    </row>
    <row r="10" spans="1:24">
      <c r="B10" s="2336"/>
      <c r="C10" s="197" t="s">
        <v>166</v>
      </c>
      <c r="D10" s="2333"/>
      <c r="E10" s="135">
        <v>7970</v>
      </c>
      <c r="F10" s="191">
        <v>0.26186955807458517</v>
      </c>
    </row>
    <row r="11" spans="1:24">
      <c r="B11" s="2336"/>
      <c r="C11" s="197" t="s">
        <v>167</v>
      </c>
      <c r="D11" s="2333"/>
      <c r="E11" s="135">
        <v>187</v>
      </c>
      <c r="F11" s="191">
        <v>6.144241826844094E-3</v>
      </c>
    </row>
    <row r="12" spans="1:24">
      <c r="B12" s="2336"/>
      <c r="C12" s="197" t="s">
        <v>168</v>
      </c>
      <c r="D12" s="2333"/>
      <c r="E12" s="135">
        <v>9766</v>
      </c>
      <c r="F12" s="191">
        <v>0.32088056513882046</v>
      </c>
    </row>
    <row r="13" spans="1:24">
      <c r="B13" s="2336"/>
      <c r="C13" s="197" t="s">
        <v>169</v>
      </c>
      <c r="D13" s="2333"/>
      <c r="E13" s="135">
        <v>5126</v>
      </c>
      <c r="F13" s="191">
        <v>0.16842451125349103</v>
      </c>
    </row>
    <row r="14" spans="1:24">
      <c r="B14" s="2336"/>
      <c r="C14" s="197" t="s">
        <v>170</v>
      </c>
      <c r="D14" s="2333"/>
      <c r="E14" s="135">
        <v>584</v>
      </c>
      <c r="F14" s="191">
        <v>1.918843436832594E-2</v>
      </c>
    </row>
    <row r="15" spans="1:24">
      <c r="B15" s="2336"/>
      <c r="C15" s="197" t="s">
        <v>171</v>
      </c>
      <c r="D15" s="2333"/>
      <c r="E15" s="135">
        <v>2879</v>
      </c>
      <c r="F15" s="191">
        <v>9.4595038606867091E-2</v>
      </c>
    </row>
    <row r="16" spans="1:24" ht="15" thickBot="1">
      <c r="B16" s="2337"/>
      <c r="C16" s="198" t="s">
        <v>172</v>
      </c>
      <c r="D16" s="2334"/>
      <c r="E16" s="192">
        <v>6003</v>
      </c>
      <c r="F16" s="193">
        <v>0.1972400197141449</v>
      </c>
    </row>
    <row r="17" spans="2:13">
      <c r="B17" s="2335" t="s">
        <v>173</v>
      </c>
      <c r="C17" s="199" t="s">
        <v>165</v>
      </c>
      <c r="D17" s="2332">
        <v>9.765073106620667E-2</v>
      </c>
      <c r="E17" s="189">
        <v>74</v>
      </c>
      <c r="F17" s="446">
        <v>2.4899057873485869E-2</v>
      </c>
    </row>
    <row r="18" spans="2:13">
      <c r="B18" s="2336"/>
      <c r="C18" s="197" t="s">
        <v>1</v>
      </c>
      <c r="D18" s="2333"/>
      <c r="E18" s="135">
        <v>1766</v>
      </c>
      <c r="F18" s="447">
        <v>0.5942126514131898</v>
      </c>
    </row>
    <row r="19" spans="2:13">
      <c r="B19" s="2336"/>
      <c r="C19" s="197" t="s">
        <v>174</v>
      </c>
      <c r="D19" s="2333"/>
      <c r="E19" s="135">
        <v>218</v>
      </c>
      <c r="F19" s="447">
        <v>7.3351278600269174E-2</v>
      </c>
    </row>
    <row r="20" spans="2:13">
      <c r="B20" s="2336"/>
      <c r="C20" s="197" t="s">
        <v>38</v>
      </c>
      <c r="D20" s="2333"/>
      <c r="E20" s="135">
        <v>1069</v>
      </c>
      <c r="F20" s="447">
        <v>0.35969044414535667</v>
      </c>
    </row>
    <row r="21" spans="2:13" ht="15" thickBot="1">
      <c r="B21" s="2337"/>
      <c r="C21" s="200" t="s">
        <v>175</v>
      </c>
      <c r="D21" s="2334"/>
      <c r="E21" s="192">
        <v>61</v>
      </c>
      <c r="F21" s="448">
        <v>2.0524899057873486E-2</v>
      </c>
    </row>
    <row r="22" spans="2:13">
      <c r="B22" s="2336" t="s">
        <v>176</v>
      </c>
      <c r="C22" s="201" t="s">
        <v>177</v>
      </c>
      <c r="D22" s="2333">
        <v>1</v>
      </c>
      <c r="E22" s="188">
        <v>5</v>
      </c>
      <c r="F22" s="195">
        <v>1.642845408247084E-4</v>
      </c>
    </row>
    <row r="23" spans="2:13">
      <c r="B23" s="2336"/>
      <c r="C23" s="197" t="s">
        <v>178</v>
      </c>
      <c r="D23" s="2333"/>
      <c r="E23" s="135">
        <v>12</v>
      </c>
      <c r="F23" s="191">
        <v>3.9428289797930016E-4</v>
      </c>
    </row>
    <row r="24" spans="2:13">
      <c r="B24" s="2336"/>
      <c r="C24" s="197" t="s">
        <v>179</v>
      </c>
      <c r="D24" s="2333"/>
      <c r="E24" s="135">
        <v>25845</v>
      </c>
      <c r="F24" s="191">
        <v>0.84918679152291765</v>
      </c>
    </row>
    <row r="25" spans="2:13">
      <c r="B25" s="2336"/>
      <c r="C25" s="197" t="s">
        <v>180</v>
      </c>
      <c r="D25" s="2333"/>
      <c r="E25" s="135">
        <v>2455</v>
      </c>
      <c r="F25" s="191">
        <v>8.0663709544931822E-2</v>
      </c>
    </row>
    <row r="26" spans="2:13">
      <c r="B26" s="2336"/>
      <c r="C26" s="197" t="s">
        <v>181</v>
      </c>
      <c r="D26" s="2333"/>
      <c r="E26" s="135">
        <v>0</v>
      </c>
      <c r="F26" s="191">
        <v>0</v>
      </c>
    </row>
    <row r="27" spans="2:13" ht="15" thickBot="1">
      <c r="B27" s="2336"/>
      <c r="C27" s="202" t="s">
        <v>182</v>
      </c>
      <c r="D27" s="2333"/>
      <c r="E27" s="187">
        <v>2118</v>
      </c>
      <c r="F27" s="194">
        <v>6.959093149334647E-2</v>
      </c>
    </row>
    <row r="28" spans="2:13" ht="15">
      <c r="B28" s="2335" t="s">
        <v>183</v>
      </c>
      <c r="C28" s="199" t="s">
        <v>184</v>
      </c>
      <c r="D28" s="2332">
        <v>0.99326433382618695</v>
      </c>
      <c r="E28" s="189">
        <v>4763</v>
      </c>
      <c r="F28" s="446">
        <v>0.15755871650678135</v>
      </c>
      <c r="G28" s="449"/>
      <c r="I28" s="452"/>
      <c r="M28" s="450"/>
    </row>
    <row r="29" spans="2:13" ht="15">
      <c r="B29" s="2336"/>
      <c r="C29" s="197" t="s">
        <v>185</v>
      </c>
      <c r="D29" s="2333"/>
      <c r="E29" s="135">
        <v>8123</v>
      </c>
      <c r="F29" s="447">
        <v>0.26870658286470395</v>
      </c>
      <c r="G29" s="449"/>
      <c r="I29" s="452"/>
      <c r="K29" s="452"/>
      <c r="M29" s="451"/>
    </row>
    <row r="30" spans="2:13" ht="15">
      <c r="B30" s="2336"/>
      <c r="C30" s="197" t="s">
        <v>186</v>
      </c>
      <c r="D30" s="2333"/>
      <c r="E30" s="135">
        <v>3142</v>
      </c>
      <c r="F30" s="447">
        <v>0.10393648693350976</v>
      </c>
      <c r="G30" s="449"/>
      <c r="I30" s="452"/>
      <c r="K30" s="452"/>
      <c r="M30" s="451"/>
    </row>
    <row r="31" spans="2:13" ht="15">
      <c r="B31" s="2336"/>
      <c r="C31" s="197" t="s">
        <v>187</v>
      </c>
      <c r="D31" s="2333"/>
      <c r="E31" s="135">
        <v>3592</v>
      </c>
      <c r="F31" s="447">
        <v>0.11882236189216011</v>
      </c>
      <c r="I31" s="452"/>
      <c r="K31" s="452"/>
      <c r="M31" s="451"/>
    </row>
    <row r="32" spans="2:13" ht="15">
      <c r="B32" s="2336"/>
      <c r="C32" s="197" t="s">
        <v>188</v>
      </c>
      <c r="D32" s="2333"/>
      <c r="E32" s="135">
        <v>7291</v>
      </c>
      <c r="F32" s="447">
        <v>0.24118425405226596</v>
      </c>
      <c r="M32" s="451"/>
    </row>
    <row r="33" spans="2:11">
      <c r="B33" s="2336"/>
      <c r="C33" s="197" t="s">
        <v>189</v>
      </c>
      <c r="D33" s="2333"/>
      <c r="E33" s="135">
        <v>1183</v>
      </c>
      <c r="F33" s="447">
        <v>3.9133311280185247E-2</v>
      </c>
      <c r="I33" s="452"/>
      <c r="K33" s="452"/>
    </row>
    <row r="34" spans="2:11" ht="15" thickBot="1">
      <c r="B34" s="2337"/>
      <c r="C34" s="200" t="s">
        <v>190</v>
      </c>
      <c r="D34" s="2334"/>
      <c r="E34" s="192">
        <v>2136</v>
      </c>
      <c r="F34" s="448">
        <v>7.0658286470393655E-2</v>
      </c>
    </row>
    <row r="35" spans="2:11">
      <c r="B35" s="2335" t="s">
        <v>191</v>
      </c>
      <c r="C35" s="205">
        <v>1</v>
      </c>
      <c r="D35" s="2332">
        <v>0.35196320026285527</v>
      </c>
      <c r="E35" s="189">
        <v>833</v>
      </c>
      <c r="F35" s="190">
        <v>7.7763256161314409E-2</v>
      </c>
    </row>
    <row r="36" spans="2:11">
      <c r="B36" s="2336"/>
      <c r="C36" s="206">
        <v>2</v>
      </c>
      <c r="D36" s="2333"/>
      <c r="E36" s="135">
        <v>871</v>
      </c>
      <c r="F36" s="191">
        <v>8.1310679611650491E-2</v>
      </c>
    </row>
    <row r="37" spans="2:11">
      <c r="B37" s="2336"/>
      <c r="C37" s="206">
        <v>3</v>
      </c>
      <c r="D37" s="2333"/>
      <c r="E37" s="135">
        <v>1239</v>
      </c>
      <c r="F37" s="191">
        <v>0.11566467513069455</v>
      </c>
    </row>
    <row r="38" spans="2:11">
      <c r="B38" s="2336"/>
      <c r="C38" s="206">
        <v>4</v>
      </c>
      <c r="D38" s="2333"/>
      <c r="E38" s="135">
        <v>916</v>
      </c>
      <c r="F38" s="191">
        <v>8.5511575802837941E-2</v>
      </c>
    </row>
    <row r="39" spans="2:11" ht="15" thickBot="1">
      <c r="B39" s="2336"/>
      <c r="C39" s="207">
        <v>5</v>
      </c>
      <c r="D39" s="2333"/>
      <c r="E39" s="187">
        <v>6851</v>
      </c>
      <c r="F39" s="194">
        <v>0.6395631067961165</v>
      </c>
    </row>
    <row r="40" spans="2:11">
      <c r="B40" s="2335" t="s">
        <v>192</v>
      </c>
      <c r="C40" s="199" t="s">
        <v>193</v>
      </c>
      <c r="D40" s="2332">
        <v>0.99829144077542298</v>
      </c>
      <c r="E40" s="189">
        <v>30327</v>
      </c>
      <c r="F40" s="190">
        <v>0.9981568640358095</v>
      </c>
      <c r="I40" s="452"/>
    </row>
    <row r="41" spans="2:11" ht="15">
      <c r="B41" s="2336"/>
      <c r="C41" s="197" t="s">
        <v>194</v>
      </c>
      <c r="D41" s="2333"/>
      <c r="E41" s="135">
        <v>37</v>
      </c>
      <c r="F41" s="191">
        <v>1.2177862620544383E-3</v>
      </c>
      <c r="H41" s="450"/>
      <c r="I41" s="453"/>
      <c r="J41" s="453"/>
    </row>
    <row r="42" spans="2:11">
      <c r="B42" s="2336"/>
      <c r="C42" s="197" t="s">
        <v>195</v>
      </c>
      <c r="D42" s="2333"/>
      <c r="E42" s="135">
        <v>12</v>
      </c>
      <c r="F42" s="191">
        <v>3.9495770661225025E-4</v>
      </c>
    </row>
    <row r="43" spans="2:11" ht="15">
      <c r="B43" s="2336"/>
      <c r="C43" s="197" t="s">
        <v>196</v>
      </c>
      <c r="D43" s="2333"/>
      <c r="E43" s="135">
        <v>6</v>
      </c>
      <c r="F43" s="191">
        <v>1.9747885330612512E-4</v>
      </c>
      <c r="H43" s="451"/>
    </row>
    <row r="44" spans="2:11">
      <c r="B44" s="2336"/>
      <c r="C44" s="197" t="s">
        <v>197</v>
      </c>
      <c r="D44" s="2333"/>
      <c r="E44" s="135">
        <v>1</v>
      </c>
      <c r="F44" s="191">
        <v>3.2913142217687525E-5</v>
      </c>
    </row>
    <row r="45" spans="2:11" ht="16" thickBot="1">
      <c r="B45" s="2337"/>
      <c r="C45" s="200" t="s">
        <v>198</v>
      </c>
      <c r="D45" s="2334"/>
      <c r="E45" s="192">
        <v>0</v>
      </c>
      <c r="F45" s="193">
        <v>0</v>
      </c>
      <c r="H45" s="451"/>
    </row>
    <row r="46" spans="2:11">
      <c r="B46" s="2335" t="s">
        <v>199</v>
      </c>
      <c r="C46" s="199" t="s">
        <v>200</v>
      </c>
      <c r="D46" s="2332">
        <v>0.98015442746837522</v>
      </c>
      <c r="E46" s="189">
        <v>21581</v>
      </c>
      <c r="F46" s="190">
        <v>0.723442056920653</v>
      </c>
    </row>
    <row r="47" spans="2:11" ht="15">
      <c r="B47" s="2336"/>
      <c r="C47" s="197" t="s">
        <v>165</v>
      </c>
      <c r="D47" s="2333"/>
      <c r="E47" s="135">
        <v>771</v>
      </c>
      <c r="F47" s="191">
        <v>2.5845596862324429E-2</v>
      </c>
      <c r="H47" s="451"/>
    </row>
    <row r="48" spans="2:11">
      <c r="B48" s="2336"/>
      <c r="C48" s="197" t="s">
        <v>201</v>
      </c>
      <c r="D48" s="2333"/>
      <c r="E48" s="135">
        <v>8168</v>
      </c>
      <c r="F48" s="191">
        <v>0.27380912473601288</v>
      </c>
    </row>
    <row r="49" spans="2:8" ht="15">
      <c r="B49" s="2336"/>
      <c r="C49" s="197" t="s">
        <v>114</v>
      </c>
      <c r="D49" s="2333"/>
      <c r="E49" s="135">
        <v>666</v>
      </c>
      <c r="F49" s="191">
        <v>2.2325768495860012E-2</v>
      </c>
      <c r="H49" s="451"/>
    </row>
    <row r="50" spans="2:8">
      <c r="B50" s="2336"/>
      <c r="C50" s="197" t="s">
        <v>202</v>
      </c>
      <c r="D50" s="2333"/>
      <c r="E50" s="135">
        <v>3</v>
      </c>
      <c r="F50" s="191">
        <v>1.0056652475612618E-4</v>
      </c>
    </row>
    <row r="51" spans="2:8">
      <c r="B51" s="2336"/>
      <c r="C51" s="197" t="s">
        <v>203</v>
      </c>
      <c r="D51" s="2333"/>
      <c r="E51" s="135">
        <v>146</v>
      </c>
      <c r="F51" s="191">
        <v>4.8942375381314743E-3</v>
      </c>
    </row>
    <row r="52" spans="2:8" ht="15" thickBot="1">
      <c r="B52" s="2337"/>
      <c r="C52" s="200" t="s">
        <v>204</v>
      </c>
      <c r="D52" s="2334"/>
      <c r="E52" s="192">
        <v>304</v>
      </c>
      <c r="F52" s="193">
        <v>1.0190741175287453E-2</v>
      </c>
    </row>
  </sheetData>
  <mergeCells count="20">
    <mergeCell ref="B3:C3"/>
    <mergeCell ref="B9:B16"/>
    <mergeCell ref="B17:B21"/>
    <mergeCell ref="B8:C8"/>
    <mergeCell ref="B7:C7"/>
    <mergeCell ref="B6:C6"/>
    <mergeCell ref="B4:C4"/>
    <mergeCell ref="B5:C5"/>
    <mergeCell ref="B46:B52"/>
    <mergeCell ref="B40:B45"/>
    <mergeCell ref="B35:B39"/>
    <mergeCell ref="B28:B34"/>
    <mergeCell ref="B22:B27"/>
    <mergeCell ref="D9:D16"/>
    <mergeCell ref="D35:D39"/>
    <mergeCell ref="D46:D52"/>
    <mergeCell ref="D40:D45"/>
    <mergeCell ref="D28:D34"/>
    <mergeCell ref="D22:D27"/>
    <mergeCell ref="D17:D2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63EB8-6B83-9C41-9234-592B14FB22D4}">
  <dimension ref="A1:I16"/>
  <sheetViews>
    <sheetView zoomScale="75" workbookViewId="0">
      <selection activeCell="B6" sqref="B6"/>
    </sheetView>
  </sheetViews>
  <sheetFormatPr baseColWidth="10" defaultRowHeight="14"/>
  <cols>
    <col min="1" max="1" width="10.83203125" style="9"/>
    <col min="2" max="2" width="57.5" style="9" customWidth="1"/>
    <col min="3" max="4" width="16.83203125" style="9" customWidth="1"/>
    <col min="5" max="9" width="28.5" style="9" customWidth="1"/>
    <col min="10" max="16384" width="10.83203125" style="9"/>
  </cols>
  <sheetData>
    <row r="1" spans="1:9" s="1659" customFormat="1" ht="40" customHeight="1">
      <c r="A1" s="1658" t="s">
        <v>1522</v>
      </c>
      <c r="D1" s="1658"/>
      <c r="E1" s="1658"/>
      <c r="F1" s="1658"/>
      <c r="G1" s="1658"/>
    </row>
    <row r="2" spans="1:9" ht="32" customHeight="1"/>
    <row r="3" spans="1:9" ht="32" customHeight="1">
      <c r="B3" s="1013" t="s">
        <v>1523</v>
      </c>
    </row>
    <row r="4" spans="1:9" ht="32" customHeight="1">
      <c r="B4" s="1095" t="s">
        <v>265</v>
      </c>
    </row>
    <row r="5" spans="1:9" ht="32" customHeight="1">
      <c r="B5" s="2349" t="s">
        <v>1524</v>
      </c>
      <c r="C5" s="2349"/>
      <c r="D5" s="2349"/>
      <c r="E5" s="2349"/>
      <c r="F5" s="2349"/>
      <c r="G5" s="2349"/>
      <c r="H5" s="2349"/>
      <c r="I5" s="2349"/>
    </row>
    <row r="6" spans="1:9" ht="32" customHeight="1" thickBot="1"/>
    <row r="7" spans="1:9" ht="30" customHeight="1" thickBot="1">
      <c r="B7" s="1660" t="s">
        <v>274</v>
      </c>
      <c r="C7" s="1661" t="s">
        <v>1525</v>
      </c>
      <c r="D7" s="1662" t="s">
        <v>1526</v>
      </c>
      <c r="E7" s="2356" t="s">
        <v>26</v>
      </c>
      <c r="F7" s="2357"/>
      <c r="G7" s="2357"/>
      <c r="H7" s="2357"/>
      <c r="I7" s="2358"/>
    </row>
    <row r="8" spans="1:9" ht="30" customHeight="1">
      <c r="B8" s="1668" t="s">
        <v>1527</v>
      </c>
      <c r="C8" s="1651">
        <v>4</v>
      </c>
      <c r="D8" s="1663">
        <v>3</v>
      </c>
      <c r="E8" s="2359"/>
      <c r="F8" s="2360"/>
      <c r="G8" s="2360"/>
      <c r="H8" s="2360"/>
      <c r="I8" s="2361"/>
    </row>
    <row r="9" spans="1:9" ht="30" customHeight="1">
      <c r="B9" s="1669" t="s">
        <v>1528</v>
      </c>
      <c r="C9" s="206">
        <v>5</v>
      </c>
      <c r="D9" s="1664">
        <v>5</v>
      </c>
      <c r="E9" s="2362"/>
      <c r="F9" s="2363"/>
      <c r="G9" s="2363"/>
      <c r="H9" s="2363"/>
      <c r="I9" s="2364"/>
    </row>
    <row r="10" spans="1:9" ht="30" customHeight="1">
      <c r="B10" s="1669" t="s">
        <v>725</v>
      </c>
      <c r="C10" s="206">
        <v>4</v>
      </c>
      <c r="D10" s="1664">
        <v>4</v>
      </c>
      <c r="E10" s="2350"/>
      <c r="F10" s="2351"/>
      <c r="G10" s="2351"/>
      <c r="H10" s="2351"/>
      <c r="I10" s="2352"/>
    </row>
    <row r="11" spans="1:9" ht="30" customHeight="1">
      <c r="B11" s="1669" t="s">
        <v>724</v>
      </c>
      <c r="C11" s="206">
        <v>5</v>
      </c>
      <c r="D11" s="1664">
        <v>5</v>
      </c>
      <c r="E11" s="2350"/>
      <c r="F11" s="2351"/>
      <c r="G11" s="2351"/>
      <c r="H11" s="2351"/>
      <c r="I11" s="2352"/>
    </row>
    <row r="12" spans="1:9" ht="30" customHeight="1">
      <c r="B12" s="1669" t="s">
        <v>1529</v>
      </c>
      <c r="C12" s="206">
        <v>5</v>
      </c>
      <c r="D12" s="1670" t="s">
        <v>1531</v>
      </c>
      <c r="E12" s="2350"/>
      <c r="F12" s="2351"/>
      <c r="G12" s="2351"/>
      <c r="H12" s="2351"/>
      <c r="I12" s="2352"/>
    </row>
    <row r="13" spans="1:9" ht="30" customHeight="1">
      <c r="B13" s="1669" t="s">
        <v>1530</v>
      </c>
      <c r="C13" s="206">
        <v>3</v>
      </c>
      <c r="D13" s="1664">
        <v>3</v>
      </c>
      <c r="E13" s="2350"/>
      <c r="F13" s="2351"/>
      <c r="G13" s="2351"/>
      <c r="H13" s="2351"/>
      <c r="I13" s="2352"/>
    </row>
    <row r="14" spans="1:9" ht="30" customHeight="1" thickBot="1">
      <c r="B14" s="1669" t="s">
        <v>1297</v>
      </c>
      <c r="C14" s="206">
        <v>3</v>
      </c>
      <c r="D14" s="1664">
        <v>5</v>
      </c>
      <c r="E14" s="2350"/>
      <c r="F14" s="2351"/>
      <c r="G14" s="2351"/>
      <c r="H14" s="2351"/>
      <c r="I14" s="2352"/>
    </row>
    <row r="15" spans="1:9" ht="30" customHeight="1" thickBot="1">
      <c r="B15" s="1665" t="s">
        <v>157</v>
      </c>
      <c r="C15" s="1666">
        <f>AVERAGE(C8:C14)</f>
        <v>4.1428571428571432</v>
      </c>
      <c r="D15" s="1667">
        <f>AVERAGE(D8:D14)</f>
        <v>4.166666666666667</v>
      </c>
      <c r="E15" s="2353"/>
      <c r="F15" s="2354"/>
      <c r="G15" s="2354"/>
      <c r="H15" s="2354"/>
      <c r="I15" s="2355"/>
    </row>
    <row r="16" spans="1:9" ht="22" customHeight="1"/>
  </sheetData>
  <mergeCells count="10">
    <mergeCell ref="B5:I5"/>
    <mergeCell ref="E12:I12"/>
    <mergeCell ref="E13:I13"/>
    <mergeCell ref="E14:I14"/>
    <mergeCell ref="E15:I15"/>
    <mergeCell ref="E7:I7"/>
    <mergeCell ref="E8:I8"/>
    <mergeCell ref="E9:I9"/>
    <mergeCell ref="E10:I10"/>
    <mergeCell ref="E11:I11"/>
  </mergeCells>
  <conditionalFormatting sqref="C8:D14">
    <cfRule type="colorScale" priority="64">
      <colorScale>
        <cfvo type="min"/>
        <cfvo type="percentile" val="50"/>
        <cfvo type="max"/>
        <color rgb="FFF8696B"/>
        <color rgb="FFFFEB84"/>
        <color rgb="FF63BE7B"/>
      </colorScale>
    </cfRule>
    <cfRule type="colorScale" priority="65">
      <colorScale>
        <cfvo type="min"/>
        <cfvo type="max"/>
        <color rgb="FFFCFCFF"/>
        <color rgb="FF63BE7B"/>
      </colorScale>
    </cfRule>
  </conditionalFormatting>
  <conditionalFormatting sqref="C8:D15">
    <cfRule type="colorScale" priority="2">
      <colorScale>
        <cfvo type="num" val="1"/>
        <cfvo type="num" val="3"/>
        <cfvo type="num" val="5"/>
        <color rgb="FFF8696B"/>
        <color rgb="FFFFEB84"/>
        <color rgb="FF63BE7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0226F-4970-2F45-9712-3948DA5D5024}">
  <sheetPr>
    <tabColor rgb="FF00B050"/>
  </sheetPr>
  <dimension ref="A1:AK366"/>
  <sheetViews>
    <sheetView topLeftCell="A260" zoomScale="25" zoomScaleNormal="88" workbookViewId="0">
      <selection activeCell="D334" sqref="D334:H373"/>
    </sheetView>
  </sheetViews>
  <sheetFormatPr baseColWidth="10" defaultColWidth="12.6640625" defaultRowHeight="16"/>
  <cols>
    <col min="1" max="1" width="12.6640625" style="263"/>
    <col min="2" max="2" width="62.1640625" style="263" customWidth="1"/>
    <col min="3" max="4" width="25.83203125" style="263" customWidth="1"/>
    <col min="5" max="5" width="27.83203125" style="263" customWidth="1"/>
    <col min="6" max="6" width="23.5" style="263" customWidth="1"/>
    <col min="7" max="7" width="50.83203125" style="263" customWidth="1"/>
    <col min="8" max="8" width="48.1640625" style="263" customWidth="1"/>
    <col min="9" max="11" width="24.83203125" style="263" customWidth="1"/>
    <col min="12" max="15" width="20.1640625" style="263" customWidth="1"/>
    <col min="16" max="16" width="41.6640625" style="263" customWidth="1"/>
    <col min="17" max="17" width="25.83203125" style="263" customWidth="1"/>
    <col min="18" max="18" width="27" style="263" customWidth="1"/>
    <col min="19" max="19" width="22.83203125" style="263" customWidth="1"/>
    <col min="20" max="20" width="31.83203125" style="263" customWidth="1"/>
    <col min="21" max="21" width="27.1640625" style="263" customWidth="1"/>
    <col min="22" max="22" width="35" style="263" customWidth="1"/>
    <col min="23" max="26" width="21.6640625" style="263" customWidth="1"/>
    <col min="27" max="29" width="12.6640625" style="263"/>
    <col min="30" max="35" width="31.33203125" style="263" customWidth="1"/>
    <col min="36" max="16384" width="12.6640625" style="263"/>
  </cols>
  <sheetData>
    <row r="1" spans="1:15" s="1923" customFormat="1" ht="52" customHeight="1">
      <c r="A1" s="1923" t="s">
        <v>1759</v>
      </c>
    </row>
    <row r="2" spans="1:15" ht="24" customHeight="1"/>
    <row r="3" spans="1:15" ht="24" customHeight="1">
      <c r="B3" s="1030" t="s">
        <v>1358</v>
      </c>
    </row>
    <row r="4" spans="1:15" ht="24" customHeight="1" thickBot="1">
      <c r="C4"/>
      <c r="D4"/>
      <c r="E4"/>
      <c r="F4"/>
      <c r="G4"/>
      <c r="H4"/>
    </row>
    <row r="5" spans="1:15" ht="38" customHeight="1" thickBot="1">
      <c r="B5" s="1014" t="s">
        <v>274</v>
      </c>
      <c r="C5" s="1015" t="s">
        <v>713</v>
      </c>
      <c r="D5" s="1016" t="s">
        <v>113</v>
      </c>
      <c r="E5"/>
      <c r="F5"/>
      <c r="G5"/>
      <c r="H5"/>
    </row>
    <row r="6" spans="1:15" ht="34" customHeight="1">
      <c r="B6" s="1021" t="str">
        <f>B19</f>
        <v>Déplacements pour les entrainements</v>
      </c>
      <c r="C6" s="1017">
        <f>C19/'Fiche d''identité'!$C$14</f>
        <v>30.627554337078305</v>
      </c>
      <c r="D6" s="1023">
        <f t="shared" ref="D6:D12" si="0">C6/$C$13</f>
        <v>0.24582127860337877</v>
      </c>
      <c r="E6"/>
      <c r="F6"/>
      <c r="G6"/>
      <c r="H6"/>
    </row>
    <row r="7" spans="1:15" ht="34" customHeight="1">
      <c r="B7" s="1021" t="str">
        <f>B20</f>
        <v>Déplacements pour les matchs</v>
      </c>
      <c r="C7" s="1017">
        <f>C20/'Fiche d''identité'!$C$14</f>
        <v>21.540581426054263</v>
      </c>
      <c r="D7" s="1023">
        <f t="shared" si="0"/>
        <v>0.17288789074491859</v>
      </c>
      <c r="E7"/>
      <c r="F7"/>
      <c r="G7"/>
      <c r="H7"/>
    </row>
    <row r="8" spans="1:15" ht="34" customHeight="1">
      <c r="B8" s="1021" t="str">
        <f>B21</f>
        <v>Articles de sport</v>
      </c>
      <c r="C8" s="1017">
        <f>C21/'Fiche d''identité'!$C$14</f>
        <v>27.69447686613157</v>
      </c>
      <c r="D8" s="1023">
        <f t="shared" si="0"/>
        <v>0.22227996524170371</v>
      </c>
      <c r="E8"/>
      <c r="F8"/>
      <c r="G8"/>
      <c r="H8"/>
      <c r="N8" s="1039"/>
      <c r="O8" s="1039"/>
    </row>
    <row r="9" spans="1:15" ht="34" customHeight="1">
      <c r="B9" s="1021" t="str">
        <f>B22</f>
        <v>Construction et entretien des infras.</v>
      </c>
      <c r="C9" s="1017">
        <f>C22/'Fiche d''identité'!$C$14</f>
        <v>22.067457008330724</v>
      </c>
      <c r="D9" s="1023">
        <f t="shared" si="0"/>
        <v>0.17711667205323556</v>
      </c>
      <c r="E9"/>
      <c r="F9"/>
      <c r="G9"/>
      <c r="H9"/>
      <c r="N9" s="1885"/>
    </row>
    <row r="10" spans="1:15" ht="34" customHeight="1">
      <c r="B10" s="1021" t="str">
        <f>B23</f>
        <v>Alimentation et boisson (matchs)</v>
      </c>
      <c r="C10" s="1017">
        <f>C23/'Fiche d''identité'!$C$14</f>
        <v>14.259500109259312</v>
      </c>
      <c r="D10" s="1023">
        <f t="shared" si="0"/>
        <v>0.11444885577623722</v>
      </c>
      <c r="E10"/>
      <c r="F10"/>
      <c r="G10"/>
      <c r="H10"/>
    </row>
    <row r="11" spans="1:15" ht="34" customHeight="1">
      <c r="B11" s="1021" t="str">
        <f t="shared" ref="B11" si="1">B24</f>
        <v>Consommation d'énergie des infra.</v>
      </c>
      <c r="C11" s="1017">
        <f>C24/'Fiche d''identité'!$C$14</f>
        <v>7.0133085133534498</v>
      </c>
      <c r="D11" s="1023">
        <f t="shared" si="0"/>
        <v>5.628985086495706E-2</v>
      </c>
      <c r="E11"/>
      <c r="F11"/>
      <c r="G11"/>
      <c r="H11"/>
    </row>
    <row r="12" spans="1:15" ht="34" customHeight="1">
      <c r="B12" s="1021" t="str">
        <f t="shared" ref="B12" si="2">B25</f>
        <v>Déchets (matchs)</v>
      </c>
      <c r="C12" s="1017">
        <f>C25/'Fiche d''identité'!$C$14</f>
        <v>1.3898930047016531</v>
      </c>
      <c r="D12" s="1023">
        <f t="shared" si="0"/>
        <v>1.1155486715569247E-2</v>
      </c>
      <c r="E12"/>
      <c r="F12"/>
      <c r="G12"/>
      <c r="H12"/>
    </row>
    <row r="13" spans="1:15" ht="34" customHeight="1" thickBot="1">
      <c r="B13" s="1027" t="s">
        <v>0</v>
      </c>
      <c r="C13" s="1028">
        <f>(SUM(C6:C12))</f>
        <v>124.59277126490926</v>
      </c>
      <c r="D13" s="1371">
        <f>SUM(D6:D12)</f>
        <v>1.0000000000000002</v>
      </c>
      <c r="E13"/>
      <c r="F13"/>
      <c r="G13"/>
      <c r="H13"/>
    </row>
    <row r="14" spans="1:15" ht="24" customHeight="1">
      <c r="F14"/>
      <c r="G14"/>
      <c r="H14"/>
    </row>
    <row r="15" spans="1:15" ht="24" customHeight="1">
      <c r="B15" s="1018"/>
    </row>
    <row r="16" spans="1:15" ht="32" customHeight="1">
      <c r="B16" s="1030" t="s">
        <v>726</v>
      </c>
    </row>
    <row r="17" spans="2:18" ht="32" customHeight="1" thickBot="1">
      <c r="B17" s="1013"/>
      <c r="R17" s="268"/>
    </row>
    <row r="18" spans="2:18" ht="44" customHeight="1" thickBot="1">
      <c r="B18" s="1019" t="s">
        <v>274</v>
      </c>
      <c r="C18" s="1020" t="s">
        <v>713</v>
      </c>
      <c r="D18" s="1399" t="s">
        <v>1357</v>
      </c>
      <c r="E18" s="1016" t="s">
        <v>113</v>
      </c>
      <c r="H18" s="1019" t="s">
        <v>274</v>
      </c>
      <c r="I18" s="1020" t="s">
        <v>1751</v>
      </c>
      <c r="J18" s="1771" t="s">
        <v>1752</v>
      </c>
    </row>
    <row r="19" spans="2:18" ht="32" customHeight="1">
      <c r="B19" s="1021" t="s">
        <v>724</v>
      </c>
      <c r="C19" s="1022">
        <f>'3.2 - Déplacement entraînement'!C5</f>
        <v>428785.76071909629</v>
      </c>
      <c r="D19" s="1494">
        <f>C19/'Fiche d''identité'!$C$10*1000</f>
        <v>168.80664569075873</v>
      </c>
      <c r="E19" s="1023">
        <f t="shared" ref="E19:E25" si="3">C19/$C$26</f>
        <v>0.24582127860337874</v>
      </c>
      <c r="H19" s="1772" t="s">
        <v>1584</v>
      </c>
      <c r="I19" s="269">
        <f>E19</f>
        <v>0.24582127860337874</v>
      </c>
      <c r="J19" s="276">
        <f>E20</f>
        <v>0.17288789074491856</v>
      </c>
    </row>
    <row r="20" spans="2:18" ht="32" customHeight="1">
      <c r="B20" s="1024" t="s">
        <v>725</v>
      </c>
      <c r="C20" s="1025">
        <f>'3.1 - Déplacement match '!C5</f>
        <v>301568.1399647597</v>
      </c>
      <c r="D20" s="1494">
        <f>C20/'Fiche d''identité'!$C$10*1000</f>
        <v>118.72294002785705</v>
      </c>
      <c r="E20" s="1026">
        <f t="shared" si="3"/>
        <v>0.17288789074491856</v>
      </c>
      <c r="H20" s="1773" t="s">
        <v>1693</v>
      </c>
      <c r="I20" s="269">
        <f>E21</f>
        <v>0.22227996524170365</v>
      </c>
      <c r="J20" s="276"/>
    </row>
    <row r="21" spans="2:18" ht="32" customHeight="1">
      <c r="B21" s="1024" t="s">
        <v>1693</v>
      </c>
      <c r="C21" s="1025">
        <f>'4. Articles de sport'!C5</f>
        <v>387722.67612584197</v>
      </c>
      <c r="D21" s="1494">
        <f>C21/'Fiche d''identité'!$C$10*1000</f>
        <v>152.64071340728395</v>
      </c>
      <c r="E21" s="1026">
        <f t="shared" si="3"/>
        <v>0.22227996524170365</v>
      </c>
      <c r="H21" s="1878" t="s">
        <v>1763</v>
      </c>
      <c r="I21" s="269">
        <f>E22</f>
        <v>0.17711667205323553</v>
      </c>
      <c r="J21" s="276"/>
    </row>
    <row r="22" spans="2:18" ht="32" customHeight="1">
      <c r="B22" s="1024" t="s">
        <v>1762</v>
      </c>
      <c r="C22" s="1025">
        <f>'1. Infrastructures '!C5</f>
        <v>308944.39811663015</v>
      </c>
      <c r="D22" s="1494">
        <f>C22/'Fiche d''identité'!$C$10*1000</f>
        <v>121.62686434259682</v>
      </c>
      <c r="E22" s="1026">
        <f t="shared" si="3"/>
        <v>0.17711667205323553</v>
      </c>
      <c r="H22" s="1774" t="s">
        <v>1690</v>
      </c>
      <c r="I22" s="269">
        <f>E23</f>
        <v>0.11444885577623719</v>
      </c>
      <c r="J22" s="276"/>
    </row>
    <row r="23" spans="2:18" ht="32" customHeight="1">
      <c r="B23" s="1024" t="s">
        <v>1571</v>
      </c>
      <c r="C23" s="1025">
        <f>'5. Alimentaire'!C6</f>
        <v>199633.00152963036</v>
      </c>
      <c r="D23" s="1494">
        <f>C23/'Fiche d''identité'!$C$10*1000</f>
        <v>78.592575697661644</v>
      </c>
      <c r="E23" s="1026">
        <f t="shared" si="3"/>
        <v>0.11444885577623719</v>
      </c>
      <c r="H23" s="1772" t="s">
        <v>1764</v>
      </c>
      <c r="I23" s="269">
        <f>E24</f>
        <v>5.6289850864957053E-2</v>
      </c>
      <c r="J23" s="276"/>
    </row>
    <row r="24" spans="2:18" ht="32" customHeight="1" thickBot="1">
      <c r="B24" s="1024" t="s">
        <v>1774</v>
      </c>
      <c r="C24" s="1025">
        <f>'2. Energie '!C5</f>
        <v>98186.319186948298</v>
      </c>
      <c r="D24" s="1494">
        <f>C24/'Fiche d''identité'!$C$10*1000</f>
        <v>38.654509344887323</v>
      </c>
      <c r="E24" s="1026">
        <f t="shared" si="3"/>
        <v>5.6289850864957053E-2</v>
      </c>
      <c r="H24" s="1775" t="s">
        <v>1585</v>
      </c>
      <c r="I24" s="588">
        <f>E25</f>
        <v>1.1155486715569245E-2</v>
      </c>
      <c r="J24" s="278"/>
    </row>
    <row r="25" spans="2:18" ht="32" customHeight="1">
      <c r="B25" s="1369" t="s">
        <v>1572</v>
      </c>
      <c r="C25" s="1370">
        <f>'6. Déchets'!C5</f>
        <v>19458.502065823144</v>
      </c>
      <c r="D25" s="1494">
        <f>C25/'Fiche d''identité'!$C$10*1000</f>
        <v>7.6605259894583453</v>
      </c>
      <c r="E25" s="1026">
        <f t="shared" si="3"/>
        <v>1.1155486715569245E-2</v>
      </c>
    </row>
    <row r="26" spans="2:18" ht="32" customHeight="1" thickBot="1">
      <c r="B26" s="1027" t="s">
        <v>0</v>
      </c>
      <c r="C26" s="1028">
        <f>(SUM(C19:C25))</f>
        <v>1744298.79770873</v>
      </c>
      <c r="D26" s="1400">
        <f>SUM(D19:D25)</f>
        <v>686.70477450050385</v>
      </c>
      <c r="E26" s="1371">
        <f>SUM(E19:E25)</f>
        <v>1</v>
      </c>
      <c r="H26" s="1055"/>
      <c r="I26" s="1055"/>
      <c r="J26" s="268"/>
    </row>
    <row r="27" spans="2:18" ht="32" customHeight="1">
      <c r="B27" s="1401"/>
      <c r="C27" s="1402"/>
      <c r="D27" s="1403"/>
      <c r="E27" s="1404"/>
    </row>
    <row r="28" spans="2:18" ht="32" customHeight="1">
      <c r="B28" s="1030" t="s">
        <v>1359</v>
      </c>
      <c r="C28" s="1402"/>
      <c r="D28" s="1403"/>
      <c r="E28" s="1404"/>
    </row>
    <row r="29" spans="2:18" ht="32" customHeight="1" thickBot="1">
      <c r="B29" s="1405" t="s">
        <v>1142</v>
      </c>
      <c r="C29" s="1406"/>
      <c r="D29" s="1407"/>
      <c r="E29" s="1408"/>
    </row>
    <row r="30" spans="2:18" ht="42" customHeight="1" thickBot="1">
      <c r="B30" s="1019" t="s">
        <v>274</v>
      </c>
      <c r="C30" s="1020" t="s">
        <v>713</v>
      </c>
      <c r="D30" s="1399" t="s">
        <v>1357</v>
      </c>
      <c r="E30" s="1016" t="s">
        <v>113</v>
      </c>
    </row>
    <row r="31" spans="2:18" ht="32" customHeight="1">
      <c r="B31" s="1021" t="str">
        <f t="shared" ref="B31:B37" si="4">B19</f>
        <v>Déplacements pour les entrainements</v>
      </c>
      <c r="C31" s="1022">
        <f>D19*'Fiche d''identité'!$C$6/1000</f>
        <v>374041.76552158321</v>
      </c>
      <c r="D31" s="1494">
        <f>C31/'Fiche d''identité'!$C$6*1000</f>
        <v>168.80664569075873</v>
      </c>
      <c r="E31" s="1023">
        <f t="shared" ref="E31:E37" si="5">C31/$C$38</f>
        <v>0.24546155449410428</v>
      </c>
    </row>
    <row r="32" spans="2:18" ht="32" customHeight="1">
      <c r="B32" s="1021" t="str">
        <f t="shared" si="4"/>
        <v>Déplacements pour les matchs</v>
      </c>
      <c r="C32" s="1879">
        <f>D20*'Fiche d''identité'!$C$6/1000</f>
        <v>263066.29051372566</v>
      </c>
      <c r="D32" s="1494">
        <f>C32/'Fiche d''identité'!$C$6*1000</f>
        <v>118.72294002785705</v>
      </c>
      <c r="E32" s="1023">
        <f t="shared" si="5"/>
        <v>0.17263489416603858</v>
      </c>
    </row>
    <row r="33" spans="2:7" ht="32" customHeight="1">
      <c r="B33" s="1021" t="str">
        <f t="shared" si="4"/>
        <v>Articles de sport</v>
      </c>
      <c r="C33" s="1022">
        <f>'4. Articles de sport'!G78+'4. Articles de sport'!G57+'4. Articles de sport'!G48</f>
        <v>340451.19945870864</v>
      </c>
      <c r="D33" s="1494">
        <f>C33/'Fiche d''identité'!$C$6*1000</f>
        <v>153.64707981709029</v>
      </c>
      <c r="E33" s="1023">
        <f t="shared" si="5"/>
        <v>0.22341804673065285</v>
      </c>
    </row>
    <row r="34" spans="2:7" ht="32" customHeight="1">
      <c r="B34" s="1021" t="str">
        <f t="shared" si="4"/>
        <v>Construction et entretien des infras.</v>
      </c>
      <c r="C34" s="1022">
        <f>D22*'Fiche d''identité'!$C$6/1000</f>
        <v>269500.80601032602</v>
      </c>
      <c r="D34" s="1494">
        <f>C34/'Fiche d''identité'!$C$6*1000</f>
        <v>121.62686434259682</v>
      </c>
      <c r="E34" s="1023">
        <f t="shared" si="5"/>
        <v>0.17685748726071479</v>
      </c>
    </row>
    <row r="35" spans="2:7" ht="32" customHeight="1">
      <c r="B35" s="1021" t="str">
        <f t="shared" si="4"/>
        <v>Alimentation et boisson (matchs)</v>
      </c>
      <c r="C35" s="1022">
        <f>D23*'Fiche d''identité'!$C$6/1000</f>
        <v>174145.42923087868</v>
      </c>
      <c r="D35" s="1494">
        <f>C35/'Fiche d''identité'!$C$6*1000</f>
        <v>78.592575697661644</v>
      </c>
      <c r="E35" s="1023">
        <f t="shared" si="5"/>
        <v>0.11428137632557493</v>
      </c>
    </row>
    <row r="36" spans="2:7" ht="32" customHeight="1">
      <c r="B36" s="1021" t="str">
        <f t="shared" si="4"/>
        <v>Consommation d'énergie des infra.</v>
      </c>
      <c r="C36" s="1022">
        <f>D24*'Fiche d''identité'!$C$6/1000</f>
        <v>85650.661806401331</v>
      </c>
      <c r="D36" s="1494">
        <f>C36/'Fiche d''identité'!$C$6*1000</f>
        <v>38.654509344887323</v>
      </c>
      <c r="E36" s="1023">
        <f t="shared" si="5"/>
        <v>5.62074787587723E-2</v>
      </c>
    </row>
    <row r="37" spans="2:7" ht="32" customHeight="1">
      <c r="B37" s="1021" t="str">
        <f t="shared" si="4"/>
        <v>Déchets (matchs)</v>
      </c>
      <c r="C37" s="1022">
        <f>D25*'Fiche d''identité'!$C$6/1000</f>
        <v>16974.1934874418</v>
      </c>
      <c r="D37" s="1494">
        <f>C37/'Fiche d''identité'!$C$6*1000</f>
        <v>7.6605259894583444</v>
      </c>
      <c r="E37" s="1023">
        <f t="shared" si="5"/>
        <v>1.1139162264142256E-2</v>
      </c>
    </row>
    <row r="38" spans="2:7" ht="32" customHeight="1" thickBot="1">
      <c r="B38" s="1027" t="s">
        <v>0</v>
      </c>
      <c r="C38" s="1028">
        <f>SUM(C31:C37)</f>
        <v>1523830.3460290653</v>
      </c>
      <c r="D38" s="1400">
        <f>SUM(D31:D37)</f>
        <v>687.71114091031018</v>
      </c>
      <c r="E38" s="1371">
        <f>SUM(E31:E37)</f>
        <v>0.99999999999999989</v>
      </c>
      <c r="G38" s="1055"/>
    </row>
    <row r="39" spans="2:7" ht="24" customHeight="1">
      <c r="B39" s="1018"/>
    </row>
    <row r="40" spans="2:7" ht="24" customHeight="1">
      <c r="B40" s="1018"/>
    </row>
    <row r="41" spans="2:7" ht="24" customHeight="1" thickBot="1">
      <c r="B41" s="1405" t="s">
        <v>1143</v>
      </c>
    </row>
    <row r="42" spans="2:7" ht="46" customHeight="1" thickBot="1">
      <c r="B42" s="1019" t="s">
        <v>274</v>
      </c>
      <c r="C42" s="1020" t="s">
        <v>713</v>
      </c>
      <c r="D42" s="1399" t="s">
        <v>1357</v>
      </c>
      <c r="E42" s="1016" t="s">
        <v>113</v>
      </c>
    </row>
    <row r="43" spans="2:7" ht="34" customHeight="1">
      <c r="B43" s="1021" t="str">
        <f t="shared" ref="B43:B49" si="6">B31</f>
        <v>Déplacements pour les entrainements</v>
      </c>
      <c r="C43" s="1022">
        <f>D19*'Fiche d''identité'!$C$8/1000</f>
        <v>54743.995197513061</v>
      </c>
      <c r="D43" s="1494">
        <f>C43/'Fiche d''identité'!$C$8*1000</f>
        <v>168.80664569075873</v>
      </c>
      <c r="E43" s="1023">
        <f t="shared" ref="E43:E49" si="7">C43/$C$50</f>
        <v>0.24830761399392773</v>
      </c>
    </row>
    <row r="44" spans="2:7" ht="34" customHeight="1">
      <c r="B44" s="1021" t="str">
        <f t="shared" si="6"/>
        <v>Déplacements pour les matchs</v>
      </c>
      <c r="C44" s="1879">
        <f>D20*'Fiche d''identité'!$C$8/1000</f>
        <v>38501.849451034039</v>
      </c>
      <c r="D44" s="1494">
        <f>C44/'Fiche d''identité'!$C$8*1000</f>
        <v>118.72294002785705</v>
      </c>
      <c r="E44" s="1023">
        <f t="shared" si="7"/>
        <v>0.17463654848438956</v>
      </c>
    </row>
    <row r="45" spans="2:7" ht="34" customHeight="1">
      <c r="B45" s="1021" t="str">
        <f t="shared" si="6"/>
        <v>Articles de sport</v>
      </c>
      <c r="C45" s="1022">
        <f>'4. Articles de sport'!G96+'4. Articles de sport'!G105+'4. Articles de sport'!G126</f>
        <v>47271.476667133335</v>
      </c>
      <c r="D45" s="1494">
        <f>C45/'Fiche d''identité'!$C$8*1000</f>
        <v>145.76465207256655</v>
      </c>
      <c r="E45" s="1023">
        <f t="shared" si="7"/>
        <v>0.21441379166493021</v>
      </c>
    </row>
    <row r="46" spans="2:7" ht="34" customHeight="1">
      <c r="B46" s="1021" t="str">
        <f t="shared" si="6"/>
        <v>Construction et entretien des infras.</v>
      </c>
      <c r="C46" s="1022">
        <f>D22*'Fiche d''identité'!$C$8/1000</f>
        <v>39443.592106304146</v>
      </c>
      <c r="D46" s="1494">
        <f>C46/'Fiche d''identité'!$C$8*1000</f>
        <v>121.62686434259682</v>
      </c>
      <c r="E46" s="1023">
        <f t="shared" si="7"/>
        <v>0.17890810138955732</v>
      </c>
    </row>
    <row r="47" spans="2:7" ht="34" customHeight="1">
      <c r="B47" s="1021" t="str">
        <f t="shared" si="6"/>
        <v>Alimentation et boisson (matchs)</v>
      </c>
      <c r="C47" s="1022">
        <f>D23*'Fiche d''identité'!$C$8/1000</f>
        <v>25487.572298751671</v>
      </c>
      <c r="D47" s="1494">
        <f>C47/'Fiche d''identité'!$C$8*1000</f>
        <v>78.592575697661644</v>
      </c>
      <c r="E47" s="1023">
        <f t="shared" si="7"/>
        <v>0.11560643758583884</v>
      </c>
    </row>
    <row r="48" spans="2:7" ht="34" customHeight="1">
      <c r="B48" s="1021" t="str">
        <f t="shared" si="6"/>
        <v>Consommation d'énergie des infra.</v>
      </c>
      <c r="C48" s="1022">
        <f>D24*'Fiche d''identité'!$C$8/1000</f>
        <v>12535.65738054696</v>
      </c>
      <c r="D48" s="1494">
        <f>C48/'Fiche d''identité'!$C$8*1000</f>
        <v>38.654509344887323</v>
      </c>
      <c r="E48" s="1023">
        <f t="shared" si="7"/>
        <v>5.685918908144269E-2</v>
      </c>
    </row>
    <row r="49" spans="1:31" ht="34" customHeight="1">
      <c r="B49" s="1021" t="str">
        <f t="shared" si="6"/>
        <v>Déchets (matchs)</v>
      </c>
      <c r="C49" s="1022">
        <f>D25*'Fiche d''identité'!$C$8/1000</f>
        <v>2484.3085783813412</v>
      </c>
      <c r="D49" s="1494">
        <f>C49/'Fiche d''identité'!$C$8*1000</f>
        <v>7.6605259894583444</v>
      </c>
      <c r="E49" s="1023">
        <f t="shared" si="7"/>
        <v>1.1268317799913535E-2</v>
      </c>
      <c r="G49" s="1055"/>
    </row>
    <row r="50" spans="1:31" ht="34" customHeight="1" thickBot="1">
      <c r="B50" s="1027" t="s">
        <v>0</v>
      </c>
      <c r="C50" s="1028">
        <f>(SUM(C43:C49))</f>
        <v>220468.45167966458</v>
      </c>
      <c r="D50" s="1400">
        <f>SUM(D43:D49)</f>
        <v>679.82871316578644</v>
      </c>
      <c r="E50" s="1371">
        <f>SUM(E43:E49)</f>
        <v>0.99999999999999989</v>
      </c>
    </row>
    <row r="51" spans="1:31" ht="24" customHeight="1">
      <c r="B51" s="1018"/>
      <c r="G51" s="1055"/>
    </row>
    <row r="52" spans="1:31" ht="24" customHeight="1">
      <c r="B52" s="1018"/>
    </row>
    <row r="53" spans="1:31" ht="24" customHeight="1">
      <c r="B53" s="1018"/>
    </row>
    <row r="54" spans="1:31" s="1056" customFormat="1" ht="52" customHeight="1">
      <c r="A54" s="1056" t="s">
        <v>1760</v>
      </c>
    </row>
    <row r="55" spans="1:31" ht="24" customHeight="1">
      <c r="B55" s="1029"/>
      <c r="C55" s="32"/>
      <c r="D55" s="32"/>
      <c r="E55" s="32"/>
      <c r="F55" s="32"/>
      <c r="G55" s="32"/>
      <c r="H55" s="32"/>
    </row>
    <row r="56" spans="1:31" ht="24" customHeight="1">
      <c r="B56" s="1030" t="s">
        <v>714</v>
      </c>
      <c r="C56" s="32"/>
      <c r="D56" s="32"/>
      <c r="E56" s="32"/>
      <c r="F56" s="32"/>
      <c r="G56" s="32"/>
      <c r="H56" s="32"/>
      <c r="P56"/>
      <c r="Q56"/>
      <c r="R56"/>
      <c r="S56"/>
      <c r="T56"/>
      <c r="U56"/>
      <c r="V56"/>
      <c r="W56"/>
      <c r="X56"/>
      <c r="Y56"/>
      <c r="Z56"/>
      <c r="AA56"/>
      <c r="AB56"/>
      <c r="AC56"/>
      <c r="AD56"/>
      <c r="AE56"/>
    </row>
    <row r="57" spans="1:31" ht="24" customHeight="1" thickBot="1">
      <c r="B57" s="1029"/>
      <c r="C57" s="32"/>
      <c r="D57" s="32"/>
      <c r="E57" s="32"/>
      <c r="F57" s="32"/>
      <c r="G57" s="32"/>
      <c r="P57"/>
      <c r="Q57"/>
      <c r="R57"/>
      <c r="S57"/>
      <c r="T57"/>
      <c r="U57"/>
      <c r="V57"/>
      <c r="W57"/>
      <c r="X57"/>
      <c r="Y57"/>
      <c r="Z57"/>
      <c r="AA57"/>
      <c r="AB57"/>
      <c r="AC57"/>
      <c r="AD57"/>
      <c r="AE57"/>
    </row>
    <row r="58" spans="1:31" ht="34" customHeight="1" thickBot="1">
      <c r="B58" s="1031"/>
      <c r="C58" s="1032" t="s">
        <v>715</v>
      </c>
      <c r="D58" s="1033" t="s">
        <v>716</v>
      </c>
      <c r="E58" s="1034"/>
      <c r="G58"/>
      <c r="P58"/>
      <c r="Q58"/>
      <c r="R58"/>
      <c r="S58"/>
      <c r="T58"/>
      <c r="U58"/>
      <c r="V58"/>
      <c r="W58"/>
      <c r="X58"/>
      <c r="Y58"/>
      <c r="Z58"/>
      <c r="AA58"/>
      <c r="AB58"/>
      <c r="AC58"/>
      <c r="AD58"/>
      <c r="AE58"/>
    </row>
    <row r="59" spans="1:31" ht="44" customHeight="1" thickBot="1">
      <c r="B59" s="1035" t="s">
        <v>274</v>
      </c>
      <c r="C59" s="1036" t="s">
        <v>713</v>
      </c>
      <c r="D59" s="1037" t="s">
        <v>717</v>
      </c>
      <c r="E59" s="1038" t="s">
        <v>367</v>
      </c>
      <c r="G59"/>
      <c r="H59"/>
      <c r="P59"/>
      <c r="Q59"/>
      <c r="R59"/>
      <c r="S59"/>
      <c r="T59"/>
      <c r="U59"/>
      <c r="V59"/>
      <c r="W59"/>
      <c r="X59"/>
      <c r="Y59"/>
      <c r="Z59"/>
      <c r="AA59"/>
      <c r="AB59"/>
      <c r="AC59"/>
      <c r="AD59"/>
      <c r="AE59"/>
    </row>
    <row r="60" spans="1:31" ht="24" customHeight="1">
      <c r="B60" s="1495" t="str">
        <f t="shared" ref="B60:C63" si="8">B19</f>
        <v>Déplacements pour les entrainements</v>
      </c>
      <c r="C60" s="1496">
        <f t="shared" si="8"/>
        <v>428785.76071909629</v>
      </c>
      <c r="D60" s="1496">
        <f>'Fiche levier - 3.2'!C8</f>
        <v>48094.335648246335</v>
      </c>
      <c r="E60" s="1497">
        <f t="shared" ref="E60:E66" si="9">(D60-C60)/C60</f>
        <v>-0.88783597765096112</v>
      </c>
      <c r="G60" s="1039"/>
      <c r="H60"/>
      <c r="P60"/>
      <c r="Q60"/>
      <c r="R60"/>
      <c r="S60"/>
      <c r="T60"/>
      <c r="U60"/>
      <c r="V60"/>
      <c r="W60"/>
      <c r="X60"/>
      <c r="Y60"/>
      <c r="Z60"/>
      <c r="AA60"/>
      <c r="AB60"/>
      <c r="AC60"/>
      <c r="AD60"/>
      <c r="AE60"/>
    </row>
    <row r="61" spans="1:31" ht="24" customHeight="1">
      <c r="B61" s="1495" t="str">
        <f t="shared" si="8"/>
        <v>Déplacements pour les matchs</v>
      </c>
      <c r="C61" s="1498">
        <f t="shared" si="8"/>
        <v>301568.1399647597</v>
      </c>
      <c r="D61" s="1500">
        <f>'Fiche levier - 3.1'!C8</f>
        <v>28263.529153075804</v>
      </c>
      <c r="E61" s="1499">
        <f t="shared" si="9"/>
        <v>-0.90627813284129211</v>
      </c>
      <c r="G61" s="1039"/>
      <c r="H61"/>
      <c r="P61"/>
      <c r="Q61"/>
      <c r="R61"/>
      <c r="S61"/>
      <c r="T61"/>
      <c r="U61"/>
      <c r="V61"/>
      <c r="W61"/>
      <c r="X61"/>
      <c r="Y61"/>
      <c r="Z61"/>
      <c r="AA61"/>
      <c r="AB61"/>
      <c r="AC61"/>
      <c r="AD61"/>
      <c r="AE61"/>
    </row>
    <row r="62" spans="1:31" ht="24" customHeight="1">
      <c r="B62" s="1495" t="str">
        <f t="shared" si="8"/>
        <v>Articles de sport</v>
      </c>
      <c r="C62" s="1498">
        <f t="shared" si="8"/>
        <v>387722.67612584197</v>
      </c>
      <c r="D62" s="1498">
        <f>'Fiche levier - 4'!$C$7</f>
        <v>73667.308463909954</v>
      </c>
      <c r="E62" s="1508">
        <f>(D62-C62)/C62</f>
        <v>-0.81</v>
      </c>
      <c r="G62" s="1039"/>
      <c r="H62"/>
      <c r="P62"/>
      <c r="Q62"/>
      <c r="R62"/>
      <c r="S62"/>
      <c r="T62"/>
      <c r="U62"/>
      <c r="V62"/>
      <c r="W62"/>
      <c r="X62"/>
      <c r="Y62"/>
      <c r="Z62"/>
      <c r="AA62"/>
      <c r="AB62"/>
      <c r="AC62"/>
      <c r="AD62"/>
      <c r="AE62"/>
    </row>
    <row r="63" spans="1:31" ht="24" customHeight="1">
      <c r="B63" s="1495" t="str">
        <f t="shared" si="8"/>
        <v>Construction et entretien des infras.</v>
      </c>
      <c r="C63" s="1498">
        <f t="shared" si="8"/>
        <v>308944.39811663015</v>
      </c>
      <c r="D63" s="1498">
        <f>'Fiche levier - 1'!C7</f>
        <v>170307.8602148151</v>
      </c>
      <c r="E63" s="1499">
        <f>(D63-C63)/C63</f>
        <v>-0.44874268233042414</v>
      </c>
      <c r="G63" s="1039"/>
      <c r="H63"/>
      <c r="P63"/>
      <c r="Q63"/>
      <c r="R63"/>
      <c r="S63"/>
      <c r="T63"/>
      <c r="U63"/>
      <c r="V63"/>
      <c r="W63"/>
      <c r="X63"/>
      <c r="Y63"/>
      <c r="Z63"/>
      <c r="AA63"/>
      <c r="AB63"/>
      <c r="AC63"/>
      <c r="AD63"/>
      <c r="AE63"/>
    </row>
    <row r="64" spans="1:31" ht="24" customHeight="1">
      <c r="B64" s="1495" t="str">
        <f>B24</f>
        <v>Consommation d'énergie des infra.</v>
      </c>
      <c r="C64" s="1498">
        <f>C24</f>
        <v>98186.319186948298</v>
      </c>
      <c r="D64" s="1500">
        <f>'Fiche levier - 2'!C7</f>
        <v>3010</v>
      </c>
      <c r="E64" s="1499">
        <f t="shared" si="9"/>
        <v>-0.96934399797319104</v>
      </c>
      <c r="G64" s="1039"/>
      <c r="H64"/>
      <c r="P64"/>
      <c r="Q64"/>
      <c r="R64"/>
      <c r="S64"/>
      <c r="T64"/>
      <c r="U64"/>
      <c r="V64"/>
      <c r="W64"/>
      <c r="X64"/>
      <c r="Y64"/>
      <c r="Z64"/>
      <c r="AA64"/>
      <c r="AB64"/>
      <c r="AC64"/>
      <c r="AD64"/>
      <c r="AE64"/>
    </row>
    <row r="65" spans="2:31" ht="24" customHeight="1">
      <c r="B65" s="1495" t="str">
        <f>B23</f>
        <v>Alimentation et boisson (matchs)</v>
      </c>
      <c r="C65" s="1498">
        <f>C23</f>
        <v>199633.00152963036</v>
      </c>
      <c r="D65" s="1500">
        <f>'Fiche levier - 5'!C7</f>
        <v>95170</v>
      </c>
      <c r="E65" s="1499">
        <f>(D65-C65)/C65</f>
        <v>-0.52327521366313534</v>
      </c>
      <c r="G65" s="1039"/>
      <c r="H65"/>
      <c r="P65"/>
      <c r="Q65"/>
      <c r="R65"/>
      <c r="S65"/>
      <c r="T65"/>
      <c r="U65"/>
      <c r="V65"/>
      <c r="W65"/>
      <c r="X65"/>
      <c r="Y65"/>
      <c r="Z65"/>
      <c r="AA65"/>
      <c r="AB65"/>
      <c r="AC65"/>
      <c r="AD65"/>
      <c r="AE65"/>
    </row>
    <row r="66" spans="2:31" ht="24" customHeight="1">
      <c r="B66" s="1501" t="str">
        <f>B25</f>
        <v>Déchets (matchs)</v>
      </c>
      <c r="C66" s="1502">
        <f>C25</f>
        <v>19458.502065823144</v>
      </c>
      <c r="D66" s="1503">
        <f>'Fiche levier - 6'!C7</f>
        <v>8070.6532901799419</v>
      </c>
      <c r="E66" s="1499">
        <f t="shared" si="9"/>
        <v>-0.58523768875533266</v>
      </c>
      <c r="G66" s="1039"/>
      <c r="H66"/>
      <c r="P66"/>
      <c r="Q66"/>
      <c r="R66"/>
      <c r="S66"/>
      <c r="T66"/>
      <c r="U66"/>
      <c r="V66"/>
      <c r="W66"/>
      <c r="X66"/>
      <c r="Y66"/>
      <c r="Z66"/>
      <c r="AA66"/>
      <c r="AB66"/>
      <c r="AC66"/>
      <c r="AD66"/>
      <c r="AE66"/>
    </row>
    <row r="67" spans="2:31" ht="24" customHeight="1" thickBot="1">
      <c r="B67" s="1504" t="s">
        <v>0</v>
      </c>
      <c r="C67" s="1505">
        <f>(SUM(C60:C66))</f>
        <v>1744298.79770873</v>
      </c>
      <c r="D67" s="1505">
        <f>SUM(D60:D66)</f>
        <v>426583.68677022716</v>
      </c>
      <c r="E67" s="1506">
        <f>(D67-C67)/C67</f>
        <v>-0.75544116218472579</v>
      </c>
      <c r="G67" s="1039"/>
      <c r="P67"/>
      <c r="Q67"/>
      <c r="R67"/>
      <c r="S67"/>
      <c r="T67"/>
      <c r="U67"/>
      <c r="V67"/>
      <c r="W67"/>
      <c r="X67"/>
      <c r="Y67"/>
      <c r="Z67"/>
      <c r="AA67"/>
      <c r="AB67"/>
      <c r="AC67"/>
      <c r="AD67"/>
      <c r="AE67"/>
    </row>
    <row r="68" spans="2:31" ht="24" customHeight="1">
      <c r="P68"/>
      <c r="Q68"/>
      <c r="R68"/>
      <c r="S68"/>
      <c r="T68"/>
      <c r="U68"/>
      <c r="V68"/>
      <c r="W68"/>
      <c r="X68"/>
      <c r="Y68"/>
      <c r="Z68"/>
      <c r="AA68"/>
      <c r="AB68"/>
      <c r="AC68"/>
      <c r="AD68"/>
      <c r="AE68"/>
    </row>
    <row r="69" spans="2:31" ht="23" customHeight="1" thickBot="1">
      <c r="B69" s="32"/>
      <c r="C69" s="32"/>
      <c r="D69" s="32"/>
      <c r="E69" s="32"/>
      <c r="F69" s="1040"/>
      <c r="P69"/>
      <c r="Q69"/>
      <c r="R69"/>
      <c r="S69"/>
      <c r="T69"/>
      <c r="U69"/>
      <c r="V69"/>
      <c r="W69"/>
      <c r="X69"/>
      <c r="Y69"/>
      <c r="Z69"/>
      <c r="AA69"/>
      <c r="AB69"/>
      <c r="AC69"/>
      <c r="AD69"/>
      <c r="AE69"/>
    </row>
    <row r="70" spans="2:31" ht="23" customHeight="1" thickBot="1">
      <c r="B70" s="1041"/>
      <c r="C70" s="1042" t="s">
        <v>718</v>
      </c>
      <c r="D70" s="1043" t="s">
        <v>719</v>
      </c>
      <c r="E70" s="1031"/>
      <c r="F70" s="1031"/>
      <c r="P70"/>
      <c r="Q70"/>
      <c r="R70"/>
      <c r="S70"/>
      <c r="T70"/>
      <c r="U70"/>
      <c r="V70"/>
      <c r="W70"/>
      <c r="X70"/>
      <c r="Y70"/>
      <c r="Z70"/>
      <c r="AA70"/>
      <c r="AB70"/>
      <c r="AC70"/>
      <c r="AD70"/>
      <c r="AE70"/>
    </row>
    <row r="71" spans="2:31" ht="23" customHeight="1">
      <c r="B71" s="1044" t="s">
        <v>720</v>
      </c>
      <c r="C71" s="1509"/>
      <c r="D71" s="1510">
        <f>C67</f>
        <v>1744298.79770873</v>
      </c>
      <c r="E71" s="1031"/>
      <c r="F71" s="1031"/>
      <c r="P71"/>
      <c r="Q71"/>
      <c r="R71"/>
      <c r="S71"/>
      <c r="T71"/>
      <c r="U71"/>
      <c r="V71"/>
      <c r="W71"/>
      <c r="X71"/>
      <c r="Y71"/>
      <c r="Z71"/>
      <c r="AA71"/>
      <c r="AB71"/>
      <c r="AC71"/>
      <c r="AD71"/>
      <c r="AE71"/>
    </row>
    <row r="72" spans="2:31" ht="23" customHeight="1">
      <c r="B72" s="1045" t="str">
        <f t="shared" ref="B72:B78" si="10">B60</f>
        <v>Déplacements pour les entrainements</v>
      </c>
      <c r="C72" s="1511">
        <f>D71-D72</f>
        <v>1363607.37263788</v>
      </c>
      <c r="D72" s="1512">
        <f t="shared" ref="D72:D78" si="11">C60-D60</f>
        <v>380691.42507084995</v>
      </c>
      <c r="E72" s="1031"/>
      <c r="F72" s="1031"/>
      <c r="P72"/>
      <c r="Q72"/>
      <c r="R72"/>
      <c r="S72"/>
      <c r="T72"/>
      <c r="U72"/>
      <c r="V72"/>
      <c r="W72"/>
      <c r="X72"/>
      <c r="Y72"/>
      <c r="Z72"/>
      <c r="AA72"/>
      <c r="AB72"/>
      <c r="AC72"/>
      <c r="AD72"/>
      <c r="AE72"/>
    </row>
    <row r="73" spans="2:31" ht="23" customHeight="1">
      <c r="B73" s="1045" t="str">
        <f t="shared" si="10"/>
        <v>Déplacements pour les matchs</v>
      </c>
      <c r="C73" s="1511">
        <f t="shared" ref="C73:C78" si="12">C72-D73</f>
        <v>1090302.7618261962</v>
      </c>
      <c r="D73" s="1512">
        <f t="shared" si="11"/>
        <v>273304.61081168387</v>
      </c>
      <c r="E73" s="1031"/>
      <c r="F73" s="1031"/>
      <c r="P73"/>
      <c r="Q73"/>
      <c r="R73"/>
      <c r="S73"/>
      <c r="T73"/>
      <c r="U73"/>
      <c r="V73"/>
      <c r="W73"/>
      <c r="X73"/>
      <c r="Y73"/>
      <c r="Z73"/>
      <c r="AA73"/>
      <c r="AB73"/>
      <c r="AC73"/>
      <c r="AD73"/>
      <c r="AE73"/>
    </row>
    <row r="74" spans="2:31" ht="23" customHeight="1">
      <c r="B74" s="1045" t="str">
        <f t="shared" si="10"/>
        <v>Articles de sport</v>
      </c>
      <c r="C74" s="1511">
        <f t="shared" si="12"/>
        <v>776247.3941642642</v>
      </c>
      <c r="D74" s="1743">
        <f t="shared" si="11"/>
        <v>314055.36766193202</v>
      </c>
      <c r="E74" s="1031"/>
      <c r="F74" s="1031"/>
      <c r="P74"/>
      <c r="Q74"/>
      <c r="R74"/>
      <c r="S74"/>
      <c r="T74"/>
      <c r="U74"/>
      <c r="V74"/>
      <c r="W74"/>
      <c r="X74"/>
      <c r="Y74"/>
      <c r="Z74"/>
      <c r="AA74"/>
      <c r="AB74"/>
      <c r="AC74"/>
      <c r="AD74"/>
      <c r="AE74"/>
    </row>
    <row r="75" spans="2:31" ht="23" customHeight="1">
      <c r="B75" s="1045" t="str">
        <f t="shared" si="10"/>
        <v>Construction et entretien des infras.</v>
      </c>
      <c r="C75" s="1511">
        <f t="shared" si="12"/>
        <v>637610.85626244918</v>
      </c>
      <c r="D75" s="1512">
        <f t="shared" si="11"/>
        <v>138636.53790181506</v>
      </c>
      <c r="E75" s="1031"/>
      <c r="F75" s="1031"/>
      <c r="P75"/>
      <c r="Q75"/>
      <c r="R75"/>
      <c r="S75"/>
      <c r="T75"/>
      <c r="U75"/>
      <c r="V75"/>
      <c r="W75"/>
      <c r="X75"/>
      <c r="Y75"/>
      <c r="Z75"/>
      <c r="AA75"/>
      <c r="AB75"/>
      <c r="AC75"/>
      <c r="AD75"/>
      <c r="AE75"/>
    </row>
    <row r="76" spans="2:31" ht="23" customHeight="1">
      <c r="B76" s="1045" t="str">
        <f t="shared" si="10"/>
        <v>Consommation d'énergie des infra.</v>
      </c>
      <c r="C76" s="1511">
        <f t="shared" si="12"/>
        <v>542434.53707550094</v>
      </c>
      <c r="D76" s="1512">
        <f t="shared" si="11"/>
        <v>95176.319186948298</v>
      </c>
      <c r="E76" s="1031"/>
      <c r="F76" s="1031"/>
      <c r="P76"/>
      <c r="Q76"/>
      <c r="R76"/>
      <c r="S76"/>
      <c r="T76"/>
      <c r="U76"/>
      <c r="V76"/>
      <c r="W76"/>
      <c r="X76"/>
      <c r="Y76"/>
      <c r="Z76"/>
      <c r="AA76"/>
      <c r="AB76"/>
      <c r="AC76"/>
      <c r="AD76"/>
      <c r="AE76"/>
    </row>
    <row r="77" spans="2:31" ht="23" customHeight="1">
      <c r="B77" s="1045" t="str">
        <f t="shared" si="10"/>
        <v>Alimentation et boisson (matchs)</v>
      </c>
      <c r="C77" s="1511">
        <f t="shared" si="12"/>
        <v>437971.53554587055</v>
      </c>
      <c r="D77" s="1512">
        <f t="shared" si="11"/>
        <v>104463.00152963036</v>
      </c>
      <c r="E77" s="1031"/>
      <c r="F77" s="1031"/>
      <c r="P77"/>
      <c r="Q77"/>
      <c r="R77"/>
      <c r="S77"/>
      <c r="T77"/>
      <c r="U77"/>
      <c r="V77"/>
      <c r="W77"/>
      <c r="X77"/>
      <c r="Y77"/>
      <c r="Z77"/>
      <c r="AA77"/>
      <c r="AB77"/>
      <c r="AC77"/>
      <c r="AD77"/>
      <c r="AE77"/>
    </row>
    <row r="78" spans="2:31" ht="23" customHeight="1" thickBot="1">
      <c r="B78" s="1372" t="str">
        <f t="shared" si="10"/>
        <v>Déchets (matchs)</v>
      </c>
      <c r="C78" s="1511">
        <f t="shared" si="12"/>
        <v>426583.68677022733</v>
      </c>
      <c r="D78" s="1513">
        <f t="shared" si="11"/>
        <v>11387.848775643202</v>
      </c>
      <c r="E78" s="1031"/>
      <c r="F78" s="1031"/>
      <c r="P78"/>
      <c r="Q78"/>
      <c r="R78"/>
      <c r="S78"/>
      <c r="T78"/>
      <c r="U78"/>
      <c r="V78"/>
      <c r="W78"/>
      <c r="X78"/>
      <c r="Y78"/>
      <c r="Z78"/>
      <c r="AA78"/>
      <c r="AB78"/>
      <c r="AC78"/>
      <c r="AD78"/>
      <c r="AE78"/>
    </row>
    <row r="79" spans="2:31" ht="23" customHeight="1" thickBot="1">
      <c r="B79" s="1046" t="s">
        <v>721</v>
      </c>
      <c r="C79" s="1514"/>
      <c r="D79" s="1515">
        <f>SUM(D71)-SUM(D72:D78)</f>
        <v>426583.6867702275</v>
      </c>
      <c r="E79" s="1047" t="s">
        <v>722</v>
      </c>
      <c r="F79" s="1048">
        <f>(D79-D71)/D71</f>
        <v>-0.75544116218472557</v>
      </c>
      <c r="P79"/>
      <c r="Q79"/>
      <c r="R79"/>
      <c r="S79"/>
      <c r="T79"/>
      <c r="U79"/>
      <c r="V79"/>
      <c r="W79"/>
      <c r="X79"/>
      <c r="Y79"/>
      <c r="Z79"/>
      <c r="AA79"/>
      <c r="AB79"/>
      <c r="AC79"/>
      <c r="AD79"/>
      <c r="AE79"/>
    </row>
    <row r="80" spans="2:31" ht="24" customHeight="1" thickBot="1">
      <c r="B80" s="1034"/>
      <c r="C80" s="1034"/>
      <c r="D80" s="1034"/>
      <c r="E80" s="1049" t="s">
        <v>1696</v>
      </c>
      <c r="F80" s="1050">
        <v>-0.8</v>
      </c>
      <c r="P80"/>
      <c r="Q80"/>
      <c r="R80"/>
      <c r="S80"/>
      <c r="T80"/>
      <c r="U80"/>
      <c r="V80"/>
      <c r="W80"/>
      <c r="X80"/>
      <c r="Y80"/>
      <c r="Z80"/>
      <c r="AA80"/>
      <c r="AB80"/>
      <c r="AC80"/>
      <c r="AD80"/>
      <c r="AE80"/>
    </row>
    <row r="81" spans="2:31" ht="24" customHeight="1">
      <c r="B81" s="1034"/>
      <c r="C81" s="1034"/>
      <c r="D81" s="1034"/>
      <c r="E81" s="1820"/>
      <c r="F81" s="1821"/>
      <c r="P81"/>
      <c r="Q81"/>
      <c r="R81"/>
      <c r="S81"/>
      <c r="T81"/>
      <c r="U81"/>
      <c r="V81"/>
      <c r="W81"/>
      <c r="X81"/>
      <c r="Y81"/>
      <c r="Z81"/>
      <c r="AA81"/>
      <c r="AB81"/>
      <c r="AC81"/>
      <c r="AD81"/>
      <c r="AE81"/>
    </row>
    <row r="82" spans="2:31" ht="24" customHeight="1">
      <c r="B82" s="1034"/>
      <c r="C82" s="1034"/>
      <c r="D82" s="1034"/>
      <c r="E82" s="1820"/>
      <c r="F82" s="1821"/>
    </row>
    <row r="83" spans="2:31" ht="24" customHeight="1">
      <c r="B83" s="1030" t="s">
        <v>1697</v>
      </c>
      <c r="C83" s="1034"/>
      <c r="D83" s="1034"/>
      <c r="E83" s="1820"/>
      <c r="F83" s="1821"/>
    </row>
    <row r="84" spans="2:31" ht="24" customHeight="1" thickBot="1">
      <c r="B84" s="1034"/>
      <c r="C84" s="1034"/>
      <c r="D84" s="1034"/>
      <c r="E84" s="1820"/>
      <c r="F84" s="1821"/>
    </row>
    <row r="85" spans="2:31" ht="41" customHeight="1" thickBot="1">
      <c r="B85" s="1031"/>
      <c r="C85" s="1032" t="s">
        <v>715</v>
      </c>
      <c r="D85" s="1033" t="s">
        <v>716</v>
      </c>
      <c r="E85" s="1034"/>
    </row>
    <row r="86" spans="2:31" ht="41" customHeight="1">
      <c r="B86" s="1035" t="s">
        <v>274</v>
      </c>
      <c r="C86" s="1822" t="s">
        <v>713</v>
      </c>
      <c r="D86" s="1822" t="s">
        <v>717</v>
      </c>
      <c r="E86" s="1054" t="s">
        <v>367</v>
      </c>
    </row>
    <row r="87" spans="2:31" ht="24" customHeight="1">
      <c r="B87" s="1507" t="str">
        <f>B60</f>
        <v>Déplacements pour les entrainements</v>
      </c>
      <c r="C87" s="1500">
        <f>C60</f>
        <v>428785.76071909629</v>
      </c>
      <c r="D87" s="1500">
        <f>'Fiche levier - 3.2'!E8</f>
        <v>86333.622881453615</v>
      </c>
      <c r="E87" s="1499">
        <f t="shared" ref="E87:E88" si="13">(D87-C87)/C87</f>
        <v>-0.7986555739708624</v>
      </c>
    </row>
    <row r="88" spans="2:31" ht="24" customHeight="1">
      <c r="B88" s="1507" t="str">
        <f t="shared" ref="B88:B93" si="14">B61</f>
        <v>Déplacements pour les matchs</v>
      </c>
      <c r="C88" s="1500">
        <f>C61</f>
        <v>301568.1399647597</v>
      </c>
      <c r="D88" s="1500">
        <f>'Fiche levier - 3.1'!E8</f>
        <v>56051.259386391226</v>
      </c>
      <c r="E88" s="1499">
        <f t="shared" si="13"/>
        <v>-0.81413401497604754</v>
      </c>
    </row>
    <row r="89" spans="2:31" ht="24" customHeight="1">
      <c r="B89" s="1507" t="str">
        <f t="shared" si="14"/>
        <v>Articles de sport</v>
      </c>
      <c r="C89" s="1498">
        <f t="shared" ref="C89:D93" si="15">C62</f>
        <v>387722.67612584197</v>
      </c>
      <c r="D89" s="1498">
        <f t="shared" si="15"/>
        <v>73667.308463909954</v>
      </c>
      <c r="E89" s="1508">
        <f>(D89-C89)/C89</f>
        <v>-0.81</v>
      </c>
    </row>
    <row r="90" spans="2:31" ht="24" customHeight="1">
      <c r="B90" s="1507" t="str">
        <f t="shared" si="14"/>
        <v>Construction et entretien des infras.</v>
      </c>
      <c r="C90" s="1500">
        <f t="shared" si="15"/>
        <v>308944.39811663015</v>
      </c>
      <c r="D90" s="1500">
        <f t="shared" si="15"/>
        <v>170307.8602148151</v>
      </c>
      <c r="E90" s="1499">
        <f>(D90-C90)/C90</f>
        <v>-0.44874268233042414</v>
      </c>
    </row>
    <row r="91" spans="2:31" ht="24" customHeight="1">
      <c r="B91" s="1507" t="str">
        <f t="shared" si="14"/>
        <v>Consommation d'énergie des infra.</v>
      </c>
      <c r="C91" s="1500">
        <f t="shared" si="15"/>
        <v>98186.319186948298</v>
      </c>
      <c r="D91" s="1500">
        <f t="shared" si="15"/>
        <v>3010</v>
      </c>
      <c r="E91" s="1499">
        <f t="shared" ref="E91" si="16">(D91-C91)/C91</f>
        <v>-0.96934399797319104</v>
      </c>
    </row>
    <row r="92" spans="2:31" ht="24" customHeight="1">
      <c r="B92" s="1507" t="str">
        <f t="shared" si="14"/>
        <v>Alimentation et boisson (matchs)</v>
      </c>
      <c r="C92" s="1500">
        <f t="shared" si="15"/>
        <v>199633.00152963036</v>
      </c>
      <c r="D92" s="1500">
        <f t="shared" si="15"/>
        <v>95170</v>
      </c>
      <c r="E92" s="1499">
        <f>(D92-C92)/C92</f>
        <v>-0.52327521366313534</v>
      </c>
    </row>
    <row r="93" spans="2:31" ht="24" customHeight="1">
      <c r="B93" s="1507" t="str">
        <f t="shared" si="14"/>
        <v>Déchets (matchs)</v>
      </c>
      <c r="C93" s="1500">
        <f t="shared" si="15"/>
        <v>19458.502065823144</v>
      </c>
      <c r="D93" s="1500">
        <f t="shared" si="15"/>
        <v>8070.6532901799419</v>
      </c>
      <c r="E93" s="1499">
        <f t="shared" ref="E93" si="17">(D93-C93)/C93</f>
        <v>-0.58523768875533266</v>
      </c>
    </row>
    <row r="94" spans="2:31" ht="24" customHeight="1" thickBot="1">
      <c r="B94" s="1504" t="s">
        <v>0</v>
      </c>
      <c r="C94" s="1505">
        <f>(SUM(C87:C93))</f>
        <v>1744298.79770873</v>
      </c>
      <c r="D94" s="1505">
        <f>SUM(D87:D93)</f>
        <v>492610.70423674985</v>
      </c>
      <c r="E94" s="1506">
        <f>(D94-C94)/C94</f>
        <v>-0.71758811914344511</v>
      </c>
    </row>
    <row r="95" spans="2:31" ht="24" customHeight="1"/>
    <row r="96" spans="2:31" ht="24" customHeight="1" thickBot="1">
      <c r="B96" s="32"/>
      <c r="C96" s="32"/>
      <c r="D96" s="32"/>
      <c r="E96" s="32"/>
      <c r="F96" s="1040"/>
    </row>
    <row r="97" spans="2:8" ht="24" customHeight="1" thickBot="1">
      <c r="B97" s="1041"/>
      <c r="C97" s="1042" t="s">
        <v>718</v>
      </c>
      <c r="D97" s="1043" t="s">
        <v>719</v>
      </c>
      <c r="E97" s="1031"/>
      <c r="F97" s="1031"/>
    </row>
    <row r="98" spans="2:8" ht="24" customHeight="1">
      <c r="B98" s="1044" t="s">
        <v>720</v>
      </c>
      <c r="C98" s="1509"/>
      <c r="D98" s="1510">
        <f>C94</f>
        <v>1744298.79770873</v>
      </c>
      <c r="E98" s="1031"/>
      <c r="F98" s="1031"/>
    </row>
    <row r="99" spans="2:8" ht="24" customHeight="1">
      <c r="B99" s="1045" t="str">
        <f t="shared" ref="B99:B105" si="18">B87</f>
        <v>Déplacements pour les entrainements</v>
      </c>
      <c r="C99" s="1511">
        <f>D98-D99</f>
        <v>1401846.6598710874</v>
      </c>
      <c r="D99" s="1512">
        <f t="shared" ref="D99:D105" si="19">C87-D87</f>
        <v>342452.13783764269</v>
      </c>
      <c r="E99" s="1031"/>
      <c r="F99" s="1031"/>
    </row>
    <row r="100" spans="2:8" ht="24" customHeight="1">
      <c r="B100" s="1045" t="str">
        <f t="shared" si="18"/>
        <v>Déplacements pour les matchs</v>
      </c>
      <c r="C100" s="1511">
        <f t="shared" ref="C100:C105" si="20">C99-D100</f>
        <v>1156329.779292719</v>
      </c>
      <c r="D100" s="1512">
        <f t="shared" si="19"/>
        <v>245516.88057836847</v>
      </c>
      <c r="E100" s="1031"/>
      <c r="F100" s="1031"/>
    </row>
    <row r="101" spans="2:8" ht="24" customHeight="1">
      <c r="B101" s="1045" t="str">
        <f t="shared" si="18"/>
        <v>Articles de sport</v>
      </c>
      <c r="C101" s="1511">
        <f t="shared" si="20"/>
        <v>842274.41163078696</v>
      </c>
      <c r="D101" s="1743">
        <f t="shared" si="19"/>
        <v>314055.36766193202</v>
      </c>
      <c r="E101" s="1031"/>
      <c r="F101" s="1031"/>
    </row>
    <row r="102" spans="2:8" ht="24" customHeight="1">
      <c r="B102" s="1045" t="str">
        <f t="shared" si="18"/>
        <v>Construction et entretien des infras.</v>
      </c>
      <c r="C102" s="1511">
        <f t="shared" si="20"/>
        <v>703637.87372897193</v>
      </c>
      <c r="D102" s="1512">
        <f t="shared" si="19"/>
        <v>138636.53790181506</v>
      </c>
      <c r="E102" s="1031"/>
      <c r="F102" s="1031"/>
    </row>
    <row r="103" spans="2:8" ht="24" customHeight="1">
      <c r="B103" s="1045" t="str">
        <f t="shared" si="18"/>
        <v>Consommation d'énergie des infra.</v>
      </c>
      <c r="C103" s="1511">
        <f t="shared" si="20"/>
        <v>608461.55454202369</v>
      </c>
      <c r="D103" s="1512">
        <f t="shared" si="19"/>
        <v>95176.319186948298</v>
      </c>
      <c r="E103" s="1031"/>
      <c r="F103" s="1031"/>
    </row>
    <row r="104" spans="2:8" ht="24" customHeight="1">
      <c r="B104" s="1045" t="str">
        <f t="shared" si="18"/>
        <v>Alimentation et boisson (matchs)</v>
      </c>
      <c r="C104" s="1511">
        <f t="shared" si="20"/>
        <v>503998.5530123933</v>
      </c>
      <c r="D104" s="1512">
        <f t="shared" si="19"/>
        <v>104463.00152963036</v>
      </c>
      <c r="E104" s="1031"/>
      <c r="F104" s="1031"/>
    </row>
    <row r="105" spans="2:8" ht="24" customHeight="1" thickBot="1">
      <c r="B105" s="1372" t="str">
        <f t="shared" si="18"/>
        <v>Déchets (matchs)</v>
      </c>
      <c r="C105" s="1511">
        <f t="shared" si="20"/>
        <v>492610.70423675008</v>
      </c>
      <c r="D105" s="1513">
        <f t="shared" si="19"/>
        <v>11387.848775643202</v>
      </c>
      <c r="E105" s="1031"/>
      <c r="F105" s="1031"/>
    </row>
    <row r="106" spans="2:8" ht="24" customHeight="1" thickBot="1">
      <c r="B106" s="1046" t="s">
        <v>721</v>
      </c>
      <c r="C106" s="1514"/>
      <c r="D106" s="1515">
        <f>SUM(D98)-SUM(D99:D105)</f>
        <v>492610.70423675003</v>
      </c>
      <c r="E106" s="1047" t="s">
        <v>722</v>
      </c>
      <c r="F106" s="1048">
        <f>(D106-D98)/D98</f>
        <v>-0.717588119143445</v>
      </c>
    </row>
    <row r="107" spans="2:8" ht="24" customHeight="1" thickBot="1">
      <c r="B107" s="1034"/>
      <c r="C107" s="1034"/>
      <c r="D107" s="1034"/>
      <c r="E107" s="1049" t="s">
        <v>1696</v>
      </c>
      <c r="F107" s="1050">
        <v>-0.8</v>
      </c>
    </row>
    <row r="108" spans="2:8" ht="24" customHeight="1">
      <c r="B108" s="1034"/>
      <c r="C108" s="1034"/>
      <c r="D108" s="1034"/>
      <c r="E108" s="1820"/>
      <c r="F108" s="1821"/>
    </row>
    <row r="109" spans="2:8" ht="24" customHeight="1">
      <c r="B109" s="1034"/>
      <c r="C109" s="1034"/>
      <c r="D109" s="1034"/>
      <c r="E109" s="1820"/>
      <c r="F109" s="1821"/>
    </row>
    <row r="110" spans="2:8" ht="24" customHeight="1"/>
    <row r="111" spans="2:8" ht="24" customHeight="1">
      <c r="B111" s="1030" t="s">
        <v>1698</v>
      </c>
      <c r="C111" s="32"/>
      <c r="D111" s="32"/>
      <c r="E111" s="32"/>
      <c r="F111" s="32"/>
      <c r="G111" s="32"/>
      <c r="H111" s="32"/>
    </row>
    <row r="112" spans="2:8" ht="36" customHeight="1" thickBot="1">
      <c r="B112" s="1029"/>
      <c r="C112" s="32"/>
      <c r="D112" s="32"/>
      <c r="E112" s="32"/>
      <c r="F112" s="32"/>
      <c r="G112" s="32"/>
      <c r="H112" s="32"/>
    </row>
    <row r="113" spans="2:37" ht="31" customHeight="1" thickBot="1">
      <c r="B113" s="1031"/>
      <c r="C113" s="1051" t="s">
        <v>715</v>
      </c>
      <c r="D113" s="1052" t="s">
        <v>716</v>
      </c>
      <c r="E113" s="1034"/>
      <c r="H113"/>
    </row>
    <row r="114" spans="2:37" ht="39" customHeight="1">
      <c r="B114" s="1035" t="s">
        <v>274</v>
      </c>
      <c r="C114" s="1053" t="s">
        <v>713</v>
      </c>
      <c r="D114" s="1053" t="s">
        <v>717</v>
      </c>
      <c r="E114" s="1054" t="s">
        <v>367</v>
      </c>
      <c r="H114"/>
      <c r="I114"/>
    </row>
    <row r="115" spans="2:37" ht="21" customHeight="1">
      <c r="B115" s="1507" t="str">
        <f t="shared" ref="B115:C118" si="21">B19</f>
        <v>Déplacements pour les entrainements</v>
      </c>
      <c r="C115" s="1500">
        <f t="shared" si="21"/>
        <v>428785.76071909629</v>
      </c>
      <c r="D115" s="1500">
        <f>'Fiche levier - 3.2'!E8</f>
        <v>86333.622881453615</v>
      </c>
      <c r="E115" s="1499">
        <f t="shared" ref="E115:E122" si="22">(D115-C115)/C115</f>
        <v>-0.7986555739708624</v>
      </c>
      <c r="H115" s="1039"/>
      <c r="I115"/>
    </row>
    <row r="116" spans="2:37" ht="21" customHeight="1">
      <c r="B116" s="1507" t="str">
        <f t="shared" si="21"/>
        <v>Déplacements pour les matchs</v>
      </c>
      <c r="C116" s="1500">
        <f t="shared" si="21"/>
        <v>301568.1399647597</v>
      </c>
      <c r="D116" s="1500">
        <f>'Fiche levier - 3.1'!E8</f>
        <v>56051.259386391226</v>
      </c>
      <c r="E116" s="1499">
        <f t="shared" si="22"/>
        <v>-0.81413401497604754</v>
      </c>
      <c r="H116" s="1039"/>
      <c r="I116"/>
    </row>
    <row r="117" spans="2:37" ht="21" customHeight="1">
      <c r="B117" s="1507" t="str">
        <f t="shared" si="21"/>
        <v>Articles de sport</v>
      </c>
      <c r="C117" s="1498">
        <f t="shared" si="21"/>
        <v>387722.67612584197</v>
      </c>
      <c r="D117" s="1498">
        <f>C117*(1-80%)</f>
        <v>77544.53522516838</v>
      </c>
      <c r="E117" s="1508">
        <f t="shared" si="22"/>
        <v>-0.8</v>
      </c>
      <c r="H117" s="1039"/>
      <c r="I117"/>
    </row>
    <row r="118" spans="2:37" ht="21" customHeight="1">
      <c r="B118" s="1507" t="str">
        <f t="shared" si="21"/>
        <v>Construction et entretien des infras.</v>
      </c>
      <c r="C118" s="1500">
        <f t="shared" si="21"/>
        <v>308944.39811663015</v>
      </c>
      <c r="D118" s="1498">
        <f>'Fiche levier - 1'!C7</f>
        <v>170307.8602148151</v>
      </c>
      <c r="E118" s="1508">
        <f t="shared" si="22"/>
        <v>-0.44874268233042414</v>
      </c>
      <c r="H118" s="1039"/>
      <c r="I118"/>
    </row>
    <row r="119" spans="2:37" ht="21" customHeight="1">
      <c r="B119" s="1507" t="str">
        <f>B24</f>
        <v>Consommation d'énergie des infra.</v>
      </c>
      <c r="C119" s="1500">
        <f>C24</f>
        <v>98186.319186948298</v>
      </c>
      <c r="D119" s="1500">
        <f>'Fiche levier - 2'!C7</f>
        <v>3010</v>
      </c>
      <c r="E119" s="1499">
        <f t="shared" si="22"/>
        <v>-0.96934399797319104</v>
      </c>
      <c r="H119" s="1039"/>
      <c r="I119"/>
    </row>
    <row r="120" spans="2:37" ht="21" customHeight="1">
      <c r="B120" s="1507" t="str">
        <f>B23</f>
        <v>Alimentation et boisson (matchs)</v>
      </c>
      <c r="C120" s="1500">
        <f>C23</f>
        <v>199633.00152963036</v>
      </c>
      <c r="D120" s="1500">
        <f>'Fiche levier - 5'!C7</f>
        <v>95170</v>
      </c>
      <c r="E120" s="1499">
        <f t="shared" si="22"/>
        <v>-0.52327521366313534</v>
      </c>
      <c r="H120" s="1039"/>
      <c r="I120"/>
      <c r="AD120"/>
      <c r="AE120"/>
      <c r="AF120"/>
      <c r="AG120"/>
      <c r="AH120"/>
      <c r="AI120"/>
      <c r="AJ120"/>
      <c r="AK120"/>
    </row>
    <row r="121" spans="2:37" ht="21" customHeight="1">
      <c r="B121" s="1507" t="str">
        <f>B25</f>
        <v>Déchets (matchs)</v>
      </c>
      <c r="C121" s="1500">
        <f>C25</f>
        <v>19458.502065823144</v>
      </c>
      <c r="D121" s="1500">
        <f>'Fiche levier - 6'!C7</f>
        <v>8070.6532901799419</v>
      </c>
      <c r="E121" s="1499">
        <f t="shared" si="22"/>
        <v>-0.58523768875533266</v>
      </c>
      <c r="H121" s="1039"/>
      <c r="I121"/>
      <c r="AD121"/>
      <c r="AE121"/>
      <c r="AF121"/>
      <c r="AG121"/>
      <c r="AH121"/>
      <c r="AI121"/>
      <c r="AJ121"/>
      <c r="AK121"/>
    </row>
    <row r="122" spans="2:37" ht="21" customHeight="1" thickBot="1">
      <c r="B122" s="1504" t="s">
        <v>0</v>
      </c>
      <c r="C122" s="1505">
        <f>(SUM(C115:C121))</f>
        <v>1744298.79770873</v>
      </c>
      <c r="D122" s="1505">
        <f>SUM(D115:D121)</f>
        <v>496487.93099800829</v>
      </c>
      <c r="E122" s="1506">
        <f t="shared" si="22"/>
        <v>-0.71536531949102811</v>
      </c>
      <c r="H122" s="1039"/>
      <c r="AD122"/>
      <c r="AE122"/>
      <c r="AF122"/>
      <c r="AG122"/>
      <c r="AH122"/>
      <c r="AI122"/>
      <c r="AJ122"/>
      <c r="AK122"/>
    </row>
    <row r="123" spans="2:37" ht="21" customHeight="1">
      <c r="AD123"/>
      <c r="AE123"/>
      <c r="AF123"/>
      <c r="AG123"/>
      <c r="AH123"/>
      <c r="AI123"/>
      <c r="AJ123"/>
      <c r="AK123"/>
    </row>
    <row r="124" spans="2:37" ht="21" customHeight="1" thickBot="1">
      <c r="F124" s="1055"/>
      <c r="AD124" s="1800"/>
      <c r="AE124" s="1800" t="str">
        <f>C97</f>
        <v xml:space="preserve">Négatif </v>
      </c>
      <c r="AF124" s="1800" t="str">
        <f>D97</f>
        <v>Émissions (ktCO2e)</v>
      </c>
      <c r="AG124"/>
      <c r="AH124"/>
      <c r="AI124"/>
      <c r="AJ124"/>
      <c r="AK124"/>
    </row>
    <row r="125" spans="2:37" ht="21" customHeight="1" thickBot="1">
      <c r="B125" s="1808"/>
      <c r="C125" s="1809" t="s">
        <v>718</v>
      </c>
      <c r="D125" s="1810" t="s">
        <v>719</v>
      </c>
      <c r="E125" s="1031"/>
      <c r="F125" s="1031"/>
      <c r="AD125" s="1800" t="str">
        <f>B98</f>
        <v xml:space="preserve">Émissions en 2022 </v>
      </c>
      <c r="AE125" s="1765">
        <f>ROUND(C98,-5)</f>
        <v>0</v>
      </c>
      <c r="AF125" s="1765">
        <f>ROUND(D98,-3)</f>
        <v>1744000</v>
      </c>
      <c r="AG125"/>
      <c r="AH125"/>
      <c r="AI125"/>
      <c r="AJ125"/>
      <c r="AK125"/>
    </row>
    <row r="126" spans="2:37" ht="21" customHeight="1">
      <c r="B126" s="1814" t="s">
        <v>720</v>
      </c>
      <c r="C126" s="1815"/>
      <c r="D126" s="1816">
        <f>C122</f>
        <v>1744298.79770873</v>
      </c>
      <c r="E126" s="1031"/>
      <c r="F126" s="1031"/>
      <c r="P126"/>
      <c r="Q126"/>
      <c r="R126"/>
      <c r="S126"/>
      <c r="T126"/>
      <c r="AD126" s="1800" t="str">
        <f>B102</f>
        <v>Construction et entretien des infras.</v>
      </c>
      <c r="AE126" s="1765">
        <f>AF125-AF126</f>
        <v>1605000</v>
      </c>
      <c r="AF126" s="1765">
        <f>ROUND(C90-D90,-3)</f>
        <v>139000</v>
      </c>
      <c r="AG126"/>
      <c r="AH126"/>
      <c r="AI126"/>
      <c r="AJ126"/>
      <c r="AK126"/>
    </row>
    <row r="127" spans="2:37" ht="21" customHeight="1">
      <c r="B127" s="1045" t="str">
        <f t="shared" ref="B127:B133" si="23">B115</f>
        <v>Déplacements pour les entrainements</v>
      </c>
      <c r="C127" s="1511">
        <f>D126-D127</f>
        <v>1401846.6598710874</v>
      </c>
      <c r="D127" s="1512">
        <f t="shared" ref="D127:D133" si="24">C115-D115</f>
        <v>342452.13783764269</v>
      </c>
      <c r="E127" s="1891">
        <f>D127/$D$126</f>
        <v>0.19632653435723271</v>
      </c>
      <c r="F127" s="1031"/>
      <c r="P127"/>
      <c r="Q127"/>
      <c r="R127"/>
      <c r="S127"/>
      <c r="T127"/>
      <c r="AD127" s="1800" t="str">
        <f>B103</f>
        <v>Consommation d'énergie des infra.</v>
      </c>
      <c r="AE127" s="1765">
        <f>AE126-AF127</f>
        <v>1510000</v>
      </c>
      <c r="AF127" s="1765">
        <f>ROUND(C91-D91,-3)</f>
        <v>95000</v>
      </c>
      <c r="AG127"/>
      <c r="AH127"/>
      <c r="AI127"/>
      <c r="AJ127"/>
      <c r="AK127"/>
    </row>
    <row r="128" spans="2:37" ht="21" customHeight="1">
      <c r="B128" s="1045" t="str">
        <f t="shared" si="23"/>
        <v>Déplacements pour les matchs</v>
      </c>
      <c r="C128" s="1511">
        <f t="shared" ref="C128:C134" si="25">C127-D128</f>
        <v>1156329.779292719</v>
      </c>
      <c r="D128" s="1512">
        <f t="shared" si="24"/>
        <v>245516.88057836847</v>
      </c>
      <c r="E128" s="1891">
        <f t="shared" ref="E128:E134" si="26">D128/$D$126</f>
        <v>0.1407539126329008</v>
      </c>
      <c r="F128" s="1031"/>
      <c r="P128"/>
      <c r="Q128"/>
      <c r="R128"/>
      <c r="S128"/>
      <c r="T128"/>
      <c r="AD128" s="1800" t="str">
        <f>B101</f>
        <v>Articles de sport</v>
      </c>
      <c r="AE128" s="1765">
        <f>AE127-AF128</f>
        <v>1196000</v>
      </c>
      <c r="AF128" s="1765">
        <f>ROUND(C89-D89,-3)</f>
        <v>314000</v>
      </c>
      <c r="AG128"/>
      <c r="AH128"/>
      <c r="AI128"/>
      <c r="AJ128"/>
      <c r="AK128"/>
    </row>
    <row r="129" spans="2:37" ht="21" customHeight="1">
      <c r="B129" s="1045" t="str">
        <f t="shared" si="23"/>
        <v>Articles de sport</v>
      </c>
      <c r="C129" s="1511">
        <f t="shared" si="25"/>
        <v>846151.6383920454</v>
      </c>
      <c r="D129" s="1512">
        <f t="shared" si="24"/>
        <v>310178.14090067358</v>
      </c>
      <c r="E129" s="1891">
        <f t="shared" si="26"/>
        <v>0.17782397219336293</v>
      </c>
      <c r="F129" s="1031"/>
      <c r="P129"/>
      <c r="Q129"/>
      <c r="R129"/>
      <c r="S129"/>
      <c r="T129"/>
      <c r="AD129" s="1800" t="s">
        <v>1690</v>
      </c>
      <c r="AE129" s="1765">
        <f>AE128-AF129</f>
        <v>1092000</v>
      </c>
      <c r="AF129" s="1765">
        <f>ROUND(C92-D92,-3)</f>
        <v>104000</v>
      </c>
      <c r="AG129"/>
      <c r="AH129"/>
      <c r="AI129"/>
      <c r="AJ129"/>
      <c r="AK129"/>
    </row>
    <row r="130" spans="2:37" ht="21" customHeight="1">
      <c r="B130" s="1045" t="str">
        <f t="shared" si="23"/>
        <v>Construction et entretien des infras.</v>
      </c>
      <c r="C130" s="1511">
        <f t="shared" si="25"/>
        <v>707515.10049023037</v>
      </c>
      <c r="D130" s="1512">
        <f t="shared" si="24"/>
        <v>138636.53790181506</v>
      </c>
      <c r="E130" s="1891">
        <f t="shared" si="26"/>
        <v>7.9479810502606982E-2</v>
      </c>
      <c r="F130" s="1031"/>
      <c r="P130"/>
      <c r="Q130"/>
      <c r="R130"/>
      <c r="S130"/>
      <c r="T130"/>
      <c r="AD130" s="1800" t="s">
        <v>1297</v>
      </c>
      <c r="AE130" s="1765">
        <f>AE129-AF130</f>
        <v>1081000</v>
      </c>
      <c r="AF130" s="1765">
        <f>ROUND(C93-D93,-3)</f>
        <v>11000</v>
      </c>
      <c r="AI130"/>
      <c r="AJ130"/>
      <c r="AK130"/>
    </row>
    <row r="131" spans="2:37" ht="21" customHeight="1">
      <c r="B131" s="1045" t="str">
        <f t="shared" si="23"/>
        <v>Consommation d'énergie des infra.</v>
      </c>
      <c r="C131" s="1511">
        <f t="shared" si="25"/>
        <v>612338.78130328213</v>
      </c>
      <c r="D131" s="1512">
        <f t="shared" si="24"/>
        <v>95176.319186948298</v>
      </c>
      <c r="E131" s="1891">
        <f t="shared" si="26"/>
        <v>5.4564229082752151E-2</v>
      </c>
      <c r="F131" s="1031"/>
      <c r="P131"/>
      <c r="Q131"/>
      <c r="R131"/>
      <c r="S131"/>
      <c r="T131"/>
      <c r="AD131" s="1890" t="s">
        <v>1788</v>
      </c>
      <c r="AE131" s="1765">
        <f>AE130-AF131</f>
        <v>493000</v>
      </c>
      <c r="AF131" s="1765">
        <f>ROUND((C88-D88+C87-D87),-3)</f>
        <v>588000</v>
      </c>
      <c r="AI131"/>
      <c r="AJ131"/>
      <c r="AK131"/>
    </row>
    <row r="132" spans="2:37" ht="21" customHeight="1">
      <c r="B132" s="1045" t="str">
        <f t="shared" si="23"/>
        <v>Alimentation et boisson (matchs)</v>
      </c>
      <c r="C132" s="1511">
        <f t="shared" si="25"/>
        <v>507875.77977365174</v>
      </c>
      <c r="D132" s="1512">
        <f t="shared" si="24"/>
        <v>104463.00152963036</v>
      </c>
      <c r="E132" s="1891">
        <f t="shared" si="26"/>
        <v>5.9888249459811881E-2</v>
      </c>
      <c r="F132" s="1031"/>
      <c r="P132"/>
      <c r="Q132"/>
      <c r="R132"/>
      <c r="S132"/>
      <c r="T132"/>
      <c r="AD132" s="1800" t="str">
        <f>B106</f>
        <v>Émissions 2050 après transformation</v>
      </c>
      <c r="AE132" s="1765">
        <f>ROUND(C106,-3)</f>
        <v>0</v>
      </c>
      <c r="AF132" s="1765">
        <f>AF125-SUM(AF126:AF131)</f>
        <v>493000</v>
      </c>
      <c r="AI132"/>
      <c r="AJ132"/>
      <c r="AK132"/>
    </row>
    <row r="133" spans="2:37" ht="21" customHeight="1">
      <c r="B133" s="1045" t="str">
        <f t="shared" si="23"/>
        <v>Déchets (matchs)</v>
      </c>
      <c r="C133" s="1511">
        <f t="shared" si="25"/>
        <v>496487.93099800852</v>
      </c>
      <c r="D133" s="1512">
        <f t="shared" si="24"/>
        <v>11387.848775643202</v>
      </c>
      <c r="E133" s="1891">
        <f t="shared" si="26"/>
        <v>6.5286112623605622E-3</v>
      </c>
      <c r="F133" s="1031"/>
      <c r="P133"/>
      <c r="Q133"/>
      <c r="R133"/>
      <c r="S133"/>
      <c r="T133"/>
      <c r="AI133"/>
      <c r="AJ133"/>
      <c r="AK133"/>
    </row>
    <row r="134" spans="2:37" ht="21" customHeight="1" thickBot="1">
      <c r="B134" s="1817" t="s">
        <v>1699</v>
      </c>
      <c r="C134" s="1818">
        <f t="shared" si="25"/>
        <v>348859.75954174594</v>
      </c>
      <c r="D134" s="1819">
        <f>C133-(C122*(1-80%))</f>
        <v>147628.17145626259</v>
      </c>
      <c r="E134" s="1891">
        <f t="shared" si="26"/>
        <v>8.4634680508972146E-2</v>
      </c>
      <c r="P134"/>
      <c r="Q134"/>
      <c r="R134"/>
      <c r="S134"/>
      <c r="T134"/>
      <c r="AI134"/>
      <c r="AJ134"/>
      <c r="AK134"/>
    </row>
    <row r="135" spans="2:37" ht="21" customHeight="1" thickBot="1">
      <c r="B135" s="1811" t="s">
        <v>721</v>
      </c>
      <c r="C135" s="1812"/>
      <c r="D135" s="1813">
        <f>SUM(D126)-SUM(D127:D134)</f>
        <v>348859.759541746</v>
      </c>
      <c r="E135" s="1047" t="s">
        <v>722</v>
      </c>
      <c r="F135" s="1048">
        <f>(D135-D126)/D126</f>
        <v>-0.8</v>
      </c>
      <c r="P135"/>
      <c r="Q135"/>
      <c r="R135"/>
      <c r="S135"/>
      <c r="T135"/>
      <c r="AI135"/>
      <c r="AJ135"/>
      <c r="AK135"/>
    </row>
    <row r="136" spans="2:37" ht="21" customHeight="1" thickBot="1">
      <c r="B136" s="1031"/>
      <c r="C136" s="1031"/>
      <c r="D136" s="1031"/>
      <c r="E136" s="1049" t="s">
        <v>723</v>
      </c>
      <c r="F136" s="1050">
        <v>-0.8</v>
      </c>
      <c r="P136"/>
      <c r="Q136"/>
      <c r="R136"/>
      <c r="S136"/>
      <c r="T136"/>
      <c r="AD136" s="1800"/>
      <c r="AE136" s="1800" t="str">
        <f t="shared" ref="AE136:AF136" si="27">AE124</f>
        <v xml:space="preserve">Négatif </v>
      </c>
      <c r="AF136" s="1800" t="str">
        <f t="shared" si="27"/>
        <v>Émissions (ktCO2e)</v>
      </c>
      <c r="AI136"/>
      <c r="AJ136"/>
      <c r="AK136"/>
    </row>
    <row r="137" spans="2:37" ht="21" customHeight="1">
      <c r="P137"/>
      <c r="Q137"/>
      <c r="R137"/>
      <c r="S137"/>
      <c r="T137"/>
      <c r="AD137" s="1800" t="str">
        <f t="shared" ref="AD137:AF137" si="28">AD125</f>
        <v xml:space="preserve">Émissions en 2022 </v>
      </c>
      <c r="AE137" s="1766">
        <f t="shared" si="28"/>
        <v>0</v>
      </c>
      <c r="AF137" s="1766">
        <f t="shared" si="28"/>
        <v>1744000</v>
      </c>
      <c r="AI137"/>
      <c r="AJ137"/>
      <c r="AK137"/>
    </row>
    <row r="138" spans="2:37" ht="21" customHeight="1">
      <c r="P138"/>
      <c r="Q138"/>
      <c r="R138"/>
      <c r="S138"/>
      <c r="T138"/>
      <c r="AD138" s="1800" t="str">
        <f>AD126</f>
        <v>Construction et entretien des infras.</v>
      </c>
      <c r="AE138" s="1800">
        <f t="shared" ref="AE138:AF138" si="29">AE126</f>
        <v>1605000</v>
      </c>
      <c r="AF138" s="1800">
        <f t="shared" si="29"/>
        <v>139000</v>
      </c>
      <c r="AG138" s="852">
        <f>E90</f>
        <v>-0.44874268233042414</v>
      </c>
      <c r="AI138"/>
      <c r="AJ138"/>
      <c r="AK138"/>
    </row>
    <row r="139" spans="2:37" ht="21" customHeight="1">
      <c r="B139" s="1030" t="s">
        <v>1684</v>
      </c>
      <c r="P139" s="1034"/>
      <c r="Q139" s="1034"/>
      <c r="R139" s="1034"/>
      <c r="S139"/>
      <c r="T139"/>
      <c r="AD139" s="1800" t="str">
        <f t="shared" ref="AD139:AF139" si="30">AD127</f>
        <v>Consommation d'énergie des infra.</v>
      </c>
      <c r="AE139" s="1800">
        <f t="shared" si="30"/>
        <v>1510000</v>
      </c>
      <c r="AF139" s="1800">
        <f t="shared" si="30"/>
        <v>95000</v>
      </c>
      <c r="AG139" s="852">
        <f>E119</f>
        <v>-0.96934399797319104</v>
      </c>
      <c r="AI139"/>
      <c r="AJ139"/>
      <c r="AK139"/>
    </row>
    <row r="140" spans="2:37" ht="21" customHeight="1" thickBot="1">
      <c r="AD140" s="1800" t="str">
        <f t="shared" ref="AD140:AF140" si="31">AD128</f>
        <v>Articles de sport</v>
      </c>
      <c r="AE140" s="1800">
        <f t="shared" si="31"/>
        <v>1196000</v>
      </c>
      <c r="AF140" s="1800">
        <f t="shared" si="31"/>
        <v>314000</v>
      </c>
      <c r="AG140" s="852">
        <f>E117</f>
        <v>-0.8</v>
      </c>
      <c r="AH140"/>
      <c r="AI140"/>
      <c r="AJ140"/>
      <c r="AK140"/>
    </row>
    <row r="141" spans="2:37" ht="24" customHeight="1">
      <c r="B141" s="1782"/>
      <c r="C141" s="1783">
        <v>2022</v>
      </c>
      <c r="D141" s="1783">
        <v>2024</v>
      </c>
      <c r="E141" s="1783">
        <v>2026</v>
      </c>
      <c r="F141" s="1783">
        <v>2028</v>
      </c>
      <c r="G141" s="1783">
        <v>2030</v>
      </c>
      <c r="H141" s="1783">
        <v>2032</v>
      </c>
      <c r="I141" s="1783">
        <v>2034</v>
      </c>
      <c r="J141" s="1783">
        <v>2036</v>
      </c>
      <c r="K141" s="1783">
        <v>2038</v>
      </c>
      <c r="L141" s="1783">
        <v>2040</v>
      </c>
      <c r="M141" s="1783">
        <v>2042</v>
      </c>
      <c r="N141" s="1783">
        <v>2044</v>
      </c>
      <c r="O141" s="1783">
        <v>2046</v>
      </c>
      <c r="P141" s="1783">
        <v>2048</v>
      </c>
      <c r="Q141" s="1783">
        <v>2050</v>
      </c>
      <c r="R141" s="1784" t="s">
        <v>367</v>
      </c>
      <c r="AD141" s="1800" t="str">
        <f t="shared" ref="AD141:AF141" si="32">AD129</f>
        <v>Alimentation et boissons</v>
      </c>
      <c r="AE141" s="1800">
        <f t="shared" si="32"/>
        <v>1092000</v>
      </c>
      <c r="AF141" s="1800">
        <f t="shared" si="32"/>
        <v>104000</v>
      </c>
      <c r="AG141" s="852">
        <f>E92</f>
        <v>-0.52327521366313534</v>
      </c>
      <c r="AH141"/>
      <c r="AI141"/>
      <c r="AJ141"/>
      <c r="AK141"/>
    </row>
    <row r="142" spans="2:37" ht="23" customHeight="1">
      <c r="B142" s="1785" t="s">
        <v>1681</v>
      </c>
      <c r="C142" s="1340">
        <f>C67</f>
        <v>1744298.79770873</v>
      </c>
      <c r="D142" s="1340">
        <f t="shared" ref="D142:P142" si="33">$C$142*($Q$142/$C$142)^((D141-$C$141)/($Q$141-$C$141))</f>
        <v>1577371.4600808129</v>
      </c>
      <c r="E142" s="1340">
        <f t="shared" si="33"/>
        <v>1426418.8717814782</v>
      </c>
      <c r="F142" s="1340">
        <f t="shared" si="33"/>
        <v>1289912.2681413949</v>
      </c>
      <c r="G142" s="1340">
        <f t="shared" si="33"/>
        <v>1166469.1854669861</v>
      </c>
      <c r="H142" s="1340">
        <f t="shared" si="33"/>
        <v>1054839.4602096032</v>
      </c>
      <c r="I142" s="1340">
        <f t="shared" si="33"/>
        <v>953892.56799769844</v>
      </c>
      <c r="J142" s="1340">
        <f t="shared" si="33"/>
        <v>862606.17430868454</v>
      </c>
      <c r="K142" s="1340">
        <f t="shared" si="33"/>
        <v>780055.78082799364</v>
      </c>
      <c r="L142" s="1340">
        <f t="shared" si="33"/>
        <v>705405.36263936257</v>
      </c>
      <c r="M142" s="1340">
        <f t="shared" si="33"/>
        <v>637898.90142496547</v>
      </c>
      <c r="N142" s="1340">
        <f t="shared" si="33"/>
        <v>576852.72892830614</v>
      </c>
      <c r="O142" s="1340">
        <f t="shared" si="33"/>
        <v>521648.60313868325</v>
      </c>
      <c r="P142" s="1340">
        <f t="shared" si="33"/>
        <v>471727.44707663404</v>
      </c>
      <c r="Q142" s="1340">
        <f>D67</f>
        <v>426583.68677022716</v>
      </c>
      <c r="R142" s="276">
        <f>E67</f>
        <v>-0.75544116218472579</v>
      </c>
      <c r="AD142" s="1800" t="str">
        <f t="shared" ref="AD142:AF142" si="34">AD130</f>
        <v>Déchets</v>
      </c>
      <c r="AE142" s="1800">
        <f t="shared" si="34"/>
        <v>1081000</v>
      </c>
      <c r="AF142" s="1800">
        <f t="shared" si="34"/>
        <v>11000</v>
      </c>
      <c r="AG142" s="852">
        <f>E66</f>
        <v>-0.58523768875533266</v>
      </c>
      <c r="AH142"/>
      <c r="AI142"/>
      <c r="AJ142"/>
      <c r="AK142"/>
    </row>
    <row r="143" spans="2:37" ht="23" customHeight="1">
      <c r="B143" s="1785" t="s">
        <v>1682</v>
      </c>
      <c r="C143" s="1340">
        <f>C122</f>
        <v>1744298.79770873</v>
      </c>
      <c r="D143" s="1340">
        <f t="shared" ref="D143:P143" si="35">$C$142*($Q$143/$C$142)^((D141-$C$141)/($Q$141-$C$141))</f>
        <v>1594562.1079577764</v>
      </c>
      <c r="E143" s="1340">
        <f t="shared" si="35"/>
        <v>1457679.3376654759</v>
      </c>
      <c r="F143" s="1340">
        <f t="shared" si="35"/>
        <v>1332547.0615743024</v>
      </c>
      <c r="G143" s="1340">
        <f t="shared" si="35"/>
        <v>1218156.5762975852</v>
      </c>
      <c r="H143" s="1340">
        <f t="shared" si="35"/>
        <v>1113585.7690638958</v>
      </c>
      <c r="I143" s="1340">
        <f t="shared" si="35"/>
        <v>1017991.6844767659</v>
      </c>
      <c r="J143" s="1340">
        <f t="shared" si="35"/>
        <v>930603.72936966072</v>
      </c>
      <c r="K143" s="1340">
        <f t="shared" si="35"/>
        <v>850717.46097989497</v>
      </c>
      <c r="L143" s="1340">
        <f t="shared" si="35"/>
        <v>777688.90836735303</v>
      </c>
      <c r="M143" s="1340">
        <f t="shared" si="35"/>
        <v>710929.38130242343</v>
      </c>
      <c r="N143" s="1340">
        <f t="shared" si="35"/>
        <v>649900.7247770899</v>
      </c>
      <c r="O143" s="1340">
        <f t="shared" si="35"/>
        <v>594110.98088533455</v>
      </c>
      <c r="P143" s="1340">
        <f t="shared" si="35"/>
        <v>543110.42310285009</v>
      </c>
      <c r="Q143" s="1340">
        <f>D122</f>
        <v>496487.93099800829</v>
      </c>
      <c r="R143" s="276">
        <f>E122</f>
        <v>-0.71536531949102811</v>
      </c>
      <c r="AD143" s="1800" t="str">
        <f t="shared" ref="AD143:AF143" si="36">AD131</f>
        <v>Déplacements 
(matchs et entraînements)</v>
      </c>
      <c r="AE143" s="1800">
        <f t="shared" si="36"/>
        <v>493000</v>
      </c>
      <c r="AF143" s="1800">
        <f t="shared" si="36"/>
        <v>588000</v>
      </c>
      <c r="AG143" s="852">
        <f>((D115+D116)-(C115+C116))/(C115+C116)</f>
        <v>-0.80504672853184611</v>
      </c>
      <c r="AH143"/>
      <c r="AI143"/>
      <c r="AJ143"/>
      <c r="AK143"/>
    </row>
    <row r="144" spans="2:37" ht="23" customHeight="1">
      <c r="B144" s="1785" t="s">
        <v>1683</v>
      </c>
      <c r="C144" s="1340">
        <f>C67</f>
        <v>1744298.79770873</v>
      </c>
      <c r="D144" s="1340">
        <f t="shared" ref="D144:P144" si="37">$C$142*($Q$144/$C$142)^((D141-$C$141)/($Q$141-$C$141))</f>
        <v>1554871.3185842633</v>
      </c>
      <c r="E144" s="1340">
        <f t="shared" si="37"/>
        <v>1386015.2976839179</v>
      </c>
      <c r="F144" s="1340">
        <f t="shared" si="37"/>
        <v>1235496.7143924027</v>
      </c>
      <c r="G144" s="1340">
        <f t="shared" si="37"/>
        <v>1101324.1584167066</v>
      </c>
      <c r="H144" s="1340">
        <f t="shared" si="37"/>
        <v>981722.4827738686</v>
      </c>
      <c r="I144" s="1340">
        <f t="shared" si="37"/>
        <v>875109.31801336666</v>
      </c>
      <c r="J144" s="1340">
        <f t="shared" si="37"/>
        <v>780074.13694957481</v>
      </c>
      <c r="K144" s="1340">
        <f t="shared" si="37"/>
        <v>695359.59292382898</v>
      </c>
      <c r="L144" s="1340">
        <f t="shared" si="37"/>
        <v>619844.8846951694</v>
      </c>
      <c r="M144" s="1340">
        <f t="shared" si="37"/>
        <v>552530.92787181085</v>
      </c>
      <c r="N144" s="1340">
        <f t="shared" si="37"/>
        <v>492527.13669650059</v>
      </c>
      <c r="O144" s="1340">
        <f t="shared" si="37"/>
        <v>439039.64130444737</v>
      </c>
      <c r="P144" s="1340">
        <f t="shared" si="37"/>
        <v>391360.78456427372</v>
      </c>
      <c r="Q144" s="1340">
        <f>C122*(1-80%)</f>
        <v>348859.75954174594</v>
      </c>
      <c r="R144" s="276">
        <v>-0.8</v>
      </c>
      <c r="AD144" s="1800" t="s">
        <v>1699</v>
      </c>
      <c r="AE144" s="1765">
        <f>AE143-AF144</f>
        <v>345371.82854373741</v>
      </c>
      <c r="AF144" s="1766">
        <f>C133-(C122*(1-80%))</f>
        <v>147628.17145626259</v>
      </c>
      <c r="AG144"/>
      <c r="AH144"/>
      <c r="AI144"/>
      <c r="AJ144"/>
      <c r="AK144"/>
    </row>
    <row r="145" spans="2:32" ht="23" customHeight="1" thickBot="1">
      <c r="B145" s="1786" t="s">
        <v>1777</v>
      </c>
      <c r="C145" s="1787">
        <f t="shared" ref="C145:Q145" si="38">$C$144*(1-80%)</f>
        <v>348859.75954174594</v>
      </c>
      <c r="D145" s="1787">
        <f t="shared" si="38"/>
        <v>348859.75954174594</v>
      </c>
      <c r="E145" s="1787">
        <f t="shared" si="38"/>
        <v>348859.75954174594</v>
      </c>
      <c r="F145" s="1787">
        <f t="shared" si="38"/>
        <v>348859.75954174594</v>
      </c>
      <c r="G145" s="1787">
        <f t="shared" si="38"/>
        <v>348859.75954174594</v>
      </c>
      <c r="H145" s="1787">
        <f t="shared" si="38"/>
        <v>348859.75954174594</v>
      </c>
      <c r="I145" s="1787">
        <f t="shared" si="38"/>
        <v>348859.75954174594</v>
      </c>
      <c r="J145" s="1787">
        <f t="shared" si="38"/>
        <v>348859.75954174594</v>
      </c>
      <c r="K145" s="1787">
        <f t="shared" si="38"/>
        <v>348859.75954174594</v>
      </c>
      <c r="L145" s="1787">
        <f t="shared" si="38"/>
        <v>348859.75954174594</v>
      </c>
      <c r="M145" s="1787">
        <f t="shared" si="38"/>
        <v>348859.75954174594</v>
      </c>
      <c r="N145" s="1787">
        <f t="shared" si="38"/>
        <v>348859.75954174594</v>
      </c>
      <c r="O145" s="1787">
        <f t="shared" si="38"/>
        <v>348859.75954174594</v>
      </c>
      <c r="P145" s="1787">
        <f t="shared" si="38"/>
        <v>348859.75954174594</v>
      </c>
      <c r="Q145" s="1787">
        <f t="shared" si="38"/>
        <v>348859.75954174594</v>
      </c>
      <c r="R145" s="278">
        <v>-0.8</v>
      </c>
      <c r="AD145" s="1800" t="str">
        <f>AD132</f>
        <v>Émissions 2050 après transformation</v>
      </c>
      <c r="AE145" s="1766">
        <f>AE132</f>
        <v>0</v>
      </c>
      <c r="AF145" s="1766">
        <f>ROUND(AF137*(1-80%),-3)</f>
        <v>349000</v>
      </c>
    </row>
    <row r="173" spans="1:14" s="1056" customFormat="1" ht="52" customHeight="1">
      <c r="A173" s="1056" t="s">
        <v>1761</v>
      </c>
    </row>
    <row r="176" spans="1:14" ht="23">
      <c r="B176" s="1030" t="s">
        <v>1755</v>
      </c>
      <c r="G176" s="1875"/>
      <c r="H176" s="1875"/>
      <c r="I176" s="1875"/>
      <c r="K176"/>
      <c r="L176"/>
      <c r="M176"/>
      <c r="N176"/>
    </row>
    <row r="177" spans="2:14">
      <c r="B177" s="44"/>
      <c r="K177"/>
      <c r="L177"/>
      <c r="M177"/>
      <c r="N177"/>
    </row>
    <row r="178" spans="2:14">
      <c r="B178" s="1802" t="s">
        <v>274</v>
      </c>
      <c r="C178" s="1802" t="s">
        <v>1689</v>
      </c>
      <c r="D178" s="1803" t="s">
        <v>89</v>
      </c>
      <c r="K178"/>
      <c r="L178"/>
      <c r="M178"/>
      <c r="N178"/>
    </row>
    <row r="179" spans="2:14">
      <c r="B179" s="1800" t="s">
        <v>1584</v>
      </c>
      <c r="C179" s="1765">
        <f>300986.844563382+31962.2810256623+21544.9132940586</f>
        <v>354494.03888310288</v>
      </c>
      <c r="D179" s="1801">
        <f t="shared" ref="D179:D186" si="39">C179/$C$186</f>
        <v>0.80044980053062365</v>
      </c>
      <c r="K179"/>
      <c r="L179"/>
      <c r="M179"/>
      <c r="N179"/>
    </row>
    <row r="180" spans="2:14">
      <c r="B180" s="1800" t="s">
        <v>1773</v>
      </c>
      <c r="C180" s="1765">
        <v>37174.362064717599</v>
      </c>
      <c r="D180" s="1801">
        <f t="shared" si="39"/>
        <v>8.3939946616052183E-2</v>
      </c>
      <c r="K180"/>
      <c r="L180"/>
      <c r="M180"/>
      <c r="N180"/>
    </row>
    <row r="181" spans="2:14">
      <c r="B181" s="1800" t="s">
        <v>1690</v>
      </c>
      <c r="C181" s="1765">
        <v>25831.762471604601</v>
      </c>
      <c r="D181" s="1801">
        <f t="shared" si="39"/>
        <v>5.8328284399074934E-2</v>
      </c>
      <c r="K181"/>
      <c r="L181"/>
      <c r="M181"/>
      <c r="N181"/>
    </row>
    <row r="182" spans="2:14">
      <c r="B182" s="1800" t="s">
        <v>1691</v>
      </c>
      <c r="C182" s="1765">
        <v>10358.562039735099</v>
      </c>
      <c r="D182" s="1801">
        <f t="shared" si="39"/>
        <v>2.3389699145898016E-2</v>
      </c>
      <c r="K182"/>
      <c r="L182"/>
      <c r="M182"/>
      <c r="N182"/>
    </row>
    <row r="183" spans="2:14">
      <c r="B183" s="1800" t="s">
        <v>1692</v>
      </c>
      <c r="C183" s="1765">
        <v>8780</v>
      </c>
      <c r="D183" s="1801">
        <f t="shared" si="39"/>
        <v>1.9825295993133457E-2</v>
      </c>
      <c r="K183"/>
      <c r="L183"/>
      <c r="M183"/>
      <c r="N183"/>
    </row>
    <row r="184" spans="2:14">
      <c r="B184" s="1800" t="s">
        <v>320</v>
      </c>
      <c r="C184" s="1765">
        <v>3453.2603778779899</v>
      </c>
      <c r="D184" s="1801">
        <f t="shared" si="39"/>
        <v>7.7974839558987517E-3</v>
      </c>
      <c r="K184"/>
      <c r="L184"/>
      <c r="M184"/>
      <c r="N184"/>
    </row>
    <row r="185" spans="2:14">
      <c r="B185" s="1800" t="s">
        <v>1297</v>
      </c>
      <c r="C185" s="1765">
        <v>2776.5596334039901</v>
      </c>
      <c r="D185" s="1801">
        <f t="shared" si="39"/>
        <v>6.2694893593189319E-3</v>
      </c>
      <c r="E185" s="279"/>
      <c r="K185"/>
      <c r="L185"/>
      <c r="M185"/>
      <c r="N185"/>
    </row>
    <row r="186" spans="2:14">
      <c r="B186" s="1802" t="s">
        <v>0</v>
      </c>
      <c r="C186" s="1806">
        <v>442868.54547044222</v>
      </c>
      <c r="D186" s="1807">
        <f t="shared" si="39"/>
        <v>1</v>
      </c>
      <c r="E186" s="279"/>
      <c r="K186"/>
      <c r="L186"/>
      <c r="M186"/>
      <c r="N186"/>
    </row>
    <row r="187" spans="2:14">
      <c r="K187"/>
      <c r="L187"/>
      <c r="M187"/>
      <c r="N187"/>
    </row>
    <row r="188" spans="2:14" ht="23">
      <c r="B188" s="1030" t="s">
        <v>1756</v>
      </c>
      <c r="C188" s="32"/>
      <c r="D188" s="32"/>
      <c r="K188"/>
      <c r="L188"/>
      <c r="M188"/>
      <c r="N188"/>
    </row>
    <row r="189" spans="2:14" ht="19" customHeight="1">
      <c r="B189" s="1030"/>
      <c r="C189" s="32"/>
      <c r="D189" s="32"/>
      <c r="K189"/>
      <c r="L189"/>
      <c r="M189"/>
      <c r="N189"/>
    </row>
    <row r="190" spans="2:14">
      <c r="B190" s="270" t="str">
        <f t="shared" ref="B190:C198" si="40">B18</f>
        <v>Poste</v>
      </c>
      <c r="C190" s="270" t="str">
        <f t="shared" si="40"/>
        <v>Valeurs (tCO2e) en 2022</v>
      </c>
      <c r="D190" s="270" t="str">
        <f t="shared" ref="D190:D198" si="41">E18</f>
        <v>Pourcentage</v>
      </c>
      <c r="K190"/>
      <c r="L190"/>
      <c r="M190"/>
      <c r="N190"/>
    </row>
    <row r="191" spans="2:14">
      <c r="B191" s="264" t="str">
        <f t="shared" si="40"/>
        <v>Déplacements pour les entrainements</v>
      </c>
      <c r="C191" s="1766">
        <f t="shared" si="40"/>
        <v>428785.76071909629</v>
      </c>
      <c r="D191" s="269">
        <f t="shared" si="41"/>
        <v>0.24582127860337874</v>
      </c>
      <c r="K191"/>
      <c r="L191"/>
      <c r="M191"/>
      <c r="N191"/>
    </row>
    <row r="192" spans="2:14">
      <c r="B192" s="264" t="str">
        <f t="shared" si="40"/>
        <v>Déplacements pour les matchs</v>
      </c>
      <c r="C192" s="1766">
        <f t="shared" si="40"/>
        <v>301568.1399647597</v>
      </c>
      <c r="D192" s="269">
        <f t="shared" si="41"/>
        <v>0.17288789074491856</v>
      </c>
      <c r="K192"/>
      <c r="L192"/>
      <c r="M192"/>
      <c r="N192"/>
    </row>
    <row r="193" spans="2:14">
      <c r="B193" s="264" t="str">
        <f t="shared" si="40"/>
        <v>Articles de sport</v>
      </c>
      <c r="C193" s="1766">
        <f t="shared" si="40"/>
        <v>387722.67612584197</v>
      </c>
      <c r="D193" s="269">
        <f t="shared" si="41"/>
        <v>0.22227996524170365</v>
      </c>
      <c r="K193"/>
      <c r="L193"/>
      <c r="M193"/>
      <c r="N193"/>
    </row>
    <row r="194" spans="2:14">
      <c r="B194" s="264" t="str">
        <f t="shared" si="40"/>
        <v>Construction et entretien des infras.</v>
      </c>
      <c r="C194" s="1766">
        <f t="shared" si="40"/>
        <v>308944.39811663015</v>
      </c>
      <c r="D194" s="269">
        <f t="shared" si="41"/>
        <v>0.17711667205323553</v>
      </c>
      <c r="K194"/>
      <c r="L194"/>
      <c r="M194"/>
      <c r="N194"/>
    </row>
    <row r="195" spans="2:14">
      <c r="B195" s="264" t="str">
        <f t="shared" si="40"/>
        <v>Alimentation et boisson (matchs)</v>
      </c>
      <c r="C195" s="1766">
        <f t="shared" si="40"/>
        <v>199633.00152963036</v>
      </c>
      <c r="D195" s="269">
        <f t="shared" si="41"/>
        <v>0.11444885577623719</v>
      </c>
      <c r="K195"/>
      <c r="L195"/>
      <c r="M195"/>
      <c r="N195"/>
    </row>
    <row r="196" spans="2:14">
      <c r="B196" s="264" t="str">
        <f t="shared" si="40"/>
        <v>Consommation d'énergie des infra.</v>
      </c>
      <c r="C196" s="1766">
        <f t="shared" si="40"/>
        <v>98186.319186948298</v>
      </c>
      <c r="D196" s="269">
        <f t="shared" si="41"/>
        <v>5.6289850864957053E-2</v>
      </c>
      <c r="K196"/>
      <c r="L196"/>
      <c r="M196"/>
      <c r="N196"/>
    </row>
    <row r="197" spans="2:14">
      <c r="B197" s="264" t="str">
        <f t="shared" si="40"/>
        <v>Déchets (matchs)</v>
      </c>
      <c r="C197" s="1766">
        <f t="shared" si="40"/>
        <v>19458.502065823144</v>
      </c>
      <c r="D197" s="269">
        <f t="shared" si="41"/>
        <v>1.1155486715569245E-2</v>
      </c>
      <c r="K197"/>
      <c r="L197"/>
      <c r="M197"/>
      <c r="N197"/>
    </row>
    <row r="198" spans="2:14">
      <c r="B198" s="270" t="str">
        <f t="shared" si="40"/>
        <v>Total</v>
      </c>
      <c r="C198" s="1805">
        <f t="shared" si="40"/>
        <v>1744298.79770873</v>
      </c>
      <c r="D198" s="1427">
        <f t="shared" si="41"/>
        <v>1</v>
      </c>
      <c r="K198"/>
      <c r="L198"/>
      <c r="M198"/>
      <c r="N198"/>
    </row>
    <row r="199" spans="2:14">
      <c r="K199"/>
      <c r="L199"/>
      <c r="M199"/>
      <c r="N199"/>
    </row>
    <row r="200" spans="2:14" ht="23">
      <c r="B200" s="1030" t="s">
        <v>1757</v>
      </c>
      <c r="K200"/>
      <c r="L200"/>
      <c r="M200"/>
      <c r="N200"/>
    </row>
    <row r="201" spans="2:14">
      <c r="C201" s="1924" t="s">
        <v>1758</v>
      </c>
      <c r="D201" s="1924"/>
      <c r="E201" s="1924"/>
      <c r="K201"/>
      <c r="L201"/>
      <c r="M201"/>
      <c r="N201"/>
    </row>
    <row r="202" spans="2:14">
      <c r="B202" s="270" t="str">
        <f>B30</f>
        <v>Poste</v>
      </c>
      <c r="C202" s="270" t="s">
        <v>654</v>
      </c>
      <c r="D202" s="1802" t="s">
        <v>345</v>
      </c>
      <c r="E202" s="1802" t="s">
        <v>1695</v>
      </c>
      <c r="K202"/>
      <c r="L202"/>
      <c r="M202"/>
      <c r="N202"/>
    </row>
    <row r="203" spans="2:14">
      <c r="B203" s="1800" t="s">
        <v>1772</v>
      </c>
      <c r="C203" s="1876">
        <f>SUM(C191:C192,C179)*19%</f>
        <v>206121.1085177222</v>
      </c>
      <c r="D203" s="1876">
        <f>SUM(C191:C192,C179)*75%</f>
        <v>813635.95467521925</v>
      </c>
      <c r="E203" s="1876">
        <f>SUM(C191:C192,C179)*6%</f>
        <v>65090.876374017535</v>
      </c>
      <c r="K203"/>
      <c r="L203"/>
      <c r="M203"/>
      <c r="N203"/>
    </row>
    <row r="204" spans="2:14">
      <c r="B204" s="1800" t="s">
        <v>1693</v>
      </c>
      <c r="C204" s="1877">
        <f>C193</f>
        <v>387722.67612584197</v>
      </c>
      <c r="K204"/>
      <c r="L204"/>
      <c r="M204"/>
      <c r="N204"/>
    </row>
    <row r="205" spans="2:14">
      <c r="B205" s="1800" t="s">
        <v>1773</v>
      </c>
      <c r="C205" s="1876">
        <f>C180+C194</f>
        <v>346118.76018134772</v>
      </c>
      <c r="K205"/>
      <c r="L205"/>
      <c r="M205"/>
      <c r="N205"/>
    </row>
    <row r="206" spans="2:14">
      <c r="B206" s="1800" t="s">
        <v>1690</v>
      </c>
      <c r="C206" s="1876">
        <f>C181+C195</f>
        <v>225464.76400123496</v>
      </c>
      <c r="K206"/>
      <c r="L206"/>
      <c r="M206"/>
      <c r="N206"/>
    </row>
    <row r="207" spans="2:14">
      <c r="B207" s="1800" t="s">
        <v>1774</v>
      </c>
      <c r="C207" s="1876">
        <f>C183+C196</f>
        <v>106966.3191869483</v>
      </c>
      <c r="K207"/>
      <c r="L207"/>
      <c r="M207"/>
      <c r="N207"/>
    </row>
    <row r="208" spans="2:14">
      <c r="B208" s="1800" t="s">
        <v>1694</v>
      </c>
      <c r="C208" s="1876">
        <f>C197+C185+C184+C182</f>
        <v>36046.884116840221</v>
      </c>
      <c r="K208"/>
      <c r="L208"/>
      <c r="M208"/>
      <c r="N208"/>
    </row>
    <row r="209" spans="2:14">
      <c r="B209" s="1802" t="s">
        <v>139</v>
      </c>
      <c r="C209" s="1804">
        <f>SUM(C203:E208)</f>
        <v>2187167.3431791719</v>
      </c>
      <c r="K209"/>
      <c r="L209"/>
      <c r="M209"/>
      <c r="N209"/>
    </row>
    <row r="210" spans="2:14">
      <c r="K210"/>
      <c r="L210"/>
      <c r="M210"/>
      <c r="N210"/>
    </row>
    <row r="211" spans="2:14">
      <c r="B211" s="1802" t="str">
        <f>B202</f>
        <v>Poste</v>
      </c>
      <c r="C211" s="1802" t="str">
        <f>D202</f>
        <v>Voiture</v>
      </c>
      <c r="D211" s="1802" t="str">
        <f>C202</f>
        <v>Avion</v>
      </c>
      <c r="E211" s="1802" t="str">
        <f>E202</f>
        <v>Transports en commun</v>
      </c>
      <c r="K211"/>
      <c r="L211"/>
      <c r="M211"/>
      <c r="N211"/>
    </row>
    <row r="212" spans="2:14">
      <c r="B212" s="1800" t="str">
        <f t="shared" ref="B212" si="42">B203</f>
        <v>Déplacements (spectateurs, pratiquants, etc.)</v>
      </c>
      <c r="C212" s="1801">
        <f>D203/$C$209</f>
        <v>0.37200443633752928</v>
      </c>
      <c r="D212" s="1801">
        <f>C203/$C$209</f>
        <v>9.4241123872174065E-2</v>
      </c>
      <c r="E212" s="1801">
        <f>E203/$C$209</f>
        <v>2.9760354907002337E-2</v>
      </c>
      <c r="K212"/>
      <c r="L212"/>
      <c r="M212"/>
      <c r="N212"/>
    </row>
    <row r="213" spans="2:14">
      <c r="B213" s="1800" t="str">
        <f t="shared" ref="B213" si="43">B204</f>
        <v>Articles de sport</v>
      </c>
      <c r="C213" s="1801">
        <f t="shared" ref="C213:C217" si="44">C204/$C$209</f>
        <v>0.17727160993646926</v>
      </c>
      <c r="K213"/>
      <c r="L213"/>
      <c r="M213"/>
      <c r="N213"/>
    </row>
    <row r="214" spans="2:14">
      <c r="B214" s="1800" t="str">
        <f t="shared" ref="B214" si="45">B205</f>
        <v>Construction et entretien des infra.</v>
      </c>
      <c r="C214" s="1801">
        <f t="shared" si="44"/>
        <v>0.15824978425210229</v>
      </c>
      <c r="K214"/>
      <c r="L214"/>
      <c r="M214"/>
      <c r="N214"/>
    </row>
    <row r="215" spans="2:14">
      <c r="B215" s="1800" t="str">
        <f t="shared" ref="B215" si="46">B206</f>
        <v>Alimentation et boissons</v>
      </c>
      <c r="C215" s="1801">
        <f t="shared" si="44"/>
        <v>0.1030852827536777</v>
      </c>
      <c r="K215"/>
      <c r="L215"/>
      <c r="M215"/>
      <c r="N215"/>
    </row>
    <row r="216" spans="2:14">
      <c r="B216" s="1800" t="str">
        <f t="shared" ref="B216" si="47">B207</f>
        <v>Consommation d'énergie des infra.</v>
      </c>
      <c r="C216" s="1801">
        <f t="shared" si="44"/>
        <v>4.8906326038805369E-2</v>
      </c>
      <c r="K216"/>
      <c r="L216"/>
      <c r="M216"/>
      <c r="N216"/>
    </row>
    <row r="217" spans="2:14">
      <c r="B217" s="1800" t="str">
        <f t="shared" ref="B217" si="48">B208</f>
        <v>Déchets et autres</v>
      </c>
      <c r="C217" s="1801">
        <f t="shared" si="44"/>
        <v>1.648108190223983E-2</v>
      </c>
      <c r="K217"/>
      <c r="L217"/>
      <c r="M217"/>
      <c r="N217"/>
    </row>
    <row r="218" spans="2:14">
      <c r="B218" s="1802" t="str">
        <f t="shared" ref="B218" si="49">B209</f>
        <v>TOTAL</v>
      </c>
      <c r="C218" s="1807">
        <f>SUM(C212:E217)</f>
        <v>1.0000000000000002</v>
      </c>
      <c r="K218"/>
      <c r="L218"/>
      <c r="M218"/>
      <c r="N218"/>
    </row>
    <row r="219" spans="2:14">
      <c r="K219"/>
      <c r="L219"/>
      <c r="M219"/>
      <c r="N219"/>
    </row>
    <row r="331" spans="5:5">
      <c r="E331" s="279"/>
    </row>
    <row r="332" spans="5:5">
      <c r="E332" s="268"/>
    </row>
    <row r="333" spans="5:5">
      <c r="E333" s="279"/>
    </row>
    <row r="334" spans="5:5">
      <c r="E334" s="268"/>
    </row>
    <row r="335" spans="5:5">
      <c r="E335" s="279"/>
    </row>
    <row r="336" spans="5:5">
      <c r="E336" s="268"/>
    </row>
    <row r="337" spans="5:5">
      <c r="E337" s="279"/>
    </row>
    <row r="338" spans="5:5">
      <c r="E338" s="268"/>
    </row>
    <row r="339" spans="5:5">
      <c r="E339" s="279"/>
    </row>
    <row r="340" spans="5:5">
      <c r="E340" s="268"/>
    </row>
    <row r="341" spans="5:5">
      <c r="E341" s="279"/>
    </row>
    <row r="342" spans="5:5">
      <c r="E342" s="268"/>
    </row>
    <row r="343" spans="5:5">
      <c r="E343" s="279"/>
    </row>
    <row r="344" spans="5:5">
      <c r="E344" s="268"/>
    </row>
    <row r="345" spans="5:5">
      <c r="E345" s="279"/>
    </row>
    <row r="346" spans="5:5">
      <c r="E346" s="268"/>
    </row>
    <row r="347" spans="5:5">
      <c r="E347" s="279"/>
    </row>
    <row r="348" spans="5:5">
      <c r="E348" s="268"/>
    </row>
    <row r="349" spans="5:5">
      <c r="E349" s="279"/>
    </row>
    <row r="350" spans="5:5">
      <c r="E350" s="268"/>
    </row>
    <row r="351" spans="5:5">
      <c r="E351" s="279"/>
    </row>
    <row r="352" spans="5:5">
      <c r="E352" s="268"/>
    </row>
    <row r="353" spans="5:5">
      <c r="E353" s="279"/>
    </row>
    <row r="354" spans="5:5">
      <c r="E354" s="268"/>
    </row>
    <row r="355" spans="5:5">
      <c r="E355" s="279"/>
    </row>
    <row r="356" spans="5:5">
      <c r="E356" s="268"/>
    </row>
    <row r="357" spans="5:5">
      <c r="E357" s="279"/>
    </row>
    <row r="358" spans="5:5">
      <c r="E358" s="268"/>
    </row>
    <row r="359" spans="5:5">
      <c r="E359" s="279"/>
    </row>
    <row r="360" spans="5:5">
      <c r="E360" s="268"/>
    </row>
    <row r="361" spans="5:5">
      <c r="E361" s="279"/>
    </row>
    <row r="362" spans="5:5">
      <c r="E362" s="268"/>
    </row>
    <row r="363" spans="5:5">
      <c r="E363" s="279"/>
    </row>
    <row r="364" spans="5:5">
      <c r="E364" s="268"/>
    </row>
    <row r="365" spans="5:5">
      <c r="E365" s="279"/>
    </row>
    <row r="366" spans="5:5">
      <c r="E366" s="268"/>
    </row>
  </sheetData>
  <mergeCells count="2">
    <mergeCell ref="A1:XFD1"/>
    <mergeCell ref="C201:E201"/>
  </mergeCells>
  <conditionalFormatting sqref="E335:E366 F135 F79">
    <cfRule type="colorScale" priority="4">
      <colorScale>
        <cfvo type="min"/>
        <cfvo type="percentile" val="50"/>
        <cfvo type="max"/>
        <color rgb="FF63BE7B"/>
        <color rgb="FFFFEB84"/>
        <color rgb="FFF8696B"/>
      </colorScale>
    </cfRule>
  </conditionalFormatting>
  <conditionalFormatting sqref="F106">
    <cfRule type="colorScale" priority="1">
      <colorScale>
        <cfvo type="min"/>
        <cfvo type="percentile" val="50"/>
        <cfvo type="max"/>
        <color rgb="FF63BE7B"/>
        <color rgb="FFFFEB84"/>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N236"/>
  <sheetViews>
    <sheetView zoomScale="41" zoomScaleNormal="75" workbookViewId="0">
      <selection activeCell="E19" sqref="E19"/>
    </sheetView>
  </sheetViews>
  <sheetFormatPr baseColWidth="10" defaultColWidth="8.83203125" defaultRowHeight="14" outlineLevelRow="1"/>
  <cols>
    <col min="1" max="1" width="8.83203125" style="5"/>
    <col min="2" max="2" width="43.33203125" style="5" customWidth="1"/>
    <col min="3" max="3" width="29.1640625" style="5" customWidth="1"/>
    <col min="4" max="4" width="24.83203125" style="5" customWidth="1"/>
    <col min="5" max="5" width="28" style="5" customWidth="1"/>
    <col min="6" max="7" width="24.83203125" style="5" customWidth="1"/>
    <col min="8" max="8" width="64" style="5" customWidth="1"/>
    <col min="9" max="9" width="34" style="5" customWidth="1"/>
    <col min="10" max="11" width="26" style="5" customWidth="1"/>
    <col min="12" max="12" width="15" style="5" customWidth="1"/>
    <col min="13" max="13" width="24.5" style="5" customWidth="1"/>
    <col min="14" max="16" width="15" style="5" customWidth="1"/>
    <col min="17" max="16384" width="8.83203125" style="5"/>
  </cols>
  <sheetData>
    <row r="1" spans="1:14" ht="15" thickBot="1">
      <c r="A1" s="6"/>
      <c r="B1" s="8"/>
      <c r="C1" s="8"/>
      <c r="D1" s="6"/>
      <c r="E1" s="6"/>
      <c r="F1" s="6"/>
      <c r="G1" s="6"/>
      <c r="H1" s="6"/>
      <c r="I1" s="6"/>
      <c r="J1" s="6"/>
      <c r="K1" s="6"/>
      <c r="L1" s="6"/>
      <c r="M1" s="6"/>
      <c r="N1" s="6"/>
    </row>
    <row r="2" spans="1:14" ht="24" customHeight="1" thickBot="1">
      <c r="A2" s="1057"/>
      <c r="B2" s="1963" t="s">
        <v>1534</v>
      </c>
      <c r="C2" s="1964"/>
      <c r="D2" s="6"/>
      <c r="E2"/>
      <c r="F2"/>
      <c r="G2"/>
      <c r="H2"/>
      <c r="I2"/>
      <c r="J2"/>
      <c r="K2"/>
      <c r="L2"/>
      <c r="M2" s="6"/>
      <c r="N2" s="6"/>
    </row>
    <row r="3" spans="1:14" ht="21" customHeight="1" thickBot="1">
      <c r="A3" s="6"/>
      <c r="B3" s="7"/>
      <c r="C3" s="7"/>
      <c r="D3" s="8"/>
      <c r="E3"/>
      <c r="F3"/>
      <c r="G3"/>
      <c r="H3"/>
      <c r="I3"/>
      <c r="J3"/>
      <c r="K3"/>
      <c r="L3"/>
      <c r="M3" s="6"/>
      <c r="N3" s="6"/>
    </row>
    <row r="4" spans="1:14" ht="15" thickBot="1">
      <c r="A4" s="1057"/>
      <c r="B4" s="1965" t="s">
        <v>2</v>
      </c>
      <c r="C4" s="1966"/>
      <c r="D4" s="1967"/>
      <c r="E4"/>
      <c r="F4"/>
      <c r="G4"/>
      <c r="H4"/>
      <c r="I4"/>
      <c r="J4"/>
      <c r="K4"/>
      <c r="L4"/>
      <c r="M4" s="6"/>
      <c r="N4" s="6"/>
    </row>
    <row r="5" spans="1:14" ht="39.25" customHeight="1">
      <c r="A5" s="1057"/>
      <c r="B5" s="142" t="s">
        <v>156</v>
      </c>
      <c r="C5" s="128">
        <f>C82</f>
        <v>308944.39811663015</v>
      </c>
      <c r="D5" s="129" t="s">
        <v>3</v>
      </c>
      <c r="E5"/>
      <c r="F5"/>
      <c r="G5"/>
      <c r="H5"/>
      <c r="I5"/>
      <c r="J5"/>
      <c r="K5"/>
      <c r="L5"/>
      <c r="M5" s="6"/>
      <c r="N5" s="6"/>
    </row>
    <row r="6" spans="1:14" ht="18" customHeight="1">
      <c r="A6" s="1057"/>
      <c r="B6" s="143" t="s">
        <v>4</v>
      </c>
      <c r="C6" s="1968" t="s">
        <v>1546</v>
      </c>
      <c r="D6" s="1969"/>
      <c r="E6"/>
      <c r="F6"/>
      <c r="G6"/>
      <c r="H6"/>
      <c r="I6"/>
      <c r="J6"/>
      <c r="K6"/>
      <c r="L6"/>
      <c r="M6" s="6"/>
      <c r="N6" s="6"/>
    </row>
    <row r="7" spans="1:14" ht="19" customHeight="1" thickBot="1">
      <c r="A7" s="1057"/>
      <c r="B7" s="144" t="s">
        <v>5</v>
      </c>
      <c r="C7" s="1970"/>
      <c r="D7" s="1971"/>
      <c r="E7" s="6"/>
      <c r="L7" s="6"/>
      <c r="M7" s="6"/>
      <c r="N7" s="6"/>
    </row>
    <row r="8" spans="1:14" ht="29" customHeight="1" thickBot="1">
      <c r="A8" s="6"/>
      <c r="B8" s="100"/>
      <c r="C8" s="7"/>
      <c r="D8" s="7"/>
      <c r="E8" s="8"/>
      <c r="F8" s="8"/>
      <c r="G8" s="8"/>
      <c r="H8" s="8"/>
      <c r="I8" s="8"/>
      <c r="J8" s="8"/>
      <c r="K8" s="8"/>
      <c r="L8" s="6"/>
      <c r="M8" s="6"/>
      <c r="N8" s="6"/>
    </row>
    <row r="9" spans="1:14" ht="26" customHeight="1" thickBot="1">
      <c r="A9" s="1057"/>
      <c r="B9" s="1972" t="s">
        <v>6</v>
      </c>
      <c r="C9" s="1973"/>
      <c r="D9" s="1973"/>
      <c r="E9" s="1973"/>
      <c r="F9" s="1973"/>
      <c r="G9" s="1973"/>
      <c r="H9" s="1973"/>
      <c r="I9" s="1973"/>
      <c r="J9" s="1973"/>
      <c r="K9" s="1974"/>
      <c r="L9" s="6"/>
      <c r="M9" s="6"/>
      <c r="N9" s="6"/>
    </row>
    <row r="10" spans="1:14" ht="261" customHeight="1">
      <c r="A10" s="1057"/>
      <c r="B10" s="12" t="s">
        <v>7</v>
      </c>
      <c r="C10" s="1979" t="s">
        <v>1789</v>
      </c>
      <c r="D10" s="1980"/>
      <c r="E10" s="1980"/>
      <c r="F10" s="1980"/>
      <c r="G10" s="1980"/>
      <c r="H10" s="1980"/>
      <c r="I10" s="1980"/>
      <c r="J10" s="1980"/>
      <c r="K10" s="1981"/>
      <c r="L10" s="6"/>
      <c r="M10" s="6"/>
      <c r="N10" s="6"/>
    </row>
    <row r="11" spans="1:14" ht="112" customHeight="1">
      <c r="A11" s="1893" t="s">
        <v>647</v>
      </c>
      <c r="B11" s="13" t="s">
        <v>8</v>
      </c>
      <c r="C11" s="1975" t="s">
        <v>1790</v>
      </c>
      <c r="D11" s="1976"/>
      <c r="E11" s="1976"/>
      <c r="F11" s="1976"/>
      <c r="G11" s="1976"/>
      <c r="H11" s="1976"/>
      <c r="I11" s="1976"/>
      <c r="J11" s="1976"/>
      <c r="K11" s="1977"/>
      <c r="L11" s="6"/>
      <c r="M11" s="6"/>
      <c r="N11" s="6"/>
    </row>
    <row r="12" spans="1:14" ht="91" customHeight="1">
      <c r="A12" s="1057"/>
      <c r="B12" s="13" t="s">
        <v>9</v>
      </c>
      <c r="C12" s="1982" t="s">
        <v>1792</v>
      </c>
      <c r="D12" s="1983"/>
      <c r="E12" s="1983"/>
      <c r="F12" s="1983"/>
      <c r="G12" s="1983"/>
      <c r="H12" s="1983"/>
      <c r="I12" s="1983"/>
      <c r="J12" s="1983"/>
      <c r="K12" s="1984"/>
      <c r="L12" s="6"/>
      <c r="M12" s="6"/>
      <c r="N12" s="6"/>
    </row>
    <row r="13" spans="1:14" ht="122" customHeight="1">
      <c r="A13" s="1057"/>
      <c r="B13" s="13" t="s">
        <v>11</v>
      </c>
      <c r="C13" s="1975" t="s">
        <v>1793</v>
      </c>
      <c r="D13" s="1976"/>
      <c r="E13" s="1976"/>
      <c r="F13" s="1976"/>
      <c r="G13" s="1976"/>
      <c r="H13" s="1976"/>
      <c r="I13" s="1976"/>
      <c r="J13" s="1976"/>
      <c r="K13" s="1977"/>
      <c r="L13" s="6"/>
      <c r="M13" s="6"/>
      <c r="N13" s="6"/>
    </row>
    <row r="14" spans="1:14" ht="30" customHeight="1">
      <c r="A14" s="1057"/>
      <c r="B14" s="13" t="s">
        <v>12</v>
      </c>
      <c r="C14" s="1978" t="s">
        <v>55</v>
      </c>
      <c r="D14" s="1976"/>
      <c r="E14" s="1976"/>
      <c r="F14" s="1976"/>
      <c r="G14" s="1976"/>
      <c r="H14" s="1976"/>
      <c r="I14" s="1976"/>
      <c r="J14" s="1976"/>
      <c r="K14" s="1977"/>
      <c r="L14" s="6"/>
      <c r="M14" s="6"/>
      <c r="N14" s="6"/>
    </row>
    <row r="15" spans="1:14" ht="29" customHeight="1" thickBot="1">
      <c r="A15" s="1057"/>
      <c r="B15" s="14" t="s">
        <v>13</v>
      </c>
      <c r="C15" s="1985" t="s">
        <v>1568</v>
      </c>
      <c r="D15" s="1986"/>
      <c r="E15" s="1986"/>
      <c r="F15" s="1986"/>
      <c r="G15" s="1986"/>
      <c r="H15" s="1986"/>
      <c r="I15" s="1986"/>
      <c r="J15" s="1986"/>
      <c r="K15" s="1987"/>
      <c r="L15" s="6"/>
      <c r="M15" s="6"/>
      <c r="N15" s="6"/>
    </row>
    <row r="16" spans="1:14" ht="27" customHeight="1">
      <c r="A16" s="6"/>
      <c r="G16" s="6"/>
      <c r="H16" s="6"/>
      <c r="I16" s="6"/>
      <c r="J16" s="101"/>
      <c r="K16" s="6"/>
      <c r="L16" s="6"/>
      <c r="M16" s="6"/>
      <c r="N16" s="6"/>
    </row>
    <row r="17" spans="1:14" ht="27" customHeight="1">
      <c r="A17" s="6"/>
      <c r="B17" s="378" t="s">
        <v>424</v>
      </c>
      <c r="D17" s="6"/>
      <c r="E17" s="6"/>
      <c r="F17" s="6"/>
      <c r="G17" s="6"/>
      <c r="H17" s="6"/>
      <c r="I17" s="6"/>
      <c r="J17" s="6"/>
      <c r="K17" s="6"/>
      <c r="L17" s="6"/>
      <c r="M17" s="6"/>
      <c r="N17" s="6"/>
    </row>
    <row r="18" spans="1:14" ht="27" customHeight="1">
      <c r="A18" s="6"/>
      <c r="B18" s="1199" t="s">
        <v>265</v>
      </c>
      <c r="D18" s="6"/>
      <c r="E18" s="6"/>
      <c r="F18" s="6"/>
      <c r="G18" s="6"/>
      <c r="H18" s="6"/>
      <c r="I18" s="6"/>
      <c r="J18" s="6"/>
      <c r="K18" s="6"/>
      <c r="L18" s="6"/>
      <c r="M18" s="6"/>
      <c r="N18" s="6"/>
    </row>
    <row r="19" spans="1:14" ht="27" customHeight="1">
      <c r="A19" s="6"/>
      <c r="B19" s="10" t="s">
        <v>1175</v>
      </c>
      <c r="D19" s="6"/>
      <c r="E19" s="6"/>
      <c r="F19" s="6"/>
      <c r="G19" s="6"/>
      <c r="H19" s="6"/>
      <c r="I19" s="6"/>
      <c r="J19" s="6"/>
      <c r="K19" s="6"/>
      <c r="L19" s="6"/>
      <c r="M19" s="6"/>
      <c r="N19" s="6"/>
    </row>
    <row r="20" spans="1:14" ht="27" customHeight="1">
      <c r="A20" s="6"/>
      <c r="B20" s="31" t="s">
        <v>1311</v>
      </c>
      <c r="D20" s="6"/>
      <c r="E20" s="6"/>
      <c r="F20" s="6"/>
      <c r="G20" s="6"/>
      <c r="H20" s="6"/>
      <c r="I20" s="6"/>
      <c r="J20" s="6"/>
      <c r="K20" s="6"/>
      <c r="L20" s="6"/>
      <c r="M20" s="6"/>
      <c r="N20" s="6"/>
    </row>
    <row r="21" spans="1:14" ht="27" customHeight="1">
      <c r="A21" s="6"/>
      <c r="B21" s="31" t="s">
        <v>1310</v>
      </c>
      <c r="D21" s="6"/>
      <c r="E21" s="6"/>
      <c r="F21" s="6"/>
      <c r="G21" s="6"/>
      <c r="H21" s="6"/>
      <c r="I21" s="6"/>
      <c r="J21" s="6"/>
      <c r="K21" s="6"/>
      <c r="L21" s="6"/>
      <c r="M21" s="6"/>
      <c r="N21" s="6"/>
    </row>
    <row r="22" spans="1:14" ht="50" customHeight="1">
      <c r="A22" s="6"/>
      <c r="B22" s="1940" t="s">
        <v>1309</v>
      </c>
      <c r="C22" s="1940"/>
      <c r="D22" s="1940"/>
      <c r="E22" s="1940"/>
      <c r="F22" s="1940"/>
      <c r="G22" s="1940"/>
      <c r="H22" s="1940"/>
      <c r="I22" s="6"/>
      <c r="J22" s="6"/>
      <c r="K22" s="6"/>
      <c r="L22" s="6"/>
      <c r="M22" s="6"/>
      <c r="N22" s="6"/>
    </row>
    <row r="23" spans="1:14" ht="27" customHeight="1">
      <c r="A23" s="6"/>
      <c r="B23" s="378"/>
      <c r="D23" s="6"/>
      <c r="E23" s="6"/>
      <c r="F23" s="6"/>
      <c r="G23" s="6"/>
      <c r="H23" s="6"/>
      <c r="I23" s="6"/>
      <c r="J23" s="6"/>
      <c r="K23" s="6"/>
      <c r="L23" s="6"/>
      <c r="M23" s="6"/>
      <c r="N23" s="6"/>
    </row>
    <row r="24" spans="1:14" ht="27" customHeight="1">
      <c r="A24" s="6"/>
      <c r="B24" s="379" t="s">
        <v>747</v>
      </c>
      <c r="D24" s="6"/>
      <c r="E24" s="6"/>
      <c r="F24" s="6"/>
      <c r="G24" s="6"/>
      <c r="H24" s="6"/>
      <c r="I24" s="6"/>
      <c r="J24" s="6"/>
      <c r="K24" s="6"/>
      <c r="L24" s="6"/>
      <c r="M24" s="6"/>
      <c r="N24" s="6"/>
    </row>
    <row r="25" spans="1:14" ht="27" customHeight="1">
      <c r="A25" s="6"/>
      <c r="B25" s="11" t="s">
        <v>748</v>
      </c>
      <c r="F25" s="6"/>
      <c r="G25" s="6"/>
      <c r="H25" s="6"/>
      <c r="I25" s="6"/>
      <c r="J25" s="6"/>
      <c r="K25" s="6"/>
      <c r="L25" s="6"/>
      <c r="N25" s="6"/>
    </row>
    <row r="26" spans="1:14" ht="27" customHeight="1">
      <c r="A26" s="6"/>
      <c r="B26" s="1199" t="s">
        <v>265</v>
      </c>
      <c r="F26" s="6"/>
      <c r="G26" s="6"/>
      <c r="H26" s="6"/>
      <c r="I26" s="6"/>
      <c r="J26" s="6"/>
      <c r="K26" s="6"/>
      <c r="L26" s="6"/>
      <c r="N26" s="6"/>
    </row>
    <row r="27" spans="1:14" ht="27" customHeight="1">
      <c r="A27" s="6"/>
      <c r="B27" s="10" t="s">
        <v>751</v>
      </c>
      <c r="F27" s="6"/>
      <c r="G27" s="6"/>
      <c r="H27" s="6"/>
      <c r="I27" s="6"/>
      <c r="J27" s="6"/>
      <c r="K27" s="6"/>
      <c r="L27" s="6"/>
      <c r="N27" s="6"/>
    </row>
    <row r="28" spans="1:14" ht="27" customHeight="1">
      <c r="A28" s="6"/>
      <c r="B28" s="41" t="s">
        <v>643</v>
      </c>
      <c r="C28" s="41" t="s">
        <v>17</v>
      </c>
      <c r="D28" s="41" t="s">
        <v>18</v>
      </c>
      <c r="E28" s="1929" t="s">
        <v>26</v>
      </c>
      <c r="F28" s="1929"/>
      <c r="G28" s="1929"/>
      <c r="H28" s="6"/>
      <c r="I28" s="6"/>
      <c r="J28" s="6"/>
      <c r="K28" s="6"/>
      <c r="L28" s="6"/>
      <c r="N28" s="6"/>
    </row>
    <row r="29" spans="1:14" ht="27" customHeight="1">
      <c r="A29" s="6"/>
      <c r="B29" s="145" t="s">
        <v>120</v>
      </c>
      <c r="C29" s="75">
        <f>'ANNEXE A'!E4</f>
        <v>30435</v>
      </c>
      <c r="D29" s="146"/>
      <c r="E29" s="1934" t="s">
        <v>1791</v>
      </c>
      <c r="F29" s="1948"/>
      <c r="G29" s="1935"/>
      <c r="H29" s="6"/>
      <c r="I29" s="6"/>
      <c r="J29" s="6"/>
      <c r="K29" s="6"/>
      <c r="L29" s="6"/>
      <c r="M29" s="39"/>
      <c r="N29" s="6"/>
    </row>
    <row r="30" spans="1:14" ht="27" customHeight="1">
      <c r="A30" s="6"/>
      <c r="B30" s="147" t="s">
        <v>214</v>
      </c>
      <c r="C30" s="148">
        <f>'ANNEXE A'!E5</f>
        <v>24266</v>
      </c>
      <c r="D30" s="149"/>
      <c r="E30" s="1936"/>
      <c r="F30" s="1949"/>
      <c r="G30" s="1937"/>
      <c r="H30" s="6"/>
      <c r="I30" s="6"/>
      <c r="J30" s="6"/>
      <c r="K30" s="6"/>
      <c r="L30" s="6"/>
      <c r="N30" s="102"/>
    </row>
    <row r="31" spans="1:14" ht="27" customHeight="1">
      <c r="A31" s="6"/>
      <c r="B31" s="150" t="s">
        <v>122</v>
      </c>
      <c r="C31" s="75">
        <f>'ANNEXE A'!E6</f>
        <v>2932605</v>
      </c>
      <c r="D31" s="40"/>
      <c r="E31" s="1938"/>
      <c r="F31" s="1950"/>
      <c r="G31" s="1939"/>
      <c r="H31" s="6"/>
      <c r="I31" s="6"/>
      <c r="J31" s="6"/>
      <c r="K31" s="6"/>
      <c r="L31" s="6"/>
      <c r="N31" s="6"/>
    </row>
    <row r="32" spans="1:14" ht="30" customHeight="1">
      <c r="A32" s="6"/>
      <c r="B32" s="151" t="s">
        <v>121</v>
      </c>
      <c r="C32" s="75">
        <f>C136</f>
        <v>1.0148253369343607</v>
      </c>
      <c r="D32" s="17" t="s">
        <v>730</v>
      </c>
      <c r="E32" s="1925" t="s">
        <v>743</v>
      </c>
      <c r="F32" s="1951"/>
      <c r="G32" s="1926"/>
      <c r="H32" s="6"/>
      <c r="I32" s="6"/>
      <c r="J32" s="6"/>
      <c r="K32" s="6"/>
      <c r="L32" s="6"/>
      <c r="N32" s="6"/>
    </row>
    <row r="33" spans="1:14" ht="30" customHeight="1">
      <c r="A33" s="6"/>
      <c r="B33" s="151" t="s">
        <v>728</v>
      </c>
      <c r="C33" s="75">
        <v>50</v>
      </c>
      <c r="D33" s="34" t="s">
        <v>729</v>
      </c>
      <c r="E33" s="1927"/>
      <c r="F33" s="1952"/>
      <c r="G33" s="1928"/>
      <c r="H33" s="6"/>
      <c r="I33" s="6"/>
      <c r="J33" s="6"/>
      <c r="K33" s="6"/>
      <c r="L33" s="6"/>
      <c r="N33" s="6"/>
    </row>
    <row r="34" spans="1:14" ht="27" customHeight="1">
      <c r="A34" s="6"/>
      <c r="B34" s="84" t="s">
        <v>0</v>
      </c>
      <c r="C34" s="83">
        <f>C31*C32/C33</f>
        <v>59521.637144407818</v>
      </c>
      <c r="D34" s="42" t="s">
        <v>123</v>
      </c>
      <c r="E34" s="1911"/>
      <c r="F34" s="1911"/>
      <c r="G34" s="1911"/>
      <c r="H34" s="6"/>
      <c r="I34" s="6"/>
      <c r="J34" s="6"/>
      <c r="K34" s="6"/>
      <c r="L34" s="6"/>
      <c r="M34" s="39"/>
      <c r="N34" s="6"/>
    </row>
    <row r="35" spans="1:14" ht="27" customHeight="1">
      <c r="B35" s="33" t="s">
        <v>1732</v>
      </c>
      <c r="C35" s="1858">
        <f>C34/SUM($F$69,$G$60,$G$51,$C$34)</f>
        <v>0.17351911535441147</v>
      </c>
      <c r="D35"/>
    </row>
    <row r="36" spans="1:14" ht="27" customHeight="1">
      <c r="C36" s="1827"/>
    </row>
    <row r="37" spans="1:14" ht="27" customHeight="1">
      <c r="B37" s="11" t="s">
        <v>749</v>
      </c>
      <c r="H37" s="103"/>
    </row>
    <row r="38" spans="1:14" ht="27" customHeight="1">
      <c r="B38" s="1199" t="s">
        <v>265</v>
      </c>
      <c r="H38" s="103"/>
    </row>
    <row r="39" spans="1:14" ht="27" customHeight="1">
      <c r="B39" s="10" t="s">
        <v>744</v>
      </c>
      <c r="H39" s="103"/>
    </row>
    <row r="40" spans="1:14" ht="27" customHeight="1">
      <c r="B40" s="152" t="s">
        <v>1312</v>
      </c>
      <c r="H40" s="103"/>
    </row>
    <row r="41" spans="1:14" ht="50" customHeight="1">
      <c r="B41" s="24" t="s">
        <v>14</v>
      </c>
      <c r="C41" s="24" t="s">
        <v>127</v>
      </c>
      <c r="D41" s="26" t="s">
        <v>53</v>
      </c>
      <c r="E41" s="25" t="s">
        <v>124</v>
      </c>
      <c r="F41" s="41" t="s">
        <v>126</v>
      </c>
      <c r="G41" s="153" t="s">
        <v>54</v>
      </c>
      <c r="H41" s="1960" t="s">
        <v>52</v>
      </c>
      <c r="I41" s="1960"/>
      <c r="J41"/>
    </row>
    <row r="42" spans="1:14" ht="30" customHeight="1">
      <c r="A42"/>
      <c r="B42" s="108" t="s">
        <v>125</v>
      </c>
      <c r="C42" s="254">
        <v>9</v>
      </c>
      <c r="D42" s="63">
        <f t="shared" ref="D42:D50" si="0">$C$116</f>
        <v>506</v>
      </c>
      <c r="E42" s="62">
        <v>50</v>
      </c>
      <c r="F42" s="110">
        <f>'ANNEXE A'!E7</f>
        <v>35750</v>
      </c>
      <c r="G42" s="61">
        <f>C42*D42/E42*F42/1000</f>
        <v>3256.11</v>
      </c>
      <c r="H42" s="1943" t="s">
        <v>1313</v>
      </c>
      <c r="I42" s="1943"/>
      <c r="J42"/>
    </row>
    <row r="43" spans="1:14" ht="30" customHeight="1">
      <c r="A43"/>
      <c r="B43" s="108" t="s">
        <v>205</v>
      </c>
      <c r="C43" s="255">
        <v>20</v>
      </c>
      <c r="D43" s="63">
        <f t="shared" si="0"/>
        <v>506</v>
      </c>
      <c r="E43" s="62">
        <v>50</v>
      </c>
      <c r="F43" s="110">
        <f>'ANNEXE A'!E8</f>
        <v>98492</v>
      </c>
      <c r="G43" s="61">
        <f t="shared" ref="G43:G50" si="1">C43*D43/E43*F43/1000</f>
        <v>19934.7808</v>
      </c>
      <c r="H43" s="1943" t="s">
        <v>1314</v>
      </c>
      <c r="I43" s="1943"/>
      <c r="J43"/>
      <c r="K43"/>
    </row>
    <row r="44" spans="1:14" ht="30" customHeight="1">
      <c r="A44"/>
      <c r="B44" s="34" t="s">
        <v>306</v>
      </c>
      <c r="C44" s="255">
        <v>20</v>
      </c>
      <c r="D44" s="63">
        <f t="shared" si="0"/>
        <v>506</v>
      </c>
      <c r="E44" s="62">
        <v>50</v>
      </c>
      <c r="F44" s="110">
        <f>'ANNEXE A'!E10</f>
        <v>7970</v>
      </c>
      <c r="G44" s="61">
        <f t="shared" si="1"/>
        <v>1613.1279999999999</v>
      </c>
      <c r="H44" s="1942" t="s">
        <v>1315</v>
      </c>
      <c r="I44" s="1942"/>
      <c r="J44"/>
      <c r="K44"/>
    </row>
    <row r="45" spans="1:14" ht="27" customHeight="1">
      <c r="A45"/>
      <c r="B45" s="34" t="s">
        <v>167</v>
      </c>
      <c r="C45" s="255">
        <v>20</v>
      </c>
      <c r="D45" s="63">
        <f t="shared" si="0"/>
        <v>506</v>
      </c>
      <c r="E45" s="62">
        <v>50</v>
      </c>
      <c r="F45" s="110">
        <f>'ANNEXE A'!E11</f>
        <v>187</v>
      </c>
      <c r="G45" s="61">
        <f t="shared" si="1"/>
        <v>37.848800000000004</v>
      </c>
      <c r="H45" s="1942" t="s">
        <v>1316</v>
      </c>
      <c r="I45" s="1942"/>
      <c r="J45"/>
      <c r="K45"/>
    </row>
    <row r="46" spans="1:14" ht="27" customHeight="1">
      <c r="A46"/>
      <c r="B46" s="109" t="s">
        <v>305</v>
      </c>
      <c r="C46" s="255">
        <v>20</v>
      </c>
      <c r="D46" s="63">
        <f t="shared" si="0"/>
        <v>506</v>
      </c>
      <c r="E46" s="62">
        <v>50</v>
      </c>
      <c r="F46" s="110">
        <f>'ANNEXE A'!E12</f>
        <v>9766</v>
      </c>
      <c r="G46" s="61">
        <f t="shared" si="1"/>
        <v>1976.6384</v>
      </c>
      <c r="H46" s="1942"/>
      <c r="I46" s="1942"/>
      <c r="J46"/>
      <c r="K46"/>
    </row>
    <row r="47" spans="1:14" ht="27" customHeight="1">
      <c r="A47"/>
      <c r="B47" s="34" t="s">
        <v>169</v>
      </c>
      <c r="C47" s="255">
        <v>20</v>
      </c>
      <c r="D47" s="63">
        <f t="shared" si="0"/>
        <v>506</v>
      </c>
      <c r="E47" s="62">
        <v>50</v>
      </c>
      <c r="F47" s="110">
        <f>'ANNEXE A'!E13</f>
        <v>5126</v>
      </c>
      <c r="G47" s="61">
        <f t="shared" si="1"/>
        <v>1037.5024000000001</v>
      </c>
      <c r="H47" s="1942"/>
      <c r="I47" s="1942"/>
      <c r="J47"/>
      <c r="K47"/>
    </row>
    <row r="48" spans="1:14" ht="27" customHeight="1">
      <c r="A48"/>
      <c r="B48" s="34" t="s">
        <v>170</v>
      </c>
      <c r="C48" s="255">
        <v>20</v>
      </c>
      <c r="D48" s="63">
        <f t="shared" si="0"/>
        <v>506</v>
      </c>
      <c r="E48" s="62">
        <v>50</v>
      </c>
      <c r="F48" s="110">
        <f>'ANNEXE A'!E14</f>
        <v>584</v>
      </c>
      <c r="G48" s="61">
        <f t="shared" si="1"/>
        <v>118.2016</v>
      </c>
      <c r="H48" s="1942"/>
      <c r="I48" s="1942"/>
      <c r="J48"/>
      <c r="K48"/>
    </row>
    <row r="49" spans="1:13" ht="27" customHeight="1">
      <c r="A49"/>
      <c r="B49" s="34" t="s">
        <v>171</v>
      </c>
      <c r="C49" s="255">
        <v>20</v>
      </c>
      <c r="D49" s="63">
        <f t="shared" si="0"/>
        <v>506</v>
      </c>
      <c r="E49" s="62">
        <v>50</v>
      </c>
      <c r="F49" s="110">
        <f>'ANNEXE A'!E15</f>
        <v>2879</v>
      </c>
      <c r="G49" s="61">
        <f t="shared" si="1"/>
        <v>582.70960000000002</v>
      </c>
      <c r="H49" s="1942"/>
      <c r="I49" s="1942"/>
      <c r="J49"/>
      <c r="K49"/>
    </row>
    <row r="50" spans="1:13" ht="27" customHeight="1">
      <c r="A50"/>
      <c r="B50" s="34" t="s">
        <v>307</v>
      </c>
      <c r="C50" s="1892">
        <v>20</v>
      </c>
      <c r="D50" s="63">
        <f t="shared" si="0"/>
        <v>506</v>
      </c>
      <c r="E50" s="62">
        <v>50</v>
      </c>
      <c r="F50" s="110">
        <f>'ANNEXE A'!E16</f>
        <v>6003</v>
      </c>
      <c r="G50" s="61">
        <f t="shared" si="1"/>
        <v>1215.0072</v>
      </c>
      <c r="H50" s="1942"/>
      <c r="I50" s="1942"/>
      <c r="J50"/>
      <c r="K50"/>
    </row>
    <row r="51" spans="1:13" ht="27" customHeight="1">
      <c r="B51" s="10"/>
      <c r="C51" s="10"/>
      <c r="D51" s="10"/>
      <c r="E51" s="10"/>
      <c r="F51" s="86" t="s">
        <v>0</v>
      </c>
      <c r="G51" s="89">
        <f>SUM(G42:G50)</f>
        <v>29771.926800000001</v>
      </c>
      <c r="H51" s="1941" t="s">
        <v>123</v>
      </c>
      <c r="I51" s="1941"/>
      <c r="J51"/>
      <c r="K51"/>
    </row>
    <row r="52" spans="1:13" ht="27" customHeight="1">
      <c r="B52" s="10"/>
      <c r="C52" s="10"/>
      <c r="D52" s="10"/>
      <c r="E52" s="10"/>
      <c r="F52" s="92" t="s">
        <v>745</v>
      </c>
      <c r="G52" s="1679">
        <f>SUM(C42:C50)*SUM(F42:F50)</f>
        <v>28181933</v>
      </c>
      <c r="H52" s="1913" t="s">
        <v>746</v>
      </c>
      <c r="I52" s="1913"/>
      <c r="J52"/>
      <c r="K52"/>
    </row>
    <row r="53" spans="1:13" ht="27" customHeight="1">
      <c r="B53" s="10"/>
      <c r="C53" s="10"/>
      <c r="D53" s="10"/>
      <c r="E53" s="10"/>
      <c r="F53" s="33" t="s">
        <v>1733</v>
      </c>
      <c r="G53" s="1858">
        <f>G51/SUM($F$69,$G$60,$G$51,$C$34)</f>
        <v>8.6791940688708866E-2</v>
      </c>
      <c r="H53" s="880"/>
      <c r="I53" s="880"/>
      <c r="J53"/>
      <c r="K53"/>
    </row>
    <row r="54" spans="1:13" ht="32" customHeight="1">
      <c r="B54" s="11" t="s">
        <v>750</v>
      </c>
      <c r="E54" s="10"/>
      <c r="J54"/>
      <c r="K54"/>
    </row>
    <row r="55" spans="1:13" ht="32" customHeight="1">
      <c r="B55" s="1199" t="s">
        <v>265</v>
      </c>
      <c r="J55"/>
      <c r="K55"/>
    </row>
    <row r="56" spans="1:13" ht="32" customHeight="1">
      <c r="B56" s="10" t="s">
        <v>752</v>
      </c>
      <c r="J56"/>
      <c r="K56"/>
    </row>
    <row r="57" spans="1:13" ht="27" customHeight="1">
      <c r="A57"/>
      <c r="B57" s="88" t="s">
        <v>14</v>
      </c>
      <c r="C57" s="88" t="s">
        <v>130</v>
      </c>
      <c r="D57" s="88" t="s">
        <v>131</v>
      </c>
      <c r="E57" s="26" t="s">
        <v>316</v>
      </c>
      <c r="F57" s="88" t="s">
        <v>132</v>
      </c>
      <c r="G57" s="164" t="s">
        <v>54</v>
      </c>
      <c r="H57" s="1960" t="s">
        <v>52</v>
      </c>
      <c r="I57" s="1960"/>
      <c r="J57"/>
    </row>
    <row r="58" spans="1:13" ht="27" customHeight="1">
      <c r="A58"/>
      <c r="B58" s="75" t="s">
        <v>128</v>
      </c>
      <c r="C58" s="99">
        <f>C30*10</f>
        <v>242660</v>
      </c>
      <c r="D58" s="75">
        <f>C58*21.25</f>
        <v>5156525</v>
      </c>
      <c r="E58" s="34">
        <f>$C$115</f>
        <v>73</v>
      </c>
      <c r="F58" s="75">
        <v>30</v>
      </c>
      <c r="G58" s="165">
        <f>D58*E58/1000/F58*(1-33%)</f>
        <v>8406.8545916666662</v>
      </c>
      <c r="H58" s="1942" t="s">
        <v>1317</v>
      </c>
      <c r="I58" s="1942"/>
      <c r="J58"/>
    </row>
    <row r="59" spans="1:13" ht="27" customHeight="1">
      <c r="A59"/>
      <c r="B59" s="75" t="s">
        <v>129</v>
      </c>
      <c r="C59" s="99">
        <f>C31*5%</f>
        <v>146630.25</v>
      </c>
      <c r="D59" s="75">
        <f>C59*21.25</f>
        <v>3115892.8125</v>
      </c>
      <c r="E59" s="34">
        <f>$C$115</f>
        <v>73</v>
      </c>
      <c r="F59" s="75">
        <v>30</v>
      </c>
      <c r="G59" s="165">
        <f>D59*E59/1000/F59</f>
        <v>7582.0058437500002</v>
      </c>
      <c r="H59" s="1942" t="s">
        <v>1318</v>
      </c>
      <c r="I59" s="1942"/>
      <c r="J59"/>
    </row>
    <row r="60" spans="1:13" ht="27" customHeight="1">
      <c r="B60" s="10"/>
      <c r="C60" s="10"/>
      <c r="D60" s="10"/>
      <c r="E60" s="10"/>
      <c r="F60" s="87" t="s">
        <v>0</v>
      </c>
      <c r="G60" s="89">
        <f>SUM(G58:G59)</f>
        <v>15988.860435416667</v>
      </c>
      <c r="H60" s="1941" t="s">
        <v>123</v>
      </c>
      <c r="I60" s="1941"/>
    </row>
    <row r="61" spans="1:13" ht="27" customHeight="1">
      <c r="F61" s="33" t="s">
        <v>1732</v>
      </c>
      <c r="G61" s="1858">
        <f>G60/SUM($F$69,$G$60,$G$51,$C$34)</f>
        <v>4.6611166146986738E-2</v>
      </c>
      <c r="H61" s="103"/>
    </row>
    <row r="62" spans="1:13" ht="27" customHeight="1">
      <c r="B62" s="11" t="s">
        <v>727</v>
      </c>
    </row>
    <row r="63" spans="1:13" customFormat="1" ht="30" customHeight="1">
      <c r="B63" s="88" t="s">
        <v>317</v>
      </c>
      <c r="C63" s="24" t="s">
        <v>292</v>
      </c>
      <c r="D63" s="184" t="s">
        <v>53</v>
      </c>
      <c r="E63" s="41" t="s">
        <v>126</v>
      </c>
      <c r="F63" s="153" t="s">
        <v>54</v>
      </c>
      <c r="G63" s="1932" t="s">
        <v>52</v>
      </c>
      <c r="H63" s="1933"/>
      <c r="I63" s="5"/>
      <c r="J63" s="209"/>
      <c r="K63" s="5"/>
      <c r="L63" s="5"/>
      <c r="M63" s="5"/>
    </row>
    <row r="64" spans="1:13" ht="26" customHeight="1">
      <c r="A64"/>
      <c r="B64" s="34" t="s">
        <v>287</v>
      </c>
      <c r="C64" s="75">
        <f>$G$98</f>
        <v>8541</v>
      </c>
      <c r="D64" s="1059">
        <f>$C$118</f>
        <v>0.93665847090504628</v>
      </c>
      <c r="E64" s="110">
        <f>E103</f>
        <v>22152.857142857141</v>
      </c>
      <c r="F64" s="1060">
        <f>C64*D64*E64/1000</f>
        <v>177222.85714285713</v>
      </c>
      <c r="G64" s="1934" t="s">
        <v>302</v>
      </c>
      <c r="H64" s="1935"/>
    </row>
    <row r="65" spans="1:8" ht="20" customHeight="1">
      <c r="A65"/>
      <c r="B65" s="34" t="s">
        <v>289</v>
      </c>
      <c r="C65" s="75">
        <f>$G$98</f>
        <v>8541</v>
      </c>
      <c r="D65" s="1061">
        <f>$C$119</f>
        <v>0.64395269874721928</v>
      </c>
      <c r="E65" s="110">
        <f>E104</f>
        <v>2104.2857142857142</v>
      </c>
      <c r="F65" s="1060">
        <f>C65*D65*E65/1000</f>
        <v>11573.571428571429</v>
      </c>
      <c r="G65" s="1936"/>
      <c r="H65" s="1937"/>
    </row>
    <row r="66" spans="1:8" ht="20" customHeight="1">
      <c r="A66"/>
      <c r="B66" s="34" t="s">
        <v>291</v>
      </c>
      <c r="C66" s="75">
        <f>$G$98</f>
        <v>8541</v>
      </c>
      <c r="D66" s="1061">
        <f>$C$120</f>
        <v>0.4</v>
      </c>
      <c r="E66" s="110">
        <f>E105</f>
        <v>2118</v>
      </c>
      <c r="F66" s="1060">
        <f>C66*D66*E66/1000</f>
        <v>7235.9351999999999</v>
      </c>
      <c r="G66" s="1936"/>
      <c r="H66" s="1937"/>
    </row>
    <row r="67" spans="1:8" ht="20" customHeight="1">
      <c r="A67"/>
      <c r="B67" s="34" t="s">
        <v>288</v>
      </c>
      <c r="C67" s="75">
        <f>$G$99</f>
        <v>11322</v>
      </c>
      <c r="D67" s="1059">
        <f>$C$118</f>
        <v>0.93665847090504628</v>
      </c>
      <c r="E67" s="110">
        <f>F103</f>
        <v>3692.1428571428569</v>
      </c>
      <c r="F67" s="1060">
        <f>C67*D67*E67/1000</f>
        <v>39154.61086858347</v>
      </c>
      <c r="G67" s="1936"/>
      <c r="H67" s="1937"/>
    </row>
    <row r="68" spans="1:8" ht="20" customHeight="1">
      <c r="A68"/>
      <c r="B68" s="34" t="s">
        <v>290</v>
      </c>
      <c r="C68" s="75">
        <f>$G$99</f>
        <v>11322</v>
      </c>
      <c r="D68" s="1061">
        <f>$C$119</f>
        <v>0.64395269874721928</v>
      </c>
      <c r="E68" s="110">
        <f>F104</f>
        <v>350.71428571428572</v>
      </c>
      <c r="F68" s="1060">
        <f>C68*D68*E68/1000</f>
        <v>2556.9990967936169</v>
      </c>
      <c r="G68" s="1938"/>
      <c r="H68" s="1939"/>
    </row>
    <row r="69" spans="1:8" ht="20" customHeight="1">
      <c r="B69" s="10"/>
      <c r="C69" s="10"/>
      <c r="D69" s="10"/>
      <c r="E69" s="180" t="s">
        <v>0</v>
      </c>
      <c r="F69" s="89">
        <f>SUM(F64:F68)</f>
        <v>237743.97373680564</v>
      </c>
      <c r="G69" s="1961" t="s">
        <v>123</v>
      </c>
      <c r="H69" s="1962"/>
    </row>
    <row r="70" spans="1:8" ht="20" customHeight="1">
      <c r="E70" s="33" t="s">
        <v>1732</v>
      </c>
      <c r="F70" s="1858">
        <f>F69/SUM($F$69,$G$60,$G$51,$C$34)</f>
        <v>0.69307777780989288</v>
      </c>
    </row>
    <row r="71" spans="1:8" ht="20" customHeight="1"/>
    <row r="72" spans="1:8" ht="20" customHeight="1"/>
    <row r="73" spans="1:8" ht="20" customHeight="1">
      <c r="B73" s="379" t="s">
        <v>1334</v>
      </c>
    </row>
    <row r="74" spans="1:8" ht="20" customHeight="1">
      <c r="B74" s="379"/>
    </row>
    <row r="75" spans="1:8" ht="20" customHeight="1">
      <c r="B75" s="1199" t="s">
        <v>265</v>
      </c>
    </row>
    <row r="76" spans="1:8" ht="20" customHeight="1">
      <c r="B76" s="10" t="s">
        <v>1734</v>
      </c>
    </row>
    <row r="77" spans="1:8" ht="20" customHeight="1">
      <c r="A77"/>
      <c r="B77" s="1930" t="s">
        <v>303</v>
      </c>
      <c r="C77" s="1931"/>
      <c r="D77" s="45">
        <v>34082</v>
      </c>
      <c r="E77" s="34" t="s">
        <v>123</v>
      </c>
    </row>
    <row r="78" spans="1:8" ht="20" customHeight="1">
      <c r="B78" s="208"/>
      <c r="C78" s="208"/>
      <c r="D78" s="140"/>
      <c r="E78" s="10"/>
    </row>
    <row r="79" spans="1:8" ht="20" customHeight="1">
      <c r="B79" s="152"/>
    </row>
    <row r="80" spans="1:8" ht="26" customHeight="1">
      <c r="B80" s="379"/>
    </row>
    <row r="81" spans="2:9" ht="26" customHeight="1" thickBot="1">
      <c r="B81" s="379"/>
    </row>
    <row r="82" spans="2:9" ht="26" customHeight="1" thickBot="1">
      <c r="B82" s="1073" t="s">
        <v>600</v>
      </c>
      <c r="C82" s="1074">
        <f>F69+G60+G51+C34-D77</f>
        <v>308944.39811663015</v>
      </c>
      <c r="D82" s="1075" t="s">
        <v>123</v>
      </c>
    </row>
    <row r="83" spans="2:9" customFormat="1" ht="26" customHeight="1">
      <c r="H83" s="10"/>
    </row>
    <row r="84" spans="2:9" customFormat="1" ht="26" customHeight="1">
      <c r="H84" s="10"/>
    </row>
    <row r="85" spans="2:9" ht="20" customHeight="1"/>
    <row r="86" spans="2:9" ht="20" customHeight="1">
      <c r="B86" s="378" t="s">
        <v>431</v>
      </c>
    </row>
    <row r="87" spans="2:9" ht="20" hidden="1" customHeight="1" outlineLevel="1">
      <c r="B87" s="10"/>
    </row>
    <row r="88" spans="2:9" ht="20" hidden="1" customHeight="1" outlineLevel="1">
      <c r="B88" s="383" t="s">
        <v>731</v>
      </c>
    </row>
    <row r="89" spans="2:9" ht="20" hidden="1" customHeight="1" outlineLevel="1"/>
    <row r="90" spans="2:9" ht="20" hidden="1" customHeight="1" outlineLevel="1">
      <c r="B90" s="66" t="s">
        <v>277</v>
      </c>
    </row>
    <row r="91" spans="2:9" ht="20" hidden="1" customHeight="1" outlineLevel="1">
      <c r="B91" s="64" t="s">
        <v>148</v>
      </c>
      <c r="C91" s="47">
        <v>1</v>
      </c>
      <c r="D91" s="47">
        <v>2</v>
      </c>
      <c r="E91" s="47">
        <v>3</v>
      </c>
      <c r="F91" s="47">
        <v>4</v>
      </c>
      <c r="G91" s="47">
        <v>5</v>
      </c>
      <c r="H91" s="47" t="s">
        <v>26</v>
      </c>
    </row>
    <row r="92" spans="2:9" ht="20" hidden="1" customHeight="1" outlineLevel="1">
      <c r="B92" s="56" t="s">
        <v>154</v>
      </c>
      <c r="C92" s="18" t="s">
        <v>149</v>
      </c>
      <c r="D92" s="18" t="s">
        <v>150</v>
      </c>
      <c r="E92" s="18" t="s">
        <v>151</v>
      </c>
      <c r="F92" s="18" t="s">
        <v>152</v>
      </c>
      <c r="G92" s="93" t="s">
        <v>153</v>
      </c>
      <c r="H92" s="92" t="s">
        <v>159</v>
      </c>
    </row>
    <row r="93" spans="2:9" ht="20" hidden="1" customHeight="1" outlineLevel="1">
      <c r="B93" s="56" t="s">
        <v>118</v>
      </c>
      <c r="C93" s="18">
        <f>'ANNEXE A'!E35</f>
        <v>833</v>
      </c>
      <c r="D93" s="18">
        <f>'ANNEXE A'!E36</f>
        <v>871</v>
      </c>
      <c r="E93" s="18">
        <f>'ANNEXE A'!E37</f>
        <v>1239</v>
      </c>
      <c r="F93" s="18">
        <f>'ANNEXE A'!E38</f>
        <v>916</v>
      </c>
      <c r="G93" s="18">
        <f>'ANNEXE A'!E4-'ANNEXE A'!E39</f>
        <v>23584</v>
      </c>
      <c r="H93" s="85" t="s">
        <v>119</v>
      </c>
    </row>
    <row r="94" spans="2:9" ht="20" hidden="1" customHeight="1" outlineLevel="1">
      <c r="B94" s="56" t="s">
        <v>118</v>
      </c>
      <c r="C94" s="111">
        <f>C93/SUM($C$93:$G$93)</f>
        <v>3.0353824290347265E-2</v>
      </c>
      <c r="D94" s="111">
        <f>D93/SUM($C$93:$G$93)</f>
        <v>3.1738512553292277E-2</v>
      </c>
      <c r="E94" s="111">
        <f>E93/SUM($C$93:$G$93)</f>
        <v>4.5148125204970302E-2</v>
      </c>
      <c r="F94" s="111">
        <f>F93/SUM($C$93:$G$93)</f>
        <v>3.3378274969937692E-2</v>
      </c>
      <c r="G94" s="111">
        <f>G93/SUM($C$93:$G$93)</f>
        <v>0.85938126298145245</v>
      </c>
      <c r="H94" s="85" t="s">
        <v>119</v>
      </c>
      <c r="I94" s="30"/>
    </row>
    <row r="95" spans="2:9" ht="20" hidden="1" customHeight="1" outlineLevel="1">
      <c r="B95" s="71"/>
      <c r="C95" s="181"/>
      <c r="D95" s="181"/>
      <c r="E95" s="181"/>
      <c r="F95" s="181"/>
      <c r="G95" s="181"/>
      <c r="H95" s="182"/>
      <c r="I95" s="30"/>
    </row>
    <row r="96" spans="2:9" ht="20" hidden="1" customHeight="1" outlineLevel="1">
      <c r="B96" s="66" t="s">
        <v>284</v>
      </c>
      <c r="C96" s="181"/>
      <c r="D96" s="181"/>
      <c r="E96" s="181"/>
      <c r="F96" s="181"/>
      <c r="G96" s="181"/>
      <c r="H96" s="182"/>
      <c r="I96" s="30"/>
    </row>
    <row r="97" spans="1:9" s="10" customFormat="1" ht="29" hidden="1" customHeight="1" outlineLevel="1">
      <c r="B97" s="112" t="s">
        <v>278</v>
      </c>
      <c r="C97" s="41" t="s">
        <v>279</v>
      </c>
      <c r="D97" s="41" t="s">
        <v>280</v>
      </c>
      <c r="E97" s="41" t="s">
        <v>281</v>
      </c>
      <c r="F97" s="41" t="s">
        <v>282</v>
      </c>
      <c r="G97" s="41" t="s">
        <v>283</v>
      </c>
      <c r="H97" s="47" t="s">
        <v>26</v>
      </c>
      <c r="I97" s="30"/>
    </row>
    <row r="98" spans="1:9" s="10" customFormat="1" ht="29" hidden="1" customHeight="1" outlineLevel="1">
      <c r="B98" s="56" t="s">
        <v>155</v>
      </c>
      <c r="C98" s="45">
        <v>105</v>
      </c>
      <c r="D98" s="45">
        <v>68</v>
      </c>
      <c r="E98" s="183">
        <v>2.5</v>
      </c>
      <c r="F98" s="45">
        <v>6</v>
      </c>
      <c r="G98" s="45">
        <f>(C98+2*F98)*(D98+2*E98)</f>
        <v>8541</v>
      </c>
      <c r="H98" s="92" t="s">
        <v>293</v>
      </c>
      <c r="I98" s="30"/>
    </row>
    <row r="99" spans="1:9" s="10" customFormat="1" ht="29" hidden="1" customHeight="1" outlineLevel="1">
      <c r="B99" s="56" t="s">
        <v>140</v>
      </c>
      <c r="C99" s="45">
        <v>105</v>
      </c>
      <c r="D99" s="45">
        <v>70</v>
      </c>
      <c r="E99" s="45">
        <v>2</v>
      </c>
      <c r="F99" s="45">
        <v>24</v>
      </c>
      <c r="G99" s="45">
        <f>(C99 + 2 * F99) * (D99 + 2 * E99)</f>
        <v>11322</v>
      </c>
      <c r="H99" s="92" t="s">
        <v>294</v>
      </c>
      <c r="I99" s="30"/>
    </row>
    <row r="100" spans="1:9" s="10" customFormat="1" ht="29" hidden="1" customHeight="1" outlineLevel="1">
      <c r="B100" s="71"/>
      <c r="C100" s="185"/>
      <c r="D100" s="185"/>
      <c r="E100" s="185"/>
      <c r="F100" s="185"/>
      <c r="G100" s="185"/>
      <c r="H100" s="186"/>
      <c r="I100" s="30"/>
    </row>
    <row r="101" spans="1:9" s="10" customFormat="1" ht="25" hidden="1" customHeight="1" outlineLevel="1">
      <c r="B101" s="104" t="s">
        <v>296</v>
      </c>
      <c r="C101" s="185"/>
      <c r="D101" s="185"/>
      <c r="E101" s="185"/>
      <c r="F101" s="185"/>
      <c r="G101" s="185"/>
      <c r="H101" s="186"/>
      <c r="I101" s="30"/>
    </row>
    <row r="102" spans="1:9" s="10" customFormat="1" ht="25" hidden="1" customHeight="1" outlineLevel="1">
      <c r="A102" s="1870"/>
      <c r="B102" s="107" t="s">
        <v>298</v>
      </c>
      <c r="C102" s="184" t="s">
        <v>300</v>
      </c>
      <c r="D102" s="184" t="s">
        <v>297</v>
      </c>
      <c r="E102" s="184" t="s">
        <v>299</v>
      </c>
      <c r="F102" s="184" t="s">
        <v>301</v>
      </c>
      <c r="G102" s="1959" t="s">
        <v>26</v>
      </c>
      <c r="H102" s="1959"/>
      <c r="I102" s="30"/>
    </row>
    <row r="103" spans="1:9" s="10" customFormat="1" ht="25" hidden="1" customHeight="1" outlineLevel="1">
      <c r="A103" s="1870"/>
      <c r="B103" s="34" t="str">
        <f>'ANNEXE A'!C24</f>
        <v>Gazon naturel</v>
      </c>
      <c r="C103" s="94">
        <f>'ANNEXE A'!E24</f>
        <v>25845</v>
      </c>
      <c r="D103" s="111">
        <f>C103/$C$106</f>
        <v>0.84966138470642383</v>
      </c>
      <c r="E103" s="110">
        <f>'Fiche d''identité'!$C$12/'Fiche d''identité'!$C$14*C103</f>
        <v>22152.857142857141</v>
      </c>
      <c r="F103" s="110">
        <f>'Fiche d''identité'!$C$13/'Fiche d''identité'!$C$14*C103</f>
        <v>3692.1428571428569</v>
      </c>
      <c r="G103" s="1925" t="s">
        <v>1319</v>
      </c>
      <c r="H103" s="1926"/>
      <c r="I103" s="30"/>
    </row>
    <row r="104" spans="1:9" s="10" customFormat="1" ht="25" hidden="1" customHeight="1" outlineLevel="1">
      <c r="A104" s="1870"/>
      <c r="B104" s="34" t="str">
        <f>'ANNEXE A'!C25</f>
        <v>Gazon synthétique</v>
      </c>
      <c r="C104" s="94">
        <f>'ANNEXE A'!E25</f>
        <v>2455</v>
      </c>
      <c r="D104" s="111">
        <f t="shared" ref="D104:D105" si="2">C104/$C$106</f>
        <v>8.0708790847524498E-2</v>
      </c>
      <c r="E104" s="110">
        <f>'Fiche d''identité'!$C$12/'Fiche d''identité'!$C$14*C104</f>
        <v>2104.2857142857142</v>
      </c>
      <c r="F104" s="110">
        <f>'Fiche d''identité'!$C$13/'Fiche d''identité'!$C$14*C104</f>
        <v>350.71428571428572</v>
      </c>
      <c r="G104" s="1927"/>
      <c r="H104" s="1928"/>
      <c r="I104" s="30"/>
    </row>
    <row r="105" spans="1:9" s="10" customFormat="1" ht="32" hidden="1" customHeight="1" outlineLevel="1">
      <c r="A105" s="1870"/>
      <c r="B105" s="56" t="str">
        <f>'ANNEXE A'!C27</f>
        <v>Stabilisé/cendrée</v>
      </c>
      <c r="C105" s="110">
        <f>'ANNEXE A'!E27</f>
        <v>2118</v>
      </c>
      <c r="D105" s="111">
        <f t="shared" si="2"/>
        <v>6.9629824446051675E-2</v>
      </c>
      <c r="E105" s="110">
        <f>C105</f>
        <v>2118</v>
      </c>
      <c r="F105" s="110"/>
      <c r="G105" s="1911" t="s">
        <v>1320</v>
      </c>
      <c r="H105" s="1921"/>
      <c r="I105" s="30"/>
    </row>
    <row r="106" spans="1:9" s="10" customFormat="1" ht="29" hidden="1" customHeight="1" outlineLevel="1">
      <c r="A106" s="1870"/>
      <c r="B106" s="112" t="s">
        <v>0</v>
      </c>
      <c r="C106" s="184">
        <f>SUM(C103:C105)</f>
        <v>30418</v>
      </c>
      <c r="D106" s="216">
        <f>SUM(D103:D105)</f>
        <v>1</v>
      </c>
      <c r="E106" s="184">
        <f>SUM(E103:E105)</f>
        <v>26375.142857142855</v>
      </c>
      <c r="F106" s="184">
        <f>SUM(F103:F105)</f>
        <v>4042.8571428571427</v>
      </c>
      <c r="G106" s="1958"/>
      <c r="H106" s="1958"/>
      <c r="I106" s="30"/>
    </row>
    <row r="107" spans="1:9" ht="20" hidden="1" customHeight="1" outlineLevel="1">
      <c r="B107" s="71"/>
      <c r="F107" s="28"/>
      <c r="G107" s="28"/>
    </row>
    <row r="108" spans="1:9" ht="20" hidden="1" customHeight="1" outlineLevel="1">
      <c r="B108" s="383" t="s">
        <v>645</v>
      </c>
    </row>
    <row r="109" spans="1:9" ht="20" hidden="1" customHeight="1" outlineLevel="1"/>
    <row r="110" spans="1:9" ht="20" hidden="1" customHeight="1" outlineLevel="1">
      <c r="B110" s="19" t="s">
        <v>16</v>
      </c>
      <c r="C110" s="19" t="s">
        <v>17</v>
      </c>
      <c r="D110" s="19" t="s">
        <v>18</v>
      </c>
      <c r="E110" s="1957" t="s">
        <v>19</v>
      </c>
      <c r="F110" s="1957"/>
    </row>
    <row r="111" spans="1:9" ht="20" hidden="1" customHeight="1" outlineLevel="1">
      <c r="B111" s="22" t="s">
        <v>28</v>
      </c>
      <c r="C111" s="23">
        <v>155</v>
      </c>
      <c r="D111" s="20" t="s">
        <v>29</v>
      </c>
      <c r="E111" s="1945" t="s">
        <v>30</v>
      </c>
      <c r="F111" s="1945"/>
    </row>
    <row r="112" spans="1:9" ht="20" hidden="1" customHeight="1" outlineLevel="1">
      <c r="B112" s="22" t="s">
        <v>31</v>
      </c>
      <c r="C112" s="23">
        <v>88</v>
      </c>
      <c r="D112" s="20" t="s">
        <v>29</v>
      </c>
      <c r="E112" s="1945" t="s">
        <v>30</v>
      </c>
      <c r="F112" s="1945"/>
    </row>
    <row r="113" spans="1:11" ht="20" hidden="1" customHeight="1" outlineLevel="1">
      <c r="B113" s="20" t="s">
        <v>32</v>
      </c>
      <c r="C113" s="23">
        <v>2210</v>
      </c>
      <c r="D113" s="20" t="s">
        <v>29</v>
      </c>
      <c r="E113" s="1945" t="s">
        <v>30</v>
      </c>
      <c r="F113" s="1945"/>
    </row>
    <row r="114" spans="1:11" ht="20" hidden="1" customHeight="1" outlineLevel="1">
      <c r="B114" s="22" t="s">
        <v>33</v>
      </c>
      <c r="C114" s="23">
        <v>938</v>
      </c>
      <c r="D114" s="20" t="s">
        <v>29</v>
      </c>
      <c r="E114" s="1945" t="s">
        <v>30</v>
      </c>
      <c r="F114" s="1945"/>
    </row>
    <row r="115" spans="1:11" ht="20" hidden="1" customHeight="1" outlineLevel="1">
      <c r="B115" s="20" t="s">
        <v>34</v>
      </c>
      <c r="C115" s="21">
        <v>73</v>
      </c>
      <c r="D115" s="20" t="s">
        <v>35</v>
      </c>
      <c r="E115" s="1945" t="s">
        <v>30</v>
      </c>
      <c r="F115" s="1945"/>
    </row>
    <row r="116" spans="1:11" ht="20" hidden="1" customHeight="1" outlineLevel="1">
      <c r="B116" s="20" t="s">
        <v>36</v>
      </c>
      <c r="C116" s="21">
        <v>506</v>
      </c>
      <c r="D116" s="20" t="s">
        <v>35</v>
      </c>
      <c r="E116" s="1945" t="s">
        <v>30</v>
      </c>
      <c r="F116" s="1945"/>
    </row>
    <row r="117" spans="1:11" ht="20" hidden="1" customHeight="1" outlineLevel="1">
      <c r="B117" s="20" t="s">
        <v>37</v>
      </c>
      <c r="C117" s="23">
        <v>169</v>
      </c>
      <c r="D117" s="20" t="s">
        <v>35</v>
      </c>
      <c r="E117" s="1945" t="s">
        <v>30</v>
      </c>
      <c r="F117" s="1945"/>
      <c r="G117" s="252"/>
    </row>
    <row r="118" spans="1:11" ht="20" hidden="1" customHeight="1" outlineLevel="1">
      <c r="A118"/>
      <c r="B118" s="17" t="s">
        <v>275</v>
      </c>
      <c r="C118" s="1058">
        <f>80000/$G$98/10</f>
        <v>0.93665847090504628</v>
      </c>
      <c r="D118" s="17" t="s">
        <v>1765</v>
      </c>
      <c r="E118" s="1945" t="s">
        <v>286</v>
      </c>
      <c r="F118" s="1945"/>
    </row>
    <row r="119" spans="1:11" ht="20" hidden="1" customHeight="1" outlineLevel="1">
      <c r="A119"/>
      <c r="B119" s="17" t="s">
        <v>276</v>
      </c>
      <c r="C119" s="1058">
        <f>55*1000/$G$98/10</f>
        <v>0.64395269874721928</v>
      </c>
      <c r="D119" s="17" t="s">
        <v>1765</v>
      </c>
      <c r="E119" s="1945" t="s">
        <v>285</v>
      </c>
      <c r="F119" s="1945"/>
    </row>
    <row r="120" spans="1:11" ht="20" hidden="1" customHeight="1" outlineLevel="1">
      <c r="A120"/>
      <c r="B120" s="17" t="s">
        <v>329</v>
      </c>
      <c r="C120" s="1058">
        <f>C121</f>
        <v>0.4</v>
      </c>
      <c r="D120" s="17" t="s">
        <v>1765</v>
      </c>
      <c r="E120" s="1900" t="s">
        <v>1321</v>
      </c>
      <c r="F120" s="1900"/>
    </row>
    <row r="121" spans="1:11" ht="20" hidden="1" customHeight="1" outlineLevel="1">
      <c r="A121"/>
      <c r="B121" s="219" t="s">
        <v>309</v>
      </c>
      <c r="C121" s="1058">
        <f>4/10</f>
        <v>0.4</v>
      </c>
      <c r="D121" s="17" t="s">
        <v>1765</v>
      </c>
      <c r="E121" s="1946"/>
      <c r="F121" s="1946"/>
    </row>
    <row r="122" spans="1:11" ht="34" hidden="1" customHeight="1" outlineLevel="1"/>
    <row r="123" spans="1:11" ht="20" hidden="1" customHeight="1" outlineLevel="1">
      <c r="B123" s="383" t="s">
        <v>742</v>
      </c>
    </row>
    <row r="124" spans="1:11" ht="20" hidden="1" customHeight="1" outlineLevel="1"/>
    <row r="125" spans="1:11" ht="20" hidden="1" customHeight="1" outlineLevel="1">
      <c r="B125" s="66" t="s">
        <v>265</v>
      </c>
      <c r="K125" s="28"/>
    </row>
    <row r="126" spans="1:11" customFormat="1" ht="20" hidden="1" customHeight="1" outlineLevel="1">
      <c r="B126" s="452" t="s">
        <v>740</v>
      </c>
    </row>
    <row r="127" spans="1:11" customFormat="1" ht="20" hidden="1" customHeight="1" outlineLevel="1">
      <c r="B127" s="1062" t="s">
        <v>732</v>
      </c>
      <c r="C127" s="1062" t="s">
        <v>730</v>
      </c>
      <c r="D127" s="1953" t="s">
        <v>26</v>
      </c>
      <c r="E127" s="1953"/>
    </row>
    <row r="128" spans="1:11" customFormat="1" ht="20" hidden="1" customHeight="1" outlineLevel="1">
      <c r="B128" s="1063" t="s">
        <v>733</v>
      </c>
      <c r="C128" s="1064">
        <v>0.97799999999999998</v>
      </c>
      <c r="D128" s="1954" t="s">
        <v>734</v>
      </c>
      <c r="E128" s="1955"/>
    </row>
    <row r="129" spans="2:7" customFormat="1" ht="20" hidden="1" customHeight="1" outlineLevel="1">
      <c r="B129" s="1063" t="s">
        <v>735</v>
      </c>
      <c r="C129" s="1065">
        <v>1.635952021606164</v>
      </c>
      <c r="D129" s="1956" t="s">
        <v>736</v>
      </c>
      <c r="E129" s="1956"/>
    </row>
    <row r="130" spans="2:7" customFormat="1" ht="20" hidden="1" customHeight="1" outlineLevel="1">
      <c r="B130" s="1063" t="s">
        <v>737</v>
      </c>
      <c r="C130" s="1064">
        <v>2.052</v>
      </c>
      <c r="D130" s="1956" t="s">
        <v>734</v>
      </c>
      <c r="E130" s="1956"/>
    </row>
    <row r="131" spans="2:7" customFormat="1" ht="20" hidden="1" customHeight="1" outlineLevel="1">
      <c r="B131" s="1066" t="s">
        <v>738</v>
      </c>
      <c r="C131" s="1064">
        <v>1.423</v>
      </c>
      <c r="D131" s="1956" t="s">
        <v>734</v>
      </c>
      <c r="E131" s="1956"/>
    </row>
    <row r="132" spans="2:7" customFormat="1" ht="20" hidden="1" customHeight="1" outlineLevel="1">
      <c r="B132" s="1067" t="s">
        <v>157</v>
      </c>
      <c r="C132" s="1068">
        <f>AVERAGE(C128:C131)</f>
        <v>1.5222380054015412</v>
      </c>
      <c r="D132" s="1944" t="s">
        <v>739</v>
      </c>
      <c r="E132" s="1944"/>
      <c r="G132" s="5"/>
    </row>
    <row r="133" spans="2:7" customFormat="1" ht="20" hidden="1" customHeight="1" outlineLevel="1">
      <c r="B133" s="1069"/>
      <c r="C133" s="1070"/>
      <c r="D133" s="1071"/>
      <c r="E133" s="1071"/>
    </row>
    <row r="134" spans="2:7" customFormat="1" ht="28" hidden="1" customHeight="1" outlineLevel="1">
      <c r="B134" s="1947" t="s">
        <v>741</v>
      </c>
      <c r="C134" s="1947"/>
      <c r="D134" s="1947"/>
      <c r="E134" s="1947"/>
      <c r="F134" s="1947"/>
      <c r="G134" s="1947"/>
    </row>
    <row r="135" spans="2:7" customFormat="1" ht="28" hidden="1" customHeight="1" outlineLevel="1">
      <c r="B135" s="1947"/>
      <c r="C135" s="1947"/>
      <c r="D135" s="1947"/>
      <c r="E135" s="1947"/>
      <c r="F135" s="1947"/>
      <c r="G135" s="1947"/>
    </row>
    <row r="136" spans="2:7" ht="20" hidden="1" customHeight="1" outlineLevel="1">
      <c r="B136" s="1067" t="s">
        <v>157</v>
      </c>
      <c r="C136" s="1072">
        <f>C132*2/3</f>
        <v>1.0148253369343607</v>
      </c>
      <c r="D136" s="1944" t="s">
        <v>739</v>
      </c>
      <c r="E136" s="1944"/>
    </row>
    <row r="137" spans="2:7" ht="20" hidden="1" customHeight="1" outlineLevel="1"/>
    <row r="138" spans="2:7" ht="20" hidden="1" customHeight="1" outlineLevel="1">
      <c r="B138" s="65" t="s">
        <v>158</v>
      </c>
    </row>
    <row r="139" spans="2:7" ht="20" hidden="1" customHeight="1" outlineLevel="1"/>
    <row r="140" spans="2:7" ht="20" hidden="1" customHeight="1" outlineLevel="1"/>
    <row r="141" spans="2:7" ht="20" hidden="1" customHeight="1" outlineLevel="1"/>
    <row r="142" spans="2:7" ht="20" hidden="1" customHeight="1" outlineLevel="1"/>
    <row r="143" spans="2:7" ht="20" hidden="1" customHeight="1" outlineLevel="1"/>
    <row r="144" spans="2:7" ht="20" hidden="1" customHeight="1" outlineLevel="1"/>
    <row r="145" ht="20" hidden="1" customHeight="1" outlineLevel="1"/>
    <row r="146" ht="20" hidden="1" customHeight="1" outlineLevel="1"/>
    <row r="147" ht="20" hidden="1" customHeight="1" outlineLevel="1"/>
    <row r="148" ht="20" hidden="1" customHeight="1" outlineLevel="1"/>
    <row r="149" ht="20" hidden="1" customHeight="1" outlineLevel="1"/>
    <row r="150" ht="20" hidden="1" customHeight="1" outlineLevel="1"/>
    <row r="151" ht="20" hidden="1" customHeight="1" outlineLevel="1"/>
    <row r="152" ht="20" hidden="1" customHeight="1" outlineLevel="1"/>
    <row r="153" ht="20" hidden="1" customHeight="1" outlineLevel="1"/>
    <row r="154" ht="20" hidden="1" customHeight="1" outlineLevel="1"/>
    <row r="155" ht="20" hidden="1" customHeight="1" outlineLevel="1"/>
    <row r="156" ht="20" hidden="1" customHeight="1" outlineLevel="1"/>
    <row r="157" ht="20" hidden="1" customHeight="1" outlineLevel="1"/>
    <row r="158" ht="20" hidden="1" customHeight="1" outlineLevel="1"/>
    <row r="159" ht="20" hidden="1" customHeight="1" outlineLevel="1"/>
    <row r="160" ht="20" hidden="1" customHeight="1" outlineLevel="1"/>
    <row r="161" spans="2:9" ht="20" hidden="1" customHeight="1" outlineLevel="1"/>
    <row r="162" spans="2:9" ht="20" hidden="1" customHeight="1" outlineLevel="1">
      <c r="B162" s="383" t="s">
        <v>646</v>
      </c>
    </row>
    <row r="163" spans="2:9" ht="20" hidden="1" customHeight="1" outlineLevel="1"/>
    <row r="164" spans="2:9" ht="20" hidden="1" customHeight="1" outlineLevel="1">
      <c r="B164" s="238"/>
      <c r="C164" s="235" t="s">
        <v>324</v>
      </c>
      <c r="D164" s="235" t="s">
        <v>325</v>
      </c>
      <c r="E164" s="235" t="s">
        <v>326</v>
      </c>
      <c r="F164" s="235" t="s">
        <v>327</v>
      </c>
    </row>
    <row r="165" spans="2:9" ht="22" hidden="1" customHeight="1" outlineLevel="1">
      <c r="B165" s="225" t="s">
        <v>328</v>
      </c>
      <c r="C165" s="244">
        <f>F69</f>
        <v>237743.97373680564</v>
      </c>
      <c r="D165" s="244">
        <f>F64+F67</f>
        <v>216377.46801144059</v>
      </c>
      <c r="E165" s="244">
        <f>F65+F68</f>
        <v>14130.570525365047</v>
      </c>
      <c r="F165" s="244">
        <f>F66</f>
        <v>7235.9351999999999</v>
      </c>
    </row>
    <row r="166" spans="2:9" ht="22" hidden="1" customHeight="1" outlineLevel="1">
      <c r="B166" s="248" t="s">
        <v>322</v>
      </c>
      <c r="C166" s="244">
        <f>G51</f>
        <v>29771.926800000001</v>
      </c>
      <c r="D166" s="245"/>
      <c r="E166" s="245"/>
      <c r="F166" s="245"/>
    </row>
    <row r="167" spans="2:9" ht="22" hidden="1" customHeight="1" outlineLevel="1">
      <c r="B167" s="225" t="s">
        <v>321</v>
      </c>
      <c r="C167" s="244">
        <f>C34</f>
        <v>59521.637144407818</v>
      </c>
      <c r="D167" s="245"/>
      <c r="E167" s="245"/>
      <c r="F167" s="245"/>
    </row>
    <row r="168" spans="2:9" ht="22" hidden="1" customHeight="1" outlineLevel="1">
      <c r="B168" s="225" t="s">
        <v>323</v>
      </c>
      <c r="C168" s="244">
        <f>G60</f>
        <v>15988.860435416667</v>
      </c>
      <c r="D168" s="245"/>
      <c r="E168" s="245"/>
      <c r="F168" s="245"/>
    </row>
    <row r="169" spans="2:9" hidden="1" outlineLevel="1"/>
    <row r="170" spans="2:9" hidden="1" outlineLevel="1">
      <c r="C170" s="247" t="s">
        <v>324</v>
      </c>
    </row>
    <row r="171" spans="2:9" hidden="1" outlineLevel="1">
      <c r="B171" s="245" t="str">
        <f>B43</f>
        <v>Vestiaires sportifs</v>
      </c>
      <c r="C171" s="246">
        <f>G43</f>
        <v>19934.7808</v>
      </c>
    </row>
    <row r="172" spans="2:9" hidden="1" outlineLevel="1">
      <c r="B172" s="245" t="str">
        <f>B42</f>
        <v>Vestiaires arbitres</v>
      </c>
      <c r="C172" s="246">
        <f>G42</f>
        <v>3256.11</v>
      </c>
    </row>
    <row r="173" spans="2:9" hidden="1" outlineLevel="1">
      <c r="B173" s="245" t="str">
        <f>B44</f>
        <v>Bureau club</v>
      </c>
      <c r="C173" s="246">
        <f>G44</f>
        <v>1613.1279999999999</v>
      </c>
    </row>
    <row r="174" spans="2:9" hidden="1" outlineLevel="1">
      <c r="B174" s="245" t="str">
        <f>B46</f>
        <v>Club house</v>
      </c>
      <c r="C174" s="246">
        <f>G46</f>
        <v>1976.6384</v>
      </c>
      <c r="F174"/>
      <c r="G174"/>
      <c r="H174"/>
      <c r="I174"/>
    </row>
    <row r="175" spans="2:9" hidden="1" outlineLevel="1">
      <c r="B175" s="245" t="str">
        <f>B50</f>
        <v>Salle de réunion/cours</v>
      </c>
      <c r="C175" s="246">
        <f>G50</f>
        <v>1215.0072</v>
      </c>
      <c r="F175"/>
      <c r="G175"/>
      <c r="H175"/>
      <c r="I175"/>
    </row>
    <row r="176" spans="2:9" hidden="1" outlineLevel="1">
      <c r="B176" s="245" t="str">
        <f>B47</f>
        <v>Infirmierie</v>
      </c>
      <c r="C176" s="246">
        <f>G47</f>
        <v>1037.5024000000001</v>
      </c>
      <c r="F176"/>
      <c r="G176"/>
      <c r="H176"/>
      <c r="I176"/>
    </row>
    <row r="177" spans="2:9" hidden="1" outlineLevel="1">
      <c r="B177" s="245" t="s">
        <v>320</v>
      </c>
      <c r="C177" s="246">
        <f>G49+G50+G48</f>
        <v>1915.9184000000002</v>
      </c>
      <c r="F177"/>
      <c r="G177"/>
      <c r="H177"/>
      <c r="I177"/>
    </row>
    <row r="178" spans="2:9" hidden="1" outlineLevel="1">
      <c r="B178"/>
      <c r="C178"/>
      <c r="F178"/>
      <c r="G178"/>
      <c r="H178"/>
      <c r="I178"/>
    </row>
    <row r="179" spans="2:9" hidden="1" outlineLevel="1">
      <c r="B179"/>
      <c r="C179"/>
      <c r="F179"/>
      <c r="G179"/>
      <c r="H179"/>
      <c r="I179"/>
    </row>
    <row r="180" spans="2:9" hidden="1" outlineLevel="1">
      <c r="C180" s="28"/>
      <c r="F180"/>
      <c r="G180"/>
      <c r="H180"/>
      <c r="I180"/>
    </row>
    <row r="181" spans="2:9" hidden="1" outlineLevel="1">
      <c r="C181" s="28"/>
      <c r="F181"/>
      <c r="G181"/>
      <c r="H181"/>
      <c r="I181"/>
    </row>
    <row r="182" spans="2:9" hidden="1" outlineLevel="1">
      <c r="C182" s="28"/>
    </row>
    <row r="183" spans="2:9" hidden="1" outlineLevel="1">
      <c r="C183" s="28"/>
    </row>
    <row r="184" spans="2:9" hidden="1" outlineLevel="1">
      <c r="C184" s="28"/>
    </row>
    <row r="185" spans="2:9" hidden="1" outlineLevel="1">
      <c r="C185" s="28"/>
    </row>
    <row r="186" spans="2:9" hidden="1" outlineLevel="1"/>
    <row r="187" spans="2:9" hidden="1" outlineLevel="1"/>
    <row r="188" spans="2:9" hidden="1" outlineLevel="1"/>
    <row r="189" spans="2:9" hidden="1" outlineLevel="1"/>
    <row r="190" spans="2:9" hidden="1" outlineLevel="1"/>
    <row r="191" spans="2:9" hidden="1" outlineLevel="1"/>
    <row r="192" spans="2:9" hidden="1" outlineLevel="1"/>
    <row r="193" hidden="1" outlineLevel="1"/>
    <row r="194" hidden="1" outlineLevel="1"/>
    <row r="195" hidden="1" outlineLevel="1"/>
    <row r="196" hidden="1" outlineLevel="1"/>
    <row r="197" hidden="1" outlineLevel="1"/>
    <row r="198" hidden="1" outlineLevel="1"/>
    <row r="199" hidden="1" outlineLevel="1"/>
    <row r="200" hidden="1" outlineLevel="1"/>
    <row r="201" hidden="1" outlineLevel="1"/>
    <row r="202" hidden="1" outlineLevel="1"/>
    <row r="203" hidden="1" outlineLevel="1"/>
    <row r="204" hidden="1" outlineLevel="1"/>
    <row r="205" hidden="1" outlineLevel="1"/>
    <row r="206" hidden="1" outlineLevel="1"/>
    <row r="207" hidden="1" outlineLevel="1"/>
    <row r="208" hidden="1" outlineLevel="1"/>
    <row r="209" hidden="1" outlineLevel="1"/>
    <row r="210" hidden="1" outlineLevel="1"/>
    <row r="211" hidden="1" outlineLevel="1"/>
    <row r="212" hidden="1" outlineLevel="1"/>
    <row r="213" hidden="1" outlineLevel="1"/>
    <row r="214" hidden="1" outlineLevel="1"/>
    <row r="215" hidden="1" outlineLevel="1"/>
    <row r="216" hidden="1" outlineLevel="1"/>
    <row r="217" hidden="1" outlineLevel="1"/>
    <row r="218" hidden="1" outlineLevel="1"/>
    <row r="219" hidden="1" outlineLevel="1"/>
    <row r="220" hidden="1" outlineLevel="1"/>
    <row r="221" hidden="1" outlineLevel="1"/>
    <row r="222" hidden="1" outlineLevel="1"/>
    <row r="223" hidden="1" outlineLevel="1"/>
    <row r="224" hidden="1" outlineLevel="1"/>
    <row r="225" spans="2:4" hidden="1" outlineLevel="1"/>
    <row r="226" spans="2:4" hidden="1" outlineLevel="1"/>
    <row r="227" spans="2:4" hidden="1" outlineLevel="1">
      <c r="B227" s="40" t="s">
        <v>1410</v>
      </c>
      <c r="C227" s="40" t="s">
        <v>1769</v>
      </c>
      <c r="D227" s="40" t="s">
        <v>89</v>
      </c>
    </row>
    <row r="228" spans="2:4" hidden="1" outlineLevel="1">
      <c r="B228" s="40" t="s">
        <v>1770</v>
      </c>
      <c r="C228" s="1883">
        <f>F69</f>
        <v>237743.97373680564</v>
      </c>
      <c r="D228" s="1884">
        <f>F70</f>
        <v>0.69307777780989288</v>
      </c>
    </row>
    <row r="229" spans="2:4" hidden="1" outlineLevel="1">
      <c r="B229" s="40" t="s">
        <v>1771</v>
      </c>
      <c r="C229" s="1883">
        <f>C34+G51+G60</f>
        <v>105282.42437982449</v>
      </c>
      <c r="D229" s="1730">
        <f>C229/C230</f>
        <v>0.30692222219010706</v>
      </c>
    </row>
    <row r="230" spans="2:4" hidden="1" outlineLevel="1">
      <c r="B230" s="40"/>
      <c r="C230" s="1883">
        <f>SUM(C228:C229)</f>
        <v>343026.39811663015</v>
      </c>
      <c r="D230" s="40"/>
    </row>
    <row r="231" spans="2:4" hidden="1" outlineLevel="1"/>
    <row r="232" spans="2:4" hidden="1" outlineLevel="1"/>
    <row r="233" spans="2:4" hidden="1" outlineLevel="1"/>
    <row r="234" spans="2:4" hidden="1" outlineLevel="1"/>
    <row r="235" spans="2:4" hidden="1" outlineLevel="1"/>
    <row r="236" spans="2:4" collapsed="1"/>
  </sheetData>
  <mergeCells count="55">
    <mergeCell ref="B2:C2"/>
    <mergeCell ref="B4:D4"/>
    <mergeCell ref="H57:I57"/>
    <mergeCell ref="H58:I58"/>
    <mergeCell ref="H59:I59"/>
    <mergeCell ref="C6:D6"/>
    <mergeCell ref="C7:D7"/>
    <mergeCell ref="B9:K9"/>
    <mergeCell ref="C13:K13"/>
    <mergeCell ref="C14:K14"/>
    <mergeCell ref="C10:K10"/>
    <mergeCell ref="C11:K11"/>
    <mergeCell ref="C12:K12"/>
    <mergeCell ref="C15:K15"/>
    <mergeCell ref="B134:G135"/>
    <mergeCell ref="D136:E136"/>
    <mergeCell ref="E29:G31"/>
    <mergeCell ref="E32:G33"/>
    <mergeCell ref="D127:E127"/>
    <mergeCell ref="D128:E128"/>
    <mergeCell ref="D129:E129"/>
    <mergeCell ref="D130:E130"/>
    <mergeCell ref="D131:E131"/>
    <mergeCell ref="E110:F110"/>
    <mergeCell ref="G105:H105"/>
    <mergeCell ref="G106:H106"/>
    <mergeCell ref="G102:H102"/>
    <mergeCell ref="H41:I41"/>
    <mergeCell ref="G69:H69"/>
    <mergeCell ref="H60:I60"/>
    <mergeCell ref="D132:E132"/>
    <mergeCell ref="E114:F114"/>
    <mergeCell ref="E113:F113"/>
    <mergeCell ref="E112:F112"/>
    <mergeCell ref="E111:F111"/>
    <mergeCell ref="E121:F121"/>
    <mergeCell ref="E120:F120"/>
    <mergeCell ref="E118:F118"/>
    <mergeCell ref="E119:F119"/>
    <mergeCell ref="E117:F117"/>
    <mergeCell ref="E116:F116"/>
    <mergeCell ref="E115:F115"/>
    <mergeCell ref="B22:H22"/>
    <mergeCell ref="H51:I51"/>
    <mergeCell ref="H45:I50"/>
    <mergeCell ref="H44:I44"/>
    <mergeCell ref="H43:I43"/>
    <mergeCell ref="H42:I42"/>
    <mergeCell ref="G103:H104"/>
    <mergeCell ref="H52:I52"/>
    <mergeCell ref="E28:G28"/>
    <mergeCell ref="B77:C77"/>
    <mergeCell ref="E34:G34"/>
    <mergeCell ref="G63:H63"/>
    <mergeCell ref="G64:H68"/>
  </mergeCells>
  <pageMargins left="0.70078740157480324" right="0.70078740157480324" top="0.75196850393700787" bottom="0.75196850393700787"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20349-1599-244D-AB3A-10426F69EFE3}">
  <sheetPr>
    <tabColor rgb="FFFFC000"/>
  </sheetPr>
  <dimension ref="A1:X145"/>
  <sheetViews>
    <sheetView zoomScale="56" zoomScaleNormal="100" workbookViewId="0">
      <selection activeCell="C46" sqref="C46"/>
    </sheetView>
  </sheetViews>
  <sheetFormatPr baseColWidth="10" defaultColWidth="11.5" defaultRowHeight="14"/>
  <cols>
    <col min="1" max="1" width="11.6640625" style="257" customWidth="1"/>
    <col min="2" max="2" width="49.5" style="257" customWidth="1"/>
    <col min="3" max="3" width="38.1640625" style="257" customWidth="1"/>
    <col min="4" max="4" width="43" style="257" customWidth="1"/>
    <col min="5" max="7" width="35.1640625" style="257" customWidth="1"/>
    <col min="8" max="8" width="38.1640625" style="257" customWidth="1"/>
    <col min="9" max="11" width="34.6640625" style="257" customWidth="1"/>
    <col min="12" max="33" width="16.1640625" style="257" customWidth="1"/>
    <col min="34" max="16384" width="11.5" style="257"/>
  </cols>
  <sheetData>
    <row r="1" spans="1:12" ht="29" customHeight="1">
      <c r="A1"/>
      <c r="B1"/>
      <c r="F1" s="32"/>
      <c r="G1" s="32"/>
      <c r="H1" s="32"/>
    </row>
    <row r="2" spans="1:12" ht="29" customHeight="1">
      <c r="B2" s="2005" t="s">
        <v>753</v>
      </c>
      <c r="C2" s="2005"/>
      <c r="D2" s="2005"/>
      <c r="F2" s="32"/>
      <c r="G2" s="32"/>
      <c r="H2" s="32"/>
    </row>
    <row r="3" spans="1:12" ht="29" customHeight="1">
      <c r="F3" s="32"/>
      <c r="G3" s="32"/>
      <c r="H3" s="32"/>
    </row>
    <row r="4" spans="1:12" ht="29" customHeight="1" thickBot="1">
      <c r="F4" s="32"/>
      <c r="G4" s="32"/>
      <c r="H4" s="32"/>
    </row>
    <row r="5" spans="1:12" ht="29" customHeight="1">
      <c r="B5" s="2006" t="s">
        <v>2</v>
      </c>
      <c r="C5" s="2007"/>
      <c r="D5" s="2008"/>
      <c r="F5" s="32"/>
      <c r="G5" s="32"/>
      <c r="H5" s="32"/>
    </row>
    <row r="6" spans="1:12" ht="29" customHeight="1">
      <c r="B6" s="280" t="s">
        <v>335</v>
      </c>
      <c r="C6" s="413">
        <f>'1. Infrastructures '!C5</f>
        <v>308944.39811663015</v>
      </c>
      <c r="D6" s="258" t="s">
        <v>3</v>
      </c>
      <c r="F6" s="32"/>
      <c r="G6" s="32"/>
      <c r="H6" s="32"/>
    </row>
    <row r="7" spans="1:12" ht="29" customHeight="1">
      <c r="B7" s="280" t="s">
        <v>336</v>
      </c>
      <c r="C7" s="413">
        <f>C6*(1+C8)</f>
        <v>170307.8602148151</v>
      </c>
      <c r="D7" s="258" t="s">
        <v>3</v>
      </c>
      <c r="F7" s="1040"/>
      <c r="G7" s="32"/>
      <c r="H7" s="32"/>
    </row>
    <row r="8" spans="1:12" ht="29" customHeight="1" thickBot="1">
      <c r="B8" s="281" t="s">
        <v>337</v>
      </c>
      <c r="C8" s="2009">
        <v>-0.44874268233042408</v>
      </c>
      <c r="D8" s="2010"/>
      <c r="E8" s="32"/>
      <c r="F8" s="32"/>
      <c r="G8" s="32"/>
      <c r="H8" s="32"/>
    </row>
    <row r="9" spans="1:12" ht="29" customHeight="1" thickBot="1">
      <c r="A9"/>
      <c r="G9" s="263"/>
      <c r="K9" s="263"/>
      <c r="L9" s="263"/>
    </row>
    <row r="10" spans="1:12" ht="36" customHeight="1">
      <c r="A10"/>
      <c r="B10" s="2011" t="s">
        <v>1614</v>
      </c>
      <c r="C10" s="2012"/>
      <c r="D10" s="2012"/>
      <c r="E10" s="2012"/>
      <c r="F10" s="2013"/>
      <c r="G10" s="263"/>
      <c r="K10" s="263"/>
      <c r="L10" s="263"/>
    </row>
    <row r="11" spans="1:12" ht="36" customHeight="1" thickBot="1">
      <c r="A11"/>
      <c r="B11" s="2014"/>
      <c r="C11" s="2015"/>
      <c r="D11" s="2015"/>
      <c r="E11" s="2015"/>
      <c r="F11" s="2016"/>
      <c r="G11" s="263"/>
      <c r="H11" s="263"/>
      <c r="I11" s="263"/>
      <c r="J11" s="263"/>
      <c r="K11" s="263"/>
      <c r="L11" s="263"/>
    </row>
    <row r="12" spans="1:12" customFormat="1" ht="31" customHeight="1" thickBot="1"/>
    <row r="13" spans="1:12" ht="38" customHeight="1" thickBot="1">
      <c r="B13" s="32"/>
      <c r="C13" s="2017" t="s">
        <v>755</v>
      </c>
      <c r="D13" s="2018"/>
      <c r="E13" s="2018"/>
      <c r="F13" s="1076">
        <v>2050</v>
      </c>
      <c r="H13" s="263"/>
      <c r="I13" s="263"/>
      <c r="J13" s="263"/>
      <c r="K13" s="263"/>
      <c r="L13" s="263"/>
    </row>
    <row r="14" spans="1:12" ht="97" customHeight="1" thickBot="1">
      <c r="B14" s="1077" t="s">
        <v>756</v>
      </c>
      <c r="C14" s="1988" t="s">
        <v>757</v>
      </c>
      <c r="D14" s="1989"/>
      <c r="E14" s="1989"/>
      <c r="F14" s="1078">
        <v>0</v>
      </c>
      <c r="H14" s="263"/>
      <c r="I14" s="263"/>
      <c r="J14" s="263"/>
      <c r="K14" s="263"/>
      <c r="L14" s="263"/>
    </row>
    <row r="15" spans="1:12" ht="38" customHeight="1">
      <c r="B15" s="1994" t="s">
        <v>758</v>
      </c>
      <c r="C15" s="1990" t="s">
        <v>759</v>
      </c>
      <c r="D15" s="1991"/>
      <c r="E15" s="1991"/>
      <c r="F15" s="1079">
        <f>-C85</f>
        <v>-1</v>
      </c>
      <c r="G15" s="1384"/>
    </row>
    <row r="16" spans="1:12" ht="38" customHeight="1" thickBot="1">
      <c r="B16" s="1995"/>
      <c r="C16" s="1992" t="s">
        <v>1573</v>
      </c>
      <c r="D16" s="1993"/>
      <c r="E16" s="1993"/>
      <c r="F16" s="1707">
        <f>D98</f>
        <v>0</v>
      </c>
      <c r="G16" s="1384"/>
    </row>
    <row r="17" spans="2:11" ht="23" customHeight="1">
      <c r="D17" s="716"/>
      <c r="E17" s="717"/>
      <c r="F17" s="718"/>
      <c r="H17" s="32"/>
    </row>
    <row r="18" spans="2:11" ht="23" customHeight="1">
      <c r="D18" s="716"/>
      <c r="E18" s="717"/>
      <c r="F18" s="718"/>
      <c r="H18" s="32"/>
    </row>
    <row r="19" spans="2:11" ht="23" customHeight="1">
      <c r="B19" s="327" t="s">
        <v>760</v>
      </c>
      <c r="C19" s="1080"/>
      <c r="D19" s="1080"/>
      <c r="E19" s="1080"/>
      <c r="F19" s="1080"/>
      <c r="H19" s="32"/>
    </row>
    <row r="20" spans="2:11" ht="23" customHeight="1">
      <c r="B20" s="723"/>
      <c r="H20" s="32"/>
    </row>
    <row r="21" spans="2:11" ht="23" customHeight="1">
      <c r="B21" s="1081" t="s">
        <v>1735</v>
      </c>
      <c r="H21" s="32"/>
    </row>
    <row r="22" spans="2:11" ht="23" customHeight="1">
      <c r="B22" s="257" t="s">
        <v>1736</v>
      </c>
      <c r="C22" s="1082"/>
      <c r="D22" s="1082"/>
      <c r="E22" s="1082"/>
      <c r="F22" s="1082"/>
      <c r="G22" s="1083"/>
      <c r="H22" s="32"/>
    </row>
    <row r="23" spans="2:11" s="1083" customFormat="1" ht="29" customHeight="1">
      <c r="B23" s="2020" t="s">
        <v>1737</v>
      </c>
      <c r="C23" s="2020"/>
      <c r="D23" s="2020"/>
      <c r="E23" s="2020"/>
      <c r="F23" s="2020"/>
      <c r="G23" s="2020"/>
      <c r="H23" s="50"/>
    </row>
    <row r="24" spans="2:11" ht="23" customHeight="1">
      <c r="B24" s="2020"/>
      <c r="C24" s="2020"/>
      <c r="D24" s="2020"/>
      <c r="E24" s="2020"/>
      <c r="F24" s="2020"/>
      <c r="G24" s="2020"/>
      <c r="H24" s="82"/>
    </row>
    <row r="25" spans="2:11" ht="23" customHeight="1">
      <c r="B25" s="1085" t="s">
        <v>1738</v>
      </c>
      <c r="C25" s="683"/>
      <c r="D25" s="683"/>
      <c r="E25" s="683"/>
      <c r="F25" s="683"/>
      <c r="G25" s="1083"/>
      <c r="H25" s="32"/>
    </row>
    <row r="26" spans="2:11" s="1083" customFormat="1" ht="29" customHeight="1">
      <c r="B26" s="1081" t="s">
        <v>761</v>
      </c>
      <c r="C26" s="722"/>
      <c r="D26" s="722"/>
      <c r="E26" s="722"/>
      <c r="F26" s="257"/>
      <c r="G26" s="257"/>
      <c r="H26" s="50"/>
    </row>
    <row r="27" spans="2:11" ht="23" customHeight="1">
      <c r="B27" s="1086" t="s">
        <v>1322</v>
      </c>
      <c r="C27" s="722"/>
      <c r="D27" s="722"/>
      <c r="E27" s="722"/>
      <c r="H27" s="32"/>
    </row>
    <row r="28" spans="2:11" ht="23" customHeight="1">
      <c r="B28" s="1087" t="s">
        <v>1739</v>
      </c>
      <c r="C28" s="722"/>
      <c r="E28" s="722"/>
      <c r="H28" s="32"/>
    </row>
    <row r="29" spans="2:11" ht="23" customHeight="1">
      <c r="B29" s="1087" t="s">
        <v>1740</v>
      </c>
      <c r="C29" s="722"/>
      <c r="D29" s="722"/>
      <c r="E29" s="722"/>
      <c r="H29" s="32"/>
    </row>
    <row r="30" spans="2:11" ht="23" customHeight="1">
      <c r="B30" s="1087" t="s">
        <v>1741</v>
      </c>
      <c r="C30" s="722"/>
      <c r="D30" s="722"/>
      <c r="E30" s="722"/>
      <c r="H30" s="32"/>
    </row>
    <row r="31" spans="2:11" ht="23" customHeight="1">
      <c r="B31" s="1087" t="s">
        <v>1323</v>
      </c>
      <c r="C31" s="722"/>
      <c r="D31" s="722"/>
      <c r="I31" s="1084"/>
      <c r="J31" s="1084"/>
      <c r="K31" s="1084"/>
    </row>
    <row r="32" spans="2:11" ht="29" customHeight="1">
      <c r="B32" s="1087" t="s">
        <v>1324</v>
      </c>
      <c r="C32" s="263"/>
      <c r="D32" s="722"/>
      <c r="H32" s="32"/>
    </row>
    <row r="33" spans="1:9" ht="29" customHeight="1">
      <c r="B33" s="1087" t="s">
        <v>1742</v>
      </c>
      <c r="C33" s="263"/>
      <c r="D33" s="722"/>
      <c r="H33" s="32"/>
    </row>
    <row r="34" spans="1:9" ht="23" customHeight="1">
      <c r="B34" s="1086" t="s">
        <v>1325</v>
      </c>
      <c r="D34" s="722"/>
      <c r="E34" s="722"/>
      <c r="H34" s="32"/>
      <c r="I34" s="10"/>
    </row>
    <row r="35" spans="1:9" ht="23" customHeight="1">
      <c r="B35" s="1087" t="s">
        <v>1326</v>
      </c>
      <c r="D35" s="722"/>
      <c r="E35" s="722"/>
      <c r="H35" s="32"/>
      <c r="I35" s="10"/>
    </row>
    <row r="36" spans="1:9" ht="23" customHeight="1">
      <c r="B36" s="1088" t="s">
        <v>762</v>
      </c>
      <c r="C36" s="723"/>
      <c r="D36" s="722"/>
      <c r="E36" s="722"/>
      <c r="H36" s="32"/>
      <c r="I36" s="10"/>
    </row>
    <row r="37" spans="1:9" ht="23" customHeight="1">
      <c r="B37" s="1087" t="s">
        <v>763</v>
      </c>
      <c r="C37" s="723"/>
      <c r="D37" s="722"/>
      <c r="E37" s="722"/>
      <c r="H37" s="32"/>
      <c r="I37" s="10"/>
    </row>
    <row r="38" spans="1:9" ht="23" customHeight="1">
      <c r="B38" s="1088" t="s">
        <v>764</v>
      </c>
      <c r="C38" s="32"/>
      <c r="D38" s="32"/>
      <c r="E38" s="32"/>
    </row>
    <row r="39" spans="1:9" ht="23" customHeight="1">
      <c r="B39" s="1086" t="s">
        <v>1327</v>
      </c>
      <c r="C39" s="32"/>
      <c r="D39" s="32"/>
      <c r="E39" s="32"/>
    </row>
    <row r="40" spans="1:9" ht="23" customHeight="1">
      <c r="B40" s="1086"/>
      <c r="C40" s="32"/>
      <c r="D40" s="32"/>
      <c r="E40" s="32"/>
    </row>
    <row r="41" spans="1:9" ht="25" customHeight="1">
      <c r="A41"/>
      <c r="B41" s="1374" t="s">
        <v>1328</v>
      </c>
      <c r="C41" s="32"/>
      <c r="D41" s="32"/>
      <c r="E41" s="32"/>
      <c r="G41" s="263"/>
      <c r="H41" s="263"/>
      <c r="I41" s="263"/>
    </row>
    <row r="42" spans="1:9" ht="25" customHeight="1">
      <c r="A42"/>
      <c r="B42" s="1889" t="s">
        <v>1778</v>
      </c>
      <c r="C42" s="32"/>
      <c r="D42" s="32"/>
      <c r="E42" s="32"/>
      <c r="G42" s="263"/>
      <c r="H42" s="263"/>
      <c r="I42" s="263"/>
    </row>
    <row r="43" spans="1:9" ht="25" customHeight="1">
      <c r="A43"/>
      <c r="B43" s="1374"/>
      <c r="C43" s="32"/>
      <c r="D43" s="32"/>
      <c r="E43" s="32"/>
      <c r="G43" s="263"/>
      <c r="H43" s="263"/>
      <c r="I43" s="263"/>
    </row>
    <row r="44" spans="1:9" ht="29" customHeight="1">
      <c r="B44" s="327" t="s">
        <v>765</v>
      </c>
      <c r="C44" s="263"/>
      <c r="D44" s="263"/>
      <c r="E44" s="263"/>
      <c r="F44" s="263"/>
      <c r="G44" s="263"/>
    </row>
    <row r="45" spans="1:9" ht="29" customHeight="1">
      <c r="B45" s="327"/>
      <c r="C45" s="263"/>
      <c r="D45" s="263"/>
      <c r="E45" s="263"/>
      <c r="F45" s="263"/>
      <c r="G45" s="263"/>
    </row>
    <row r="46" spans="1:9" ht="29" customHeight="1">
      <c r="B46" s="295" t="s">
        <v>589</v>
      </c>
      <c r="C46" s="263"/>
      <c r="D46" s="263"/>
      <c r="E46" s="263"/>
      <c r="F46" s="263"/>
      <c r="G46" s="263"/>
    </row>
    <row r="47" spans="1:9" ht="29" customHeight="1">
      <c r="B47" s="720" t="s">
        <v>265</v>
      </c>
      <c r="C47" s="263"/>
      <c r="D47" s="263"/>
      <c r="E47" s="263"/>
      <c r="F47" s="263"/>
      <c r="G47" s="263"/>
    </row>
    <row r="48" spans="1:9" ht="59" customHeight="1">
      <c r="B48" s="2021" t="s">
        <v>766</v>
      </c>
      <c r="C48" s="2021"/>
      <c r="D48" s="2021"/>
      <c r="E48" s="2021"/>
      <c r="F48" s="2021"/>
      <c r="G48" s="2021"/>
      <c r="H48" s="1089"/>
    </row>
    <row r="49" spans="1:24" ht="29" customHeight="1">
      <c r="B49" s="1089"/>
      <c r="C49" s="1089"/>
      <c r="D49" s="1089"/>
      <c r="E49" s="1089"/>
      <c r="F49" s="1089"/>
      <c r="G49" s="1089"/>
      <c r="H49" s="1089"/>
    </row>
    <row r="50" spans="1:24" ht="29" customHeight="1">
      <c r="B50" s="295" t="s">
        <v>767</v>
      </c>
      <c r="C50" s="263"/>
      <c r="D50" s="263"/>
      <c r="E50" s="263"/>
      <c r="F50" s="263"/>
      <c r="G50" s="263"/>
    </row>
    <row r="51" spans="1:24" ht="29" customHeight="1">
      <c r="B51" s="32"/>
      <c r="C51" s="263"/>
      <c r="D51" s="263"/>
      <c r="E51" s="263"/>
      <c r="F51" s="263"/>
      <c r="G51" s="263"/>
    </row>
    <row r="52" spans="1:24" ht="29" customHeight="1">
      <c r="B52" s="723" t="s">
        <v>768</v>
      </c>
      <c r="C52" s="263"/>
      <c r="D52" s="263"/>
      <c r="E52" s="263"/>
      <c r="F52" s="263"/>
      <c r="G52" s="263"/>
    </row>
    <row r="53" spans="1:24" ht="29" customHeight="1" thickBot="1">
      <c r="B53" s="32"/>
      <c r="C53" s="263"/>
      <c r="D53" s="263"/>
      <c r="E53" s="263"/>
      <c r="F53" s="263"/>
      <c r="G53" s="263"/>
      <c r="I53"/>
      <c r="J53"/>
      <c r="K53"/>
      <c r="L53"/>
      <c r="M53"/>
      <c r="N53"/>
      <c r="O53"/>
      <c r="P53"/>
      <c r="Q53"/>
    </row>
    <row r="54" spans="1:24" ht="33" customHeight="1">
      <c r="B54" s="1090" t="s">
        <v>7</v>
      </c>
      <c r="C54" s="1999" t="s">
        <v>1743</v>
      </c>
      <c r="D54" s="2000"/>
      <c r="E54" s="2000"/>
      <c r="F54" s="2000"/>
      <c r="G54" s="2000"/>
      <c r="H54" s="2001"/>
      <c r="I54"/>
      <c r="K54" s="1091"/>
      <c r="L54" s="268"/>
      <c r="M54"/>
      <c r="N54"/>
      <c r="O54"/>
      <c r="P54"/>
      <c r="Q54"/>
    </row>
    <row r="55" spans="1:24" ht="51" customHeight="1">
      <c r="B55" s="1092" t="s">
        <v>8</v>
      </c>
      <c r="C55" s="2022" t="s">
        <v>769</v>
      </c>
      <c r="D55" s="2023"/>
      <c r="E55" s="2023"/>
      <c r="F55" s="2023"/>
      <c r="G55" s="2023"/>
      <c r="H55" s="2024"/>
      <c r="I55"/>
      <c r="J55" s="263"/>
      <c r="K55" s="263"/>
      <c r="L55" s="268"/>
      <c r="M55"/>
      <c r="N55" s="263"/>
      <c r="O55" s="263"/>
      <c r="P55" s="263"/>
      <c r="Q55"/>
      <c r="R55"/>
      <c r="S55"/>
      <c r="T55"/>
      <c r="U55"/>
    </row>
    <row r="56" spans="1:24" ht="56" customHeight="1" thickBot="1">
      <c r="A56" s="263"/>
      <c r="B56" s="1093" t="s">
        <v>9</v>
      </c>
      <c r="C56" s="2002" t="s">
        <v>1744</v>
      </c>
      <c r="D56" s="2003"/>
      <c r="E56" s="2003"/>
      <c r="F56" s="2003"/>
      <c r="G56" s="2003"/>
      <c r="H56" s="2004"/>
      <c r="I56"/>
      <c r="J56"/>
      <c r="K56"/>
      <c r="L56"/>
      <c r="M56"/>
      <c r="Q56"/>
      <c r="R56"/>
      <c r="S56"/>
      <c r="T56"/>
      <c r="U56"/>
    </row>
    <row r="57" spans="1:24" ht="29" customHeight="1">
      <c r="A57" s="263"/>
      <c r="B57" s="263"/>
      <c r="C57" s="263"/>
      <c r="D57" s="263"/>
      <c r="E57" s="263"/>
      <c r="G57" s="263"/>
      <c r="H57" s="263"/>
      <c r="I57"/>
      <c r="Q57"/>
      <c r="R57"/>
      <c r="S57"/>
      <c r="T57"/>
      <c r="U57"/>
    </row>
    <row r="58" spans="1:24" ht="29" customHeight="1">
      <c r="B58" s="1094" t="s">
        <v>770</v>
      </c>
      <c r="C58" s="9"/>
      <c r="D58"/>
      <c r="E58" s="263"/>
      <c r="I58"/>
      <c r="Q58"/>
      <c r="R58"/>
      <c r="S58" s="1385"/>
      <c r="T58" s="852"/>
      <c r="U58"/>
      <c r="X58" s="718"/>
    </row>
    <row r="59" spans="1:24" ht="29" customHeight="1">
      <c r="A59" s="263"/>
      <c r="B59" s="257" t="s">
        <v>771</v>
      </c>
      <c r="D59" s="1095"/>
      <c r="E59" s="263"/>
      <c r="I59"/>
      <c r="Q59"/>
      <c r="R59"/>
      <c r="S59"/>
      <c r="T59" s="852"/>
      <c r="U59"/>
    </row>
    <row r="60" spans="1:24" ht="29" customHeight="1">
      <c r="A60" s="263"/>
      <c r="B60" s="2019" t="s">
        <v>772</v>
      </c>
      <c r="C60" s="2019"/>
      <c r="E60" s="263"/>
      <c r="I60"/>
      <c r="Q60"/>
      <c r="R60"/>
      <c r="S60"/>
      <c r="T60" s="860"/>
      <c r="U60"/>
    </row>
    <row r="61" spans="1:24" ht="29" customHeight="1">
      <c r="A61" s="263"/>
      <c r="B61" s="1096" t="str">
        <f>'[1]10.1 Stade'!B144</f>
        <v>*Les impacts des constructions ne peuvent pas être limités aux « grandes quantités » des matériaux de gros œuvre. La méthode fournit aussi un ratio au m2 (506 kg eq. C02 / m2) pour les constructions afin de prendre en compte l’ensemble des éléments constructifs de faible quantité mais dont l’impact peut être élevé (matériaux vitrés, plastiques, métalliques,...) du second œuvre et des équipements techniques.</v>
      </c>
      <c r="C61" s="1096">
        <f>'[1]10.1 Stade'!C144</f>
        <v>0</v>
      </c>
      <c r="E61" s="263"/>
      <c r="H61" s="268"/>
      <c r="I61"/>
    </row>
    <row r="62" spans="1:24" ht="29" customHeight="1">
      <c r="A62" s="263"/>
      <c r="B62" s="1096">
        <f>'[1]10.1 Stade'!B145</f>
        <v>0</v>
      </c>
      <c r="C62" s="1096">
        <f>'[1]10.1 Stade'!C145</f>
        <v>0</v>
      </c>
      <c r="E62" s="263"/>
      <c r="H62" s="860"/>
      <c r="I62"/>
    </row>
    <row r="63" spans="1:24" ht="29" customHeight="1">
      <c r="A63" s="263"/>
      <c r="B63" s="1096" t="str">
        <f>'[1]10.1 Stade'!B146</f>
        <v xml:space="preserve">Source : anonyme </v>
      </c>
      <c r="C63" s="1096">
        <f>'[1]10.1 Stade'!C146</f>
        <v>0</v>
      </c>
      <c r="D63"/>
      <c r="E63" s="263"/>
      <c r="H63" s="860"/>
      <c r="I63"/>
      <c r="J63"/>
      <c r="K63"/>
      <c r="L63" s="860"/>
      <c r="M63"/>
      <c r="N63"/>
      <c r="O63"/>
      <c r="P63" s="860"/>
      <c r="Q63"/>
    </row>
    <row r="64" spans="1:24" ht="29" customHeight="1">
      <c r="A64" s="263"/>
      <c r="B64" s="1097">
        <f>'[1]10.1 Stade'!B147</f>
        <v>0</v>
      </c>
      <c r="C64" s="1097">
        <f>'[1]10.1 Stade'!C147</f>
        <v>0</v>
      </c>
      <c r="D64"/>
      <c r="E64" s="263"/>
      <c r="F64" s="1098"/>
      <c r="G64" s="1098"/>
      <c r="H64" s="860"/>
      <c r="I64"/>
      <c r="J64"/>
      <c r="K64"/>
      <c r="L64" s="860"/>
      <c r="M64"/>
      <c r="N64"/>
      <c r="O64"/>
      <c r="P64" s="860"/>
      <c r="Q64"/>
    </row>
    <row r="65" spans="1:17" ht="29" customHeight="1">
      <c r="A65"/>
      <c r="B65"/>
      <c r="C65"/>
      <c r="D65"/>
      <c r="E65" s="263"/>
      <c r="F65" s="1098"/>
      <c r="G65" s="1098"/>
      <c r="H65" s="860"/>
      <c r="I65"/>
      <c r="J65"/>
      <c r="K65"/>
      <c r="L65" s="860"/>
      <c r="M65"/>
      <c r="N65"/>
      <c r="O65"/>
      <c r="P65" s="860"/>
      <c r="Q65"/>
    </row>
    <row r="66" spans="1:17" ht="29" customHeight="1">
      <c r="A66" s="263"/>
      <c r="B66" s="1094" t="s">
        <v>773</v>
      </c>
      <c r="E66" s="263"/>
      <c r="F66" s="1098"/>
      <c r="G66" s="1098"/>
      <c r="H66" s="860"/>
      <c r="I66"/>
      <c r="J66"/>
      <c r="K66"/>
      <c r="L66" s="860"/>
      <c r="M66"/>
      <c r="N66"/>
      <c r="O66"/>
      <c r="P66" s="860"/>
      <c r="Q66"/>
    </row>
    <row r="67" spans="1:17" ht="29" customHeight="1">
      <c r="A67" s="263"/>
      <c r="B67" s="575" t="s">
        <v>774</v>
      </c>
      <c r="E67" s="263"/>
      <c r="F67" s="1098"/>
      <c r="G67" s="1098"/>
      <c r="H67" s="860"/>
      <c r="I67"/>
      <c r="J67"/>
      <c r="K67"/>
      <c r="L67" s="860"/>
      <c r="M67"/>
      <c r="N67"/>
      <c r="O67"/>
      <c r="P67" s="860"/>
      <c r="Q67"/>
    </row>
    <row r="68" spans="1:17" ht="29" customHeight="1">
      <c r="A68" s="263"/>
      <c r="B68" s="32" t="s">
        <v>775</v>
      </c>
      <c r="J68"/>
      <c r="K68"/>
      <c r="L68" s="860"/>
      <c r="M68"/>
      <c r="N68"/>
      <c r="O68"/>
      <c r="P68" s="860"/>
      <c r="Q68"/>
    </row>
    <row r="69" spans="1:17" ht="29" customHeight="1">
      <c r="A69" s="263"/>
      <c r="B69"/>
      <c r="C69" s="1859">
        <v>2050</v>
      </c>
      <c r="D69"/>
      <c r="F69" s="263"/>
      <c r="J69"/>
      <c r="K69"/>
      <c r="L69" s="860"/>
      <c r="M69"/>
      <c r="N69"/>
      <c r="O69"/>
      <c r="P69" s="860"/>
      <c r="Q69"/>
    </row>
    <row r="70" spans="1:17" ht="29" customHeight="1">
      <c r="A70" s="263"/>
      <c r="B70" s="1860" t="s">
        <v>776</v>
      </c>
      <c r="C70" s="1861">
        <v>0.8</v>
      </c>
      <c r="D70"/>
      <c r="F70" s="263"/>
      <c r="J70"/>
      <c r="K70"/>
      <c r="L70" s="860"/>
      <c r="M70"/>
      <c r="N70"/>
      <c r="O70"/>
      <c r="P70" s="860"/>
      <c r="Q70"/>
    </row>
    <row r="71" spans="1:17" ht="29" customHeight="1">
      <c r="A71" s="263"/>
      <c r="B71" s="1862" t="s">
        <v>777</v>
      </c>
      <c r="C71" s="1863">
        <f>C62*(1-C70)</f>
        <v>0</v>
      </c>
      <c r="D71"/>
      <c r="E71" s="263"/>
      <c r="F71" s="263"/>
      <c r="J71"/>
      <c r="K71"/>
      <c r="L71" s="860"/>
      <c r="M71"/>
      <c r="N71"/>
      <c r="O71"/>
      <c r="P71" s="860"/>
      <c r="Q71"/>
    </row>
    <row r="72" spans="1:17" ht="29" customHeight="1">
      <c r="A72" s="263"/>
      <c r="B72" s="1864"/>
      <c r="C72"/>
      <c r="D72" s="1099"/>
      <c r="E72" s="263"/>
      <c r="F72" s="263"/>
      <c r="J72"/>
      <c r="K72"/>
      <c r="L72" s="860"/>
      <c r="M72"/>
      <c r="N72"/>
      <c r="O72"/>
      <c r="P72" s="860"/>
      <c r="Q72"/>
    </row>
    <row r="73" spans="1:17" ht="29" customHeight="1">
      <c r="A73" s="263"/>
      <c r="B73" s="575" t="s">
        <v>778</v>
      </c>
      <c r="C73"/>
      <c r="D73" s="1099"/>
      <c r="E73" s="263"/>
      <c r="F73" s="263"/>
      <c r="J73"/>
      <c r="K73"/>
      <c r="L73" s="860"/>
      <c r="M73"/>
      <c r="N73"/>
      <c r="O73"/>
      <c r="P73" s="860"/>
      <c r="Q73"/>
    </row>
    <row r="74" spans="1:17" ht="29" customHeight="1">
      <c r="A74" s="263"/>
      <c r="B74" s="32" t="s">
        <v>779</v>
      </c>
      <c r="C74"/>
      <c r="D74" s="1099"/>
      <c r="E74" s="263"/>
      <c r="F74" s="263"/>
      <c r="J74"/>
      <c r="K74"/>
      <c r="L74" s="860"/>
      <c r="M74"/>
      <c r="N74"/>
      <c r="O74"/>
      <c r="P74" s="860"/>
      <c r="Q74"/>
    </row>
    <row r="75" spans="1:17" ht="29" customHeight="1">
      <c r="A75" s="263"/>
      <c r="B75"/>
      <c r="C75" s="1859">
        <v>2050</v>
      </c>
      <c r="D75"/>
      <c r="F75" s="263"/>
      <c r="G75" s="263"/>
      <c r="H75" s="860"/>
      <c r="I75"/>
      <c r="J75"/>
      <c r="K75"/>
      <c r="L75" s="860"/>
      <c r="M75"/>
      <c r="N75"/>
      <c r="O75"/>
      <c r="P75" s="860"/>
      <c r="Q75"/>
    </row>
    <row r="76" spans="1:17" ht="29" customHeight="1">
      <c r="A76" s="263"/>
      <c r="B76" s="1860" t="s">
        <v>780</v>
      </c>
      <c r="C76" s="1865">
        <v>0.75</v>
      </c>
      <c r="D76"/>
      <c r="F76" s="263"/>
      <c r="G76" s="279"/>
      <c r="H76" s="860"/>
      <c r="I76"/>
      <c r="J76"/>
      <c r="K76"/>
      <c r="L76" s="860"/>
      <c r="M76"/>
      <c r="N76"/>
      <c r="O76"/>
      <c r="P76" s="860"/>
      <c r="Q76"/>
    </row>
    <row r="77" spans="1:17" ht="29" customHeight="1">
      <c r="A77" s="263"/>
      <c r="B77" s="1862" t="s">
        <v>777</v>
      </c>
      <c r="C77" s="1863">
        <f>C61*(1-C76)</f>
        <v>0</v>
      </c>
      <c r="D77"/>
      <c r="F77" s="263"/>
      <c r="G77" s="263"/>
      <c r="H77" s="860"/>
      <c r="I77"/>
      <c r="J77"/>
      <c r="K77"/>
      <c r="L77" s="860"/>
      <c r="M77"/>
      <c r="N77"/>
      <c r="O77"/>
      <c r="P77" s="860"/>
      <c r="Q77"/>
    </row>
    <row r="78" spans="1:17" ht="29" customHeight="1">
      <c r="A78" s="263"/>
      <c r="B78" s="1864"/>
      <c r="C78"/>
      <c r="E78" s="263"/>
      <c r="F78" s="263"/>
      <c r="G78" s="263"/>
      <c r="H78" s="860"/>
      <c r="I78"/>
      <c r="J78"/>
      <c r="K78"/>
      <c r="L78" s="860"/>
      <c r="M78"/>
      <c r="N78"/>
      <c r="O78"/>
      <c r="P78" s="860"/>
      <c r="Q78"/>
    </row>
    <row r="79" spans="1:17" ht="29" customHeight="1">
      <c r="A79" s="263"/>
      <c r="B79" s="575" t="s">
        <v>781</v>
      </c>
      <c r="C79"/>
      <c r="D79" s="1099"/>
      <c r="E79" s="263"/>
      <c r="F79" s="263"/>
      <c r="G79" s="263"/>
      <c r="H79" s="860"/>
      <c r="I79"/>
      <c r="J79"/>
      <c r="K79"/>
      <c r="L79" s="860"/>
      <c r="M79"/>
      <c r="N79"/>
      <c r="O79"/>
      <c r="P79" s="860"/>
      <c r="Q79"/>
    </row>
    <row r="80" spans="1:17" ht="29" customHeight="1">
      <c r="A80" s="263"/>
      <c r="B80" s="32" t="s">
        <v>782</v>
      </c>
      <c r="C80"/>
      <c r="D80" s="1099"/>
      <c r="E80" s="263"/>
      <c r="F80" s="263"/>
      <c r="G80" s="263"/>
      <c r="H80" s="860"/>
      <c r="I80"/>
      <c r="J80"/>
      <c r="K80"/>
      <c r="L80" s="860"/>
      <c r="M80"/>
      <c r="N80"/>
      <c r="O80"/>
      <c r="P80" s="860"/>
      <c r="Q80"/>
    </row>
    <row r="81" spans="1:17" ht="29" customHeight="1">
      <c r="A81" s="263"/>
      <c r="B81"/>
      <c r="C81" s="1859">
        <v>2050</v>
      </c>
      <c r="D81"/>
      <c r="E81" s="263"/>
      <c r="F81" s="263"/>
      <c r="G81" s="263"/>
      <c r="H81" s="860"/>
      <c r="I81"/>
      <c r="J81"/>
      <c r="K81"/>
      <c r="L81" s="860"/>
      <c r="M81"/>
      <c r="N81"/>
      <c r="O81"/>
      <c r="P81" s="860"/>
      <c r="Q81"/>
    </row>
    <row r="82" spans="1:17" ht="29" customHeight="1">
      <c r="A82" s="263"/>
      <c r="B82" s="1860" t="s">
        <v>776</v>
      </c>
      <c r="C82" s="1857">
        <f>AVERAGE(C76,C70)</f>
        <v>0.77500000000000002</v>
      </c>
      <c r="D82"/>
      <c r="E82" s="263"/>
      <c r="F82" s="263"/>
      <c r="G82" s="263"/>
      <c r="H82" s="860"/>
      <c r="I82"/>
      <c r="J82"/>
      <c r="K82"/>
      <c r="L82" s="860"/>
      <c r="M82"/>
      <c r="N82"/>
      <c r="O82"/>
      <c r="P82" s="860"/>
      <c r="Q82"/>
    </row>
    <row r="83" spans="1:17" ht="29" customHeight="1">
      <c r="A83" s="263"/>
      <c r="B83" s="1862" t="s">
        <v>777</v>
      </c>
      <c r="C83" s="1863">
        <f>C63*(1-C82)</f>
        <v>0</v>
      </c>
      <c r="D83"/>
      <c r="E83" s="263"/>
      <c r="F83" s="263"/>
      <c r="G83" s="263"/>
      <c r="H83" s="860"/>
      <c r="I83"/>
      <c r="J83"/>
      <c r="K83"/>
      <c r="L83" s="860"/>
      <c r="M83"/>
      <c r="N83"/>
      <c r="O83"/>
      <c r="P83" s="860"/>
      <c r="Q83"/>
    </row>
    <row r="84" spans="1:17" ht="29" customHeight="1" thickBot="1">
      <c r="A84" s="263"/>
      <c r="B84" s="1864"/>
      <c r="C84"/>
      <c r="D84" s="1099"/>
      <c r="E84" s="263"/>
      <c r="F84" s="263"/>
      <c r="H84" s="263"/>
      <c r="I84"/>
      <c r="J84"/>
      <c r="K84"/>
      <c r="L84" s="860"/>
      <c r="M84"/>
      <c r="N84"/>
      <c r="O84"/>
      <c r="P84" s="860"/>
      <c r="Q84"/>
    </row>
    <row r="85" spans="1:17" customFormat="1" ht="35" customHeight="1" thickBot="1">
      <c r="B85" s="1100" t="s">
        <v>783</v>
      </c>
      <c r="C85" s="1101">
        <f>100%-(C83+C77+C71)</f>
        <v>1</v>
      </c>
      <c r="E85" s="1866"/>
      <c r="F85" s="852"/>
      <c r="G85" s="257"/>
      <c r="H85" s="257"/>
    </row>
    <row r="86" spans="1:17" customFormat="1" ht="29" customHeight="1">
      <c r="B86" s="257"/>
      <c r="E86" s="257"/>
      <c r="F86" s="852"/>
      <c r="G86" s="1867"/>
      <c r="H86" s="257"/>
    </row>
    <row r="87" spans="1:17" ht="29" customHeight="1">
      <c r="A87" s="263"/>
      <c r="B87" s="1102"/>
      <c r="C87" s="271"/>
      <c r="D87" s="1099"/>
      <c r="E87" s="263"/>
      <c r="F87" s="263"/>
      <c r="G87" s="263"/>
      <c r="H87" s="263"/>
      <c r="I87"/>
      <c r="J87"/>
      <c r="K87"/>
      <c r="L87"/>
      <c r="M87"/>
      <c r="N87"/>
      <c r="O87"/>
      <c r="P87"/>
      <c r="Q87"/>
    </row>
    <row r="88" spans="1:17" ht="29" customHeight="1">
      <c r="A88" s="263"/>
      <c r="B88" s="723" t="s">
        <v>784</v>
      </c>
      <c r="C88" s="263"/>
      <c r="D88" s="1103"/>
      <c r="E88" s="263"/>
    </row>
    <row r="89" spans="1:17" ht="29" customHeight="1" thickBot="1">
      <c r="A89" s="263"/>
      <c r="B89" s="263"/>
      <c r="C89" s="263"/>
      <c r="D89" s="263"/>
      <c r="E89" s="263"/>
    </row>
    <row r="90" spans="1:17" ht="57" customHeight="1">
      <c r="A90" s="263"/>
      <c r="B90" s="1090" t="s">
        <v>8</v>
      </c>
      <c r="C90" s="1996" t="s">
        <v>785</v>
      </c>
      <c r="D90" s="1997"/>
      <c r="E90" s="1997"/>
      <c r="F90" s="1997"/>
      <c r="G90" s="1997"/>
      <c r="H90" s="1998"/>
      <c r="I90"/>
      <c r="J90"/>
      <c r="K90"/>
      <c r="L90"/>
      <c r="M90"/>
      <c r="N90"/>
      <c r="O90"/>
      <c r="P90"/>
      <c r="Q90"/>
    </row>
    <row r="91" spans="1:17" ht="75" customHeight="1" thickBot="1">
      <c r="A91" s="263"/>
      <c r="B91" s="1093" t="s">
        <v>9</v>
      </c>
      <c r="C91" s="2025" t="s">
        <v>1329</v>
      </c>
      <c r="D91" s="2026"/>
      <c r="E91" s="2026"/>
      <c r="F91" s="2026"/>
      <c r="G91" s="2026"/>
      <c r="H91" s="2027"/>
      <c r="I91"/>
      <c r="J91"/>
      <c r="K91"/>
      <c r="L91"/>
      <c r="M91"/>
      <c r="N91"/>
      <c r="O91"/>
      <c r="P91"/>
      <c r="Q91"/>
    </row>
    <row r="92" spans="1:17" ht="49" customHeight="1">
      <c r="A92" s="263"/>
      <c r="B92" s="271"/>
      <c r="C92" s="263"/>
      <c r="D92" s="263"/>
      <c r="E92" s="263"/>
      <c r="F92" s="263"/>
      <c r="G92" s="263"/>
      <c r="H92" s="263"/>
      <c r="I92"/>
      <c r="J92"/>
      <c r="K92"/>
      <c r="L92"/>
      <c r="M92"/>
      <c r="N92"/>
      <c r="O92"/>
      <c r="P92"/>
      <c r="Q92"/>
    </row>
    <row r="93" spans="1:17" ht="22" customHeight="1" thickBot="1">
      <c r="A93" s="263"/>
      <c r="B93" s="271" t="s">
        <v>786</v>
      </c>
      <c r="C93" s="271"/>
      <c r="D93" s="271"/>
      <c r="E93" s="271"/>
      <c r="F93" s="271"/>
      <c r="G93" s="271"/>
      <c r="H93" s="271"/>
      <c r="I93"/>
      <c r="J93"/>
      <c r="K93"/>
      <c r="L93"/>
      <c r="M93"/>
      <c r="N93"/>
      <c r="O93"/>
      <c r="P93"/>
      <c r="Q93"/>
    </row>
    <row r="94" spans="1:17" ht="24" customHeight="1" thickBot="1">
      <c r="A94" s="263"/>
      <c r="B94" s="32"/>
      <c r="C94" s="1104">
        <v>2022</v>
      </c>
      <c r="D94" s="1104">
        <v>2050</v>
      </c>
      <c r="E94" s="9"/>
      <c r="F94" s="32"/>
      <c r="G94" s="32"/>
      <c r="H94" s="263"/>
      <c r="I94" s="271"/>
      <c r="J94" s="271"/>
      <c r="K94" s="271"/>
      <c r="L94" s="271"/>
      <c r="M94" s="271"/>
      <c r="N94" s="271"/>
      <c r="O94" s="271"/>
      <c r="P94" s="271"/>
      <c r="Q94" s="271"/>
    </row>
    <row r="95" spans="1:17" ht="24" customHeight="1">
      <c r="A95" s="263"/>
      <c r="B95" s="546" t="s">
        <v>787</v>
      </c>
      <c r="C95" s="1105">
        <v>481</v>
      </c>
      <c r="D95" s="1106">
        <v>211</v>
      </c>
      <c r="E95" s="9"/>
      <c r="F95" s="32"/>
      <c r="G95" s="32"/>
      <c r="H95" s="263"/>
      <c r="I95" s="263"/>
      <c r="J95" s="263"/>
      <c r="K95" s="263"/>
      <c r="L95" s="263"/>
      <c r="M95" s="263"/>
      <c r="N95" s="263"/>
      <c r="O95" s="263"/>
      <c r="P95" s="263"/>
      <c r="Q95" s="271"/>
    </row>
    <row r="96" spans="1:17" ht="24" customHeight="1">
      <c r="A96" s="263"/>
      <c r="B96" s="1107" t="s">
        <v>788</v>
      </c>
      <c r="C96" s="1108">
        <v>163</v>
      </c>
      <c r="D96" s="1109">
        <v>68</v>
      </c>
      <c r="E96" s="9"/>
      <c r="F96" s="32"/>
      <c r="G96" s="32"/>
      <c r="H96" s="263"/>
      <c r="I96" s="263"/>
      <c r="J96" s="263"/>
      <c r="K96" s="263"/>
      <c r="L96" s="263"/>
      <c r="M96" s="263"/>
      <c r="N96" s="263"/>
      <c r="O96" s="263"/>
      <c r="P96" s="263"/>
    </row>
    <row r="97" spans="1:16" ht="24" customHeight="1" thickBot="1">
      <c r="A97" s="263"/>
      <c r="B97" s="1110" t="s">
        <v>789</v>
      </c>
      <c r="C97" s="1111">
        <f>(C96-C95)/C95</f>
        <v>-0.66112266112266116</v>
      </c>
      <c r="D97" s="1112">
        <f>(D96-D95)/D95</f>
        <v>-0.67772511848341233</v>
      </c>
      <c r="E97" s="1095"/>
      <c r="F97" s="718"/>
      <c r="G97" s="35"/>
      <c r="H97" s="263"/>
      <c r="I97" s="263"/>
      <c r="J97" s="263"/>
      <c r="K97" s="263"/>
      <c r="L97" s="263"/>
      <c r="M97" s="263"/>
      <c r="N97" s="263"/>
      <c r="O97" s="263"/>
      <c r="P97" s="263"/>
    </row>
    <row r="98" spans="1:16" ht="24" customHeight="1">
      <c r="A98"/>
      <c r="B98" s="158"/>
      <c r="C98" s="1868"/>
      <c r="D98" s="1869"/>
      <c r="E98" s="1095"/>
      <c r="F98" s="718"/>
      <c r="G98" s="35"/>
      <c r="H98" s="263"/>
      <c r="I98" s="263"/>
      <c r="J98" s="263"/>
      <c r="K98" s="263"/>
      <c r="L98" s="263"/>
      <c r="M98" s="263"/>
      <c r="N98" s="263"/>
      <c r="O98" s="263"/>
      <c r="P98" s="263"/>
    </row>
    <row r="99" spans="1:16" ht="17" thickBot="1">
      <c r="A99"/>
      <c r="B99" s="32" t="s">
        <v>1745</v>
      </c>
      <c r="C99" s="1868"/>
      <c r="D99" s="1869"/>
      <c r="E99" s="1095"/>
      <c r="F99" s="718"/>
      <c r="G99" s="35"/>
      <c r="H99" s="263"/>
      <c r="I99" s="263"/>
      <c r="J99" s="263"/>
      <c r="K99" s="263"/>
      <c r="L99" s="263"/>
      <c r="M99" s="263"/>
      <c r="N99" s="263"/>
      <c r="O99" s="263"/>
      <c r="P99" s="263"/>
    </row>
    <row r="100" spans="1:16" ht="16" customHeight="1" thickBot="1">
      <c r="A100"/>
      <c r="B100" s="32"/>
      <c r="C100" s="1104">
        <v>2022</v>
      </c>
      <c r="D100" s="1104">
        <v>2050</v>
      </c>
      <c r="E100" s="1095"/>
      <c r="F100" s="718"/>
      <c r="G100" s="35"/>
      <c r="H100" s="263"/>
      <c r="I100"/>
      <c r="J100" s="263"/>
      <c r="K100" s="263"/>
      <c r="L100" s="263"/>
      <c r="M100" s="263"/>
      <c r="N100" s="263"/>
      <c r="O100" s="263"/>
      <c r="P100" s="263"/>
    </row>
    <row r="101" spans="1:16" ht="16">
      <c r="A101"/>
      <c r="B101" s="546" t="s">
        <v>1746</v>
      </c>
      <c r="C101" s="1105">
        <f>'[1]10.1 Stade'!E57</f>
        <v>0</v>
      </c>
      <c r="D101" s="1106">
        <f>C101*D95/C95</f>
        <v>0</v>
      </c>
      <c r="E101" s="1095"/>
      <c r="F101" s="718"/>
      <c r="G101" s="35"/>
      <c r="H101" s="263"/>
      <c r="I101"/>
      <c r="J101" s="263"/>
      <c r="K101" s="263"/>
      <c r="L101" s="263"/>
      <c r="M101" s="263"/>
      <c r="N101" s="263"/>
      <c r="O101" s="263"/>
      <c r="P101" s="263"/>
    </row>
    <row r="102" spans="1:16" ht="31" customHeight="1">
      <c r="A102"/>
      <c r="B102" s="1107" t="s">
        <v>1747</v>
      </c>
      <c r="C102" s="1108">
        <f>'[1]10.1 Stade'!E58</f>
        <v>0</v>
      </c>
      <c r="D102" s="1109">
        <f>C102*D96/C96</f>
        <v>0</v>
      </c>
      <c r="E102" s="1095"/>
      <c r="F102" s="718"/>
      <c r="G102" s="35"/>
      <c r="H102" s="263"/>
      <c r="I102"/>
      <c r="J102" s="263"/>
      <c r="K102" s="263"/>
      <c r="L102" s="263"/>
      <c r="M102" s="263"/>
      <c r="N102" s="263"/>
      <c r="O102" s="263"/>
      <c r="P102" s="263"/>
    </row>
    <row r="103" spans="1:16" ht="17" thickBot="1">
      <c r="B103" s="1110" t="s">
        <v>789</v>
      </c>
      <c r="C103" s="1111" t="e">
        <f>(C102-C101)/C101</f>
        <v>#DIV/0!</v>
      </c>
      <c r="D103" s="1112" t="e">
        <f>(D102-D101)/D101</f>
        <v>#DIV/0!</v>
      </c>
      <c r="E103" s="1095"/>
      <c r="F103" s="718"/>
      <c r="G103" s="35"/>
      <c r="H103" s="263"/>
      <c r="I103" s="263"/>
      <c r="J103" s="263"/>
      <c r="K103" s="263"/>
      <c r="L103" s="263"/>
      <c r="M103" s="263"/>
      <c r="N103" s="263"/>
      <c r="O103" s="263"/>
      <c r="P103" s="263"/>
    </row>
    <row r="104" spans="1:16" ht="16">
      <c r="B104" s="158"/>
      <c r="C104" s="1868"/>
      <c r="D104" s="1869"/>
      <c r="E104" s="1095"/>
      <c r="F104" s="718"/>
      <c r="G104" s="35"/>
      <c r="H104" s="263"/>
      <c r="I104" s="263"/>
      <c r="J104" s="263"/>
      <c r="K104" s="263"/>
      <c r="L104" s="263"/>
      <c r="M104" s="263"/>
      <c r="N104" s="263"/>
      <c r="O104" s="263"/>
      <c r="P104" s="263"/>
    </row>
    <row r="105" spans="1:16" ht="16">
      <c r="B105" s="263"/>
      <c r="C105" s="263"/>
      <c r="D105" s="263"/>
      <c r="E105" s="263"/>
      <c r="F105" s="263"/>
      <c r="G105" s="263"/>
      <c r="H105" s="263"/>
      <c r="I105" s="263"/>
      <c r="J105" s="263"/>
      <c r="K105" s="263"/>
      <c r="L105" s="263"/>
      <c r="M105" s="263"/>
      <c r="N105" s="263"/>
      <c r="O105" s="263"/>
      <c r="P105" s="263"/>
    </row>
    <row r="106" spans="1:16" ht="20">
      <c r="B106" s="295"/>
      <c r="C106" s="263"/>
      <c r="D106" s="263"/>
      <c r="E106" s="263"/>
      <c r="F106" s="263"/>
      <c r="G106" s="263"/>
      <c r="H106" s="263"/>
      <c r="J106" s="263"/>
      <c r="K106" s="263"/>
      <c r="L106" s="263"/>
      <c r="M106" s="263"/>
      <c r="N106" s="263"/>
      <c r="O106" s="263"/>
      <c r="P106" s="263"/>
    </row>
    <row r="107" spans="1:16" ht="16">
      <c r="B107" s="263"/>
      <c r="C107" s="263"/>
      <c r="D107" s="263"/>
      <c r="E107" s="263"/>
      <c r="F107" s="263"/>
      <c r="G107" s="263"/>
      <c r="H107" s="263"/>
      <c r="J107" s="263"/>
      <c r="K107" s="263"/>
      <c r="L107" s="263"/>
      <c r="M107" s="263"/>
      <c r="N107" s="263"/>
      <c r="O107" s="263"/>
      <c r="P107" s="263"/>
    </row>
    <row r="108" spans="1:16" ht="16">
      <c r="B108" s="263"/>
      <c r="C108" s="263"/>
      <c r="D108" s="263"/>
      <c r="E108" s="263"/>
      <c r="F108" s="263"/>
      <c r="G108" s="263"/>
      <c r="H108" s="263"/>
    </row>
    <row r="109" spans="1:16" ht="16">
      <c r="B109" s="263"/>
      <c r="C109" s="263"/>
      <c r="D109" s="263"/>
      <c r="E109" s="263"/>
      <c r="F109" s="263"/>
      <c r="G109" s="263"/>
      <c r="H109" s="263"/>
    </row>
    <row r="113" spans="2:2" ht="25">
      <c r="B113" s="327" t="s">
        <v>790</v>
      </c>
    </row>
    <row r="115" spans="2:2" ht="20">
      <c r="B115" s="1113" t="s">
        <v>791</v>
      </c>
    </row>
    <row r="141" spans="2:2" ht="20">
      <c r="B141" s="1113" t="s">
        <v>1574</v>
      </c>
    </row>
    <row r="143" spans="2:2">
      <c r="B143" s="1622" t="s">
        <v>1748</v>
      </c>
    </row>
    <row r="145" spans="2:3">
      <c r="B145" s="257" t="s">
        <v>1749</v>
      </c>
      <c r="C145" s="860">
        <v>-0.44874268233042408</v>
      </c>
    </row>
  </sheetData>
  <mergeCells count="17">
    <mergeCell ref="C91:H91"/>
    <mergeCell ref="B2:D2"/>
    <mergeCell ref="B5:D5"/>
    <mergeCell ref="C8:D8"/>
    <mergeCell ref="B10:F11"/>
    <mergeCell ref="C13:E13"/>
    <mergeCell ref="C14:E14"/>
    <mergeCell ref="C15:E15"/>
    <mergeCell ref="C16:E16"/>
    <mergeCell ref="B15:B16"/>
    <mergeCell ref="C90:H90"/>
    <mergeCell ref="C54:H54"/>
    <mergeCell ref="C56:H56"/>
    <mergeCell ref="B60:C60"/>
    <mergeCell ref="B23:G24"/>
    <mergeCell ref="B48:G48"/>
    <mergeCell ref="C55:H5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N242"/>
  <sheetViews>
    <sheetView zoomScale="56" workbookViewId="0">
      <selection activeCell="C16" sqref="C16"/>
    </sheetView>
  </sheetViews>
  <sheetFormatPr baseColWidth="10" defaultColWidth="8.83203125" defaultRowHeight="14"/>
  <cols>
    <col min="1" max="1" width="8.83203125" style="10"/>
    <col min="2" max="2" width="32.83203125" style="10" customWidth="1"/>
    <col min="3" max="4" width="21.6640625" style="10" customWidth="1"/>
    <col min="5" max="5" width="31" style="10" customWidth="1"/>
    <col min="6" max="7" width="21.6640625" style="10" customWidth="1"/>
    <col min="8" max="8" width="46.83203125" style="10" customWidth="1"/>
    <col min="9" max="9" width="45.83203125" style="10" customWidth="1"/>
    <col min="10" max="10" width="31" style="10" customWidth="1"/>
    <col min="11" max="12" width="21.6640625" style="10" customWidth="1"/>
    <col min="13" max="16384" width="8.83203125" style="10"/>
  </cols>
  <sheetData>
    <row r="1" spans="1:12" ht="15" thickBot="1"/>
    <row r="2" spans="1:12" ht="26" customHeight="1" thickBot="1">
      <c r="B2" s="1963" t="s">
        <v>15</v>
      </c>
      <c r="C2" s="1964"/>
      <c r="D2" s="71"/>
      <c r="E2"/>
      <c r="F2"/>
      <c r="G2"/>
      <c r="H2"/>
      <c r="I2"/>
      <c r="J2"/>
      <c r="K2"/>
      <c r="L2"/>
    </row>
    <row r="3" spans="1:12" ht="15" thickBot="1">
      <c r="B3" s="366"/>
      <c r="C3" s="366"/>
      <c r="D3" s="367"/>
      <c r="E3"/>
      <c r="F3"/>
      <c r="G3"/>
      <c r="H3"/>
      <c r="I3"/>
      <c r="J3"/>
      <c r="K3"/>
      <c r="L3"/>
    </row>
    <row r="4" spans="1:12" ht="15" thickBot="1">
      <c r="B4" s="2050" t="s">
        <v>2</v>
      </c>
      <c r="C4" s="2051"/>
      <c r="D4" s="2052"/>
      <c r="E4"/>
      <c r="F4"/>
      <c r="G4"/>
      <c r="H4"/>
      <c r="I4"/>
      <c r="J4"/>
      <c r="K4"/>
      <c r="L4"/>
    </row>
    <row r="5" spans="1:12" ht="26" customHeight="1">
      <c r="B5" s="154" t="s">
        <v>207</v>
      </c>
      <c r="C5" s="128">
        <f>E73</f>
        <v>98186.319186948298</v>
      </c>
      <c r="D5" s="129" t="s">
        <v>3</v>
      </c>
      <c r="E5"/>
      <c r="F5"/>
      <c r="G5"/>
      <c r="H5"/>
      <c r="I5"/>
      <c r="J5"/>
      <c r="K5"/>
      <c r="L5"/>
    </row>
    <row r="6" spans="1:12" ht="15">
      <c r="B6" s="155" t="s">
        <v>4</v>
      </c>
      <c r="C6" s="2053" t="s">
        <v>1546</v>
      </c>
      <c r="D6" s="2054"/>
      <c r="E6"/>
      <c r="F6"/>
      <c r="G6"/>
      <c r="H6"/>
      <c r="I6"/>
      <c r="J6"/>
      <c r="K6"/>
      <c r="L6"/>
    </row>
    <row r="7" spans="1:12" ht="16" thickBot="1">
      <c r="B7" s="156" t="s">
        <v>5</v>
      </c>
      <c r="C7" s="2055"/>
      <c r="D7" s="2056"/>
      <c r="E7" s="71"/>
    </row>
    <row r="8" spans="1:12" ht="32" customHeight="1" thickBot="1">
      <c r="B8" s="368"/>
      <c r="C8" s="367"/>
      <c r="D8" s="367"/>
      <c r="E8" s="367"/>
      <c r="F8" s="367"/>
      <c r="G8" s="367"/>
      <c r="H8" s="367"/>
      <c r="I8" s="367"/>
      <c r="J8" s="367"/>
      <c r="K8" s="367"/>
      <c r="L8" s="367"/>
    </row>
    <row r="9" spans="1:12" ht="21" customHeight="1" thickBot="1">
      <c r="B9" s="2057" t="s">
        <v>6</v>
      </c>
      <c r="C9" s="2058"/>
      <c r="D9" s="2058"/>
      <c r="E9" s="2058"/>
      <c r="F9" s="2058"/>
      <c r="G9" s="2058"/>
      <c r="H9" s="2058"/>
      <c r="I9" s="2058"/>
      <c r="J9" s="2058"/>
      <c r="K9" s="2058"/>
      <c r="L9" s="2059"/>
    </row>
    <row r="10" spans="1:12" ht="124" customHeight="1">
      <c r="A10" s="1894"/>
      <c r="B10" s="12" t="s">
        <v>7</v>
      </c>
      <c r="C10" s="1979" t="s">
        <v>1547</v>
      </c>
      <c r="D10" s="1980"/>
      <c r="E10" s="1980"/>
      <c r="F10" s="1980"/>
      <c r="G10" s="1980"/>
      <c r="H10" s="1980"/>
      <c r="I10" s="1980"/>
      <c r="J10" s="1980"/>
      <c r="K10" s="1980"/>
      <c r="L10" s="1981"/>
    </row>
    <row r="11" spans="1:12" ht="77" customHeight="1">
      <c r="A11" s="1894"/>
      <c r="B11" s="13" t="s">
        <v>8</v>
      </c>
      <c r="C11" s="1975" t="s">
        <v>1794</v>
      </c>
      <c r="D11" s="1976"/>
      <c r="E11" s="1976"/>
      <c r="F11" s="1976"/>
      <c r="G11" s="1976"/>
      <c r="H11" s="1976"/>
      <c r="I11" s="1976"/>
      <c r="J11" s="1976"/>
      <c r="K11" s="1976"/>
      <c r="L11" s="1977"/>
    </row>
    <row r="12" spans="1:12" ht="202" customHeight="1">
      <c r="A12" s="1894"/>
      <c r="B12" s="13" t="s">
        <v>9</v>
      </c>
      <c r="C12" s="1982" t="s">
        <v>319</v>
      </c>
      <c r="D12" s="1983"/>
      <c r="E12" s="1983"/>
      <c r="F12" s="1983"/>
      <c r="G12" s="1983"/>
      <c r="H12" s="1983"/>
      <c r="I12" s="1983"/>
      <c r="J12" s="1983"/>
      <c r="K12" s="1983"/>
      <c r="L12" s="1984"/>
    </row>
    <row r="13" spans="1:12" ht="62" customHeight="1">
      <c r="A13" s="1894"/>
      <c r="B13" s="13" t="s">
        <v>11</v>
      </c>
      <c r="C13" s="1975" t="s">
        <v>1545</v>
      </c>
      <c r="D13" s="1976"/>
      <c r="E13" s="1976"/>
      <c r="F13" s="1976"/>
      <c r="G13" s="1976"/>
      <c r="H13" s="1976"/>
      <c r="I13" s="1976"/>
      <c r="J13" s="1976"/>
      <c r="K13" s="1976"/>
      <c r="L13" s="1977"/>
    </row>
    <row r="14" spans="1:12" ht="23" customHeight="1">
      <c r="A14" s="1894"/>
      <c r="B14" s="13" t="s">
        <v>12</v>
      </c>
      <c r="C14" s="1978" t="s">
        <v>1544</v>
      </c>
      <c r="D14" s="1976"/>
      <c r="E14" s="1976"/>
      <c r="F14" s="1976"/>
      <c r="G14" s="1976"/>
      <c r="H14" s="1976"/>
      <c r="I14" s="1976"/>
      <c r="J14" s="1976"/>
      <c r="K14" s="1976"/>
      <c r="L14" s="1977"/>
    </row>
    <row r="15" spans="1:12" ht="23" customHeight="1" thickBot="1">
      <c r="A15" s="1894"/>
      <c r="B15" s="14" t="s">
        <v>13</v>
      </c>
      <c r="C15" s="1985" t="s">
        <v>271</v>
      </c>
      <c r="D15" s="1986"/>
      <c r="E15" s="1986"/>
      <c r="F15" s="1986"/>
      <c r="G15" s="1986"/>
      <c r="H15" s="1986"/>
      <c r="I15" s="1986"/>
      <c r="J15" s="1986"/>
      <c r="K15" s="1986"/>
      <c r="L15" s="1987"/>
    </row>
    <row r="16" spans="1:12" ht="23" customHeight="1"/>
    <row r="17" spans="2:14" ht="25" customHeight="1">
      <c r="B17" s="378" t="s">
        <v>424</v>
      </c>
    </row>
    <row r="18" spans="2:14" ht="17" customHeight="1">
      <c r="B18" s="1199" t="s">
        <v>265</v>
      </c>
    </row>
    <row r="19" spans="2:14" ht="17" customHeight="1">
      <c r="B19" s="10" t="s">
        <v>1336</v>
      </c>
    </row>
    <row r="20" spans="2:14" ht="17" customHeight="1">
      <c r="B20" s="31" t="s">
        <v>1335</v>
      </c>
    </row>
    <row r="21" spans="2:14" ht="17" customHeight="1">
      <c r="B21" s="31" t="s">
        <v>1337</v>
      </c>
      <c r="C21" s="5"/>
      <c r="D21" s="6"/>
      <c r="E21" s="6"/>
      <c r="F21" s="6"/>
      <c r="G21" s="6"/>
      <c r="H21" s="6"/>
    </row>
    <row r="22" spans="2:14" ht="49" customHeight="1">
      <c r="B22" s="1940" t="s">
        <v>1338</v>
      </c>
      <c r="C22" s="1940"/>
      <c r="D22" s="1940"/>
      <c r="E22" s="1940"/>
      <c r="F22" s="1940"/>
      <c r="G22" s="1940"/>
      <c r="H22" s="1940"/>
      <c r="I22" s="1940"/>
      <c r="J22" s="177"/>
      <c r="K22" s="177"/>
      <c r="L22" s="177"/>
      <c r="M22" s="177"/>
      <c r="N22" s="177"/>
    </row>
    <row r="23" spans="2:14" ht="17" customHeight="1">
      <c r="B23" s="71"/>
      <c r="C23" s="71"/>
      <c r="D23" s="71"/>
      <c r="E23" s="71"/>
      <c r="F23" s="71"/>
      <c r="G23" s="71"/>
      <c r="H23" s="71"/>
      <c r="I23" s="177"/>
      <c r="J23" s="177"/>
      <c r="K23" s="177"/>
      <c r="L23" s="177"/>
      <c r="M23" s="177"/>
      <c r="N23" s="177"/>
    </row>
    <row r="24" spans="2:14" ht="23" customHeight="1">
      <c r="B24" s="379" t="s">
        <v>425</v>
      </c>
    </row>
    <row r="25" spans="2:14" ht="17" customHeight="1">
      <c r="B25" s="1199" t="s">
        <v>265</v>
      </c>
    </row>
    <row r="26" spans="2:14" ht="17" customHeight="1">
      <c r="B26" s="30" t="s">
        <v>427</v>
      </c>
    </row>
    <row r="27" spans="2:14" ht="17" customHeight="1">
      <c r="B27" s="125" t="str">
        <f>B197</f>
        <v>Énergie consommée</v>
      </c>
      <c r="C27" s="47" t="s">
        <v>17</v>
      </c>
      <c r="D27" s="376" t="str">
        <f>D197</f>
        <v>Unités</v>
      </c>
    </row>
    <row r="28" spans="2:14" ht="17" customHeight="1">
      <c r="B28" s="126" t="str">
        <f t="shared" ref="B28:D29" si="0">B198</f>
        <v>Électricité</v>
      </c>
      <c r="C28" s="127">
        <f t="shared" si="0"/>
        <v>8.8967657877719404</v>
      </c>
      <c r="D28" s="126" t="str">
        <f t="shared" si="0"/>
        <v>kWh/m2/an</v>
      </c>
    </row>
    <row r="29" spans="2:14" ht="17" customHeight="1">
      <c r="B29" s="126" t="str">
        <f t="shared" si="0"/>
        <v>Gaz naturel</v>
      </c>
      <c r="C29" s="127">
        <f t="shared" si="0"/>
        <v>12.461183413387015</v>
      </c>
      <c r="D29" s="126" t="str">
        <f t="shared" si="0"/>
        <v>kWh/m2/an</v>
      </c>
    </row>
    <row r="30" spans="2:14" ht="17" customHeight="1">
      <c r="B30" s="126" t="str">
        <f t="shared" ref="B30:D31" si="1">B200</f>
        <v>Fioul</v>
      </c>
      <c r="C30" s="127">
        <f t="shared" si="1"/>
        <v>2.1313948874142854</v>
      </c>
      <c r="D30" s="126" t="str">
        <f t="shared" si="1"/>
        <v>kWh/m2/an</v>
      </c>
    </row>
    <row r="31" spans="2:14" ht="17" customHeight="1">
      <c r="B31" s="126" t="str">
        <f t="shared" si="1"/>
        <v>Énergies renouvelables</v>
      </c>
      <c r="C31" s="127">
        <f t="shared" si="1"/>
        <v>4.6098598405530024E-2</v>
      </c>
      <c r="D31" s="126" t="str">
        <f t="shared" si="1"/>
        <v>kWh/m2/an</v>
      </c>
    </row>
    <row r="32" spans="2:14" ht="17" customHeight="1">
      <c r="B32" s="126" t="str">
        <f>B202</f>
        <v>Chaleur</v>
      </c>
      <c r="C32" s="127">
        <f t="shared" ref="C32:D32" si="2">C202</f>
        <v>0.42776629517302156</v>
      </c>
      <c r="D32" s="126" t="str">
        <f t="shared" si="2"/>
        <v>kWh/m2/an</v>
      </c>
      <c r="E32" s="9"/>
    </row>
    <row r="33" spans="2:8" ht="17" customHeight="1">
      <c r="B33" s="376" t="str">
        <f>B203</f>
        <v>Total</v>
      </c>
      <c r="C33" s="377">
        <f t="shared" ref="C33:D33" si="3">C203</f>
        <v>23.963208982151791</v>
      </c>
      <c r="D33" s="376" t="str">
        <f t="shared" si="3"/>
        <v>kWh/m2/an</v>
      </c>
      <c r="E33" s="9"/>
    </row>
    <row r="34" spans="2:8" ht="17" customHeight="1">
      <c r="B34" s="30"/>
      <c r="E34" s="9"/>
    </row>
    <row r="35" spans="2:8" ht="22" customHeight="1">
      <c r="B35" s="379" t="s">
        <v>428</v>
      </c>
      <c r="E35" s="9"/>
    </row>
    <row r="36" spans="2:8" ht="17" customHeight="1">
      <c r="B36" s="1199" t="s">
        <v>265</v>
      </c>
      <c r="E36" s="9"/>
    </row>
    <row r="37" spans="2:8" ht="17" customHeight="1">
      <c r="B37" s="30" t="s">
        <v>427</v>
      </c>
      <c r="E37" s="9"/>
    </row>
    <row r="38" spans="2:8" ht="21" customHeight="1">
      <c r="B38" s="41" t="s">
        <v>226</v>
      </c>
      <c r="C38" s="47" t="s">
        <v>17</v>
      </c>
      <c r="D38" s="42" t="s">
        <v>228</v>
      </c>
      <c r="E38" s="9"/>
    </row>
    <row r="39" spans="2:8" ht="21" customHeight="1">
      <c r="B39" s="34" t="s">
        <v>229</v>
      </c>
      <c r="C39" s="45">
        <f>C198*'1. Infrastructures '!$G$52/1000</f>
        <v>250728.05734768105</v>
      </c>
      <c r="D39" s="34" t="s">
        <v>430</v>
      </c>
      <c r="E39" s="9"/>
    </row>
    <row r="40" spans="2:8" ht="21" customHeight="1">
      <c r="B40" s="34" t="s">
        <v>50</v>
      </c>
      <c r="C40" s="45">
        <f>C199*'1. Infrastructures '!$G$52/1000</f>
        <v>351180.23605678417</v>
      </c>
      <c r="D40" s="34" t="s">
        <v>430</v>
      </c>
      <c r="E40" s="9"/>
    </row>
    <row r="41" spans="2:8" ht="21" customHeight="1">
      <c r="B41" s="34" t="s">
        <v>242</v>
      </c>
      <c r="C41" s="45">
        <f>C200*'1. Infrastructures '!$G$52/1000</f>
        <v>60066.827913651934</v>
      </c>
      <c r="D41" s="34" t="s">
        <v>430</v>
      </c>
      <c r="E41" s="9"/>
    </row>
    <row r="42" spans="2:8" ht="21" customHeight="1">
      <c r="B42" s="34" t="s">
        <v>243</v>
      </c>
      <c r="C42" s="45">
        <f>C201*'1. Infrastructures '!$G$52/1000</f>
        <v>1299.1476116585541</v>
      </c>
      <c r="D42" s="34" t="s">
        <v>430</v>
      </c>
      <c r="E42" s="9"/>
    </row>
    <row r="43" spans="2:8" ht="21" customHeight="1">
      <c r="B43" s="34" t="s">
        <v>244</v>
      </c>
      <c r="C43" s="45">
        <f>C202*'1. Infrastructures '!$G$52/1000</f>
        <v>12055.281070224317</v>
      </c>
      <c r="D43" s="34" t="s">
        <v>430</v>
      </c>
      <c r="E43" s="9"/>
    </row>
    <row r="44" spans="2:8" ht="21" customHeight="1">
      <c r="B44" s="42" t="s">
        <v>0</v>
      </c>
      <c r="C44" s="46">
        <f>SUM(C39:C43)</f>
        <v>675329.55</v>
      </c>
      <c r="D44" s="42" t="s">
        <v>430</v>
      </c>
      <c r="E44" s="9"/>
    </row>
    <row r="45" spans="2:8" ht="17" customHeight="1"/>
    <row r="46" spans="2:8" ht="23" customHeight="1">
      <c r="B46" s="379" t="s">
        <v>429</v>
      </c>
    </row>
    <row r="47" spans="2:8" ht="22" customHeight="1">
      <c r="B47" s="42" t="s">
        <v>226</v>
      </c>
      <c r="C47" s="47" t="s">
        <v>17</v>
      </c>
      <c r="D47" s="229" t="s">
        <v>18</v>
      </c>
      <c r="E47" s="232" t="s">
        <v>297</v>
      </c>
      <c r="F47" s="9"/>
      <c r="G47" s="9"/>
      <c r="H47" s="9"/>
    </row>
    <row r="48" spans="2:8" ht="22" customHeight="1">
      <c r="B48" s="34" t="s">
        <v>229</v>
      </c>
      <c r="C48" s="94">
        <f>C39*1000*$C82/1000</f>
        <v>13037.858982079415</v>
      </c>
      <c r="D48" s="230" t="s">
        <v>123</v>
      </c>
      <c r="E48" s="233">
        <f>C48/$C$53</f>
        <v>0.11478213247853886</v>
      </c>
      <c r="F48" s="9"/>
      <c r="G48" s="9"/>
      <c r="H48" s="9"/>
    </row>
    <row r="49" spans="1:11" ht="22" customHeight="1">
      <c r="B49" s="34" t="s">
        <v>50</v>
      </c>
      <c r="C49" s="94">
        <f>C40*1000*$C83/1000</f>
        <v>79717.913584890004</v>
      </c>
      <c r="D49" s="230" t="s">
        <v>123</v>
      </c>
      <c r="E49" s="233">
        <f>C49/$C$53</f>
        <v>0.70181707982810126</v>
      </c>
      <c r="F49" s="9"/>
      <c r="G49" s="9"/>
      <c r="H49" s="9"/>
    </row>
    <row r="50" spans="1:11" ht="22" customHeight="1">
      <c r="B50" s="34" t="s">
        <v>242</v>
      </c>
      <c r="C50" s="94">
        <f>C41*1000*$C85/1000</f>
        <v>19461.652244023226</v>
      </c>
      <c r="D50" s="230" t="s">
        <v>123</v>
      </c>
      <c r="E50" s="233">
        <f>C50/$C$53</f>
        <v>0.17133564254646116</v>
      </c>
      <c r="F50" s="9"/>
      <c r="G50" s="9"/>
      <c r="H50" s="9"/>
    </row>
    <row r="51" spans="1:11" ht="22" customHeight="1">
      <c r="B51" s="34" t="s">
        <v>243</v>
      </c>
      <c r="C51" s="94">
        <f>C42*1000*$C86/1000</f>
        <v>20.262767907239795</v>
      </c>
      <c r="D51" s="230" t="s">
        <v>123</v>
      </c>
      <c r="E51" s="233">
        <f t="shared" ref="E51" si="4">C51/$C$53</f>
        <v>1.783884695721521E-4</v>
      </c>
      <c r="F51" s="9"/>
      <c r="G51" s="9"/>
      <c r="I51"/>
      <c r="J51"/>
      <c r="K51"/>
    </row>
    <row r="52" spans="1:11" ht="22" customHeight="1">
      <c r="B52" s="34" t="s">
        <v>244</v>
      </c>
      <c r="C52" s="94">
        <f>C43*1000*$C87/1000</f>
        <v>1350.1914798651235</v>
      </c>
      <c r="D52" s="230" t="s">
        <v>123</v>
      </c>
      <c r="E52" s="233">
        <f>C52/$C$53</f>
        <v>1.1886756677326443E-2</v>
      </c>
      <c r="F52" s="9"/>
      <c r="G52" s="9"/>
      <c r="I52"/>
      <c r="J52"/>
      <c r="K52"/>
    </row>
    <row r="53" spans="1:11" ht="22" customHeight="1">
      <c r="B53" s="42" t="s">
        <v>0</v>
      </c>
      <c r="C53" s="46">
        <f>SUM(C48:C52)</f>
        <v>113587.87905876501</v>
      </c>
      <c r="D53" s="231" t="s">
        <v>123</v>
      </c>
      <c r="E53" s="234">
        <f>C53/$C$53</f>
        <v>1</v>
      </c>
      <c r="F53" s="124"/>
      <c r="G53" s="124"/>
      <c r="I53"/>
      <c r="J53"/>
      <c r="K53"/>
    </row>
    <row r="54" spans="1:11" ht="22" customHeight="1">
      <c r="B54" s="65"/>
      <c r="C54" s="70"/>
      <c r="D54" s="65"/>
      <c r="E54" s="382"/>
      <c r="F54" s="124"/>
      <c r="G54" s="124"/>
      <c r="I54"/>
      <c r="J54"/>
      <c r="K54"/>
    </row>
    <row r="55" spans="1:11" ht="22" customHeight="1">
      <c r="B55" s="379" t="s">
        <v>1333</v>
      </c>
      <c r="C55" s="70"/>
      <c r="D55" s="65"/>
      <c r="E55" s="124"/>
      <c r="F55" s="124"/>
      <c r="G55" s="124"/>
      <c r="H55" s="208"/>
      <c r="I55"/>
      <c r="J55"/>
      <c r="K55"/>
    </row>
    <row r="56" spans="1:11" ht="22" customHeight="1">
      <c r="B56" s="1199" t="s">
        <v>265</v>
      </c>
      <c r="C56" s="31"/>
      <c r="D56" s="31"/>
      <c r="E56" s="31"/>
      <c r="F56" s="380"/>
      <c r="G56" s="124"/>
      <c r="H56" s="208"/>
      <c r="I56"/>
      <c r="J56"/>
      <c r="K56"/>
    </row>
    <row r="57" spans="1:11" ht="20" customHeight="1">
      <c r="B57" s="10" t="s">
        <v>1341</v>
      </c>
      <c r="C57" s="31"/>
      <c r="D57" s="31"/>
      <c r="E57" s="31"/>
      <c r="F57" s="381"/>
      <c r="G57" s="106"/>
      <c r="I57"/>
      <c r="J57"/>
      <c r="K57"/>
    </row>
    <row r="58" spans="1:11" ht="45">
      <c r="A58"/>
      <c r="B58" s="1396" t="s">
        <v>1340</v>
      </c>
      <c r="C58" s="1397">
        <v>91569</v>
      </c>
      <c r="D58" s="34" t="s">
        <v>248</v>
      </c>
      <c r="F58" s="381"/>
      <c r="G58" s="106"/>
      <c r="I58"/>
      <c r="J58"/>
      <c r="K58"/>
    </row>
    <row r="59" spans="1:11" ht="27" customHeight="1">
      <c r="A59"/>
      <c r="B59"/>
      <c r="C59"/>
      <c r="D59"/>
      <c r="F59" s="381"/>
      <c r="G59" s="106"/>
      <c r="I59"/>
      <c r="J59"/>
      <c r="K59"/>
    </row>
    <row r="60" spans="1:11" ht="27" customHeight="1" thickBot="1">
      <c r="A60"/>
      <c r="B60" s="379" t="s">
        <v>1339</v>
      </c>
      <c r="C60"/>
      <c r="D60"/>
      <c r="F60" s="381"/>
      <c r="G60" s="106"/>
      <c r="I60"/>
      <c r="J60"/>
      <c r="K60"/>
    </row>
    <row r="61" spans="1:11" ht="27" customHeight="1" thickBot="1">
      <c r="A61"/>
      <c r="B61" s="257"/>
      <c r="C61" s="2044" t="s">
        <v>16</v>
      </c>
      <c r="D61" s="2045"/>
      <c r="E61" s="1395">
        <v>2022</v>
      </c>
      <c r="F61" s="381"/>
      <c r="G61" s="106"/>
      <c r="I61"/>
      <c r="J61"/>
      <c r="K61"/>
    </row>
    <row r="62" spans="1:11" ht="27" customHeight="1">
      <c r="A62"/>
      <c r="B62" s="2041" t="s">
        <v>365</v>
      </c>
      <c r="C62" s="2039" t="s">
        <v>366</v>
      </c>
      <c r="D62" s="2040"/>
      <c r="E62" s="1386">
        <f>'2. Energie '!$C$82</f>
        <v>5.1999999999999998E-2</v>
      </c>
      <c r="F62" s="381"/>
      <c r="G62" s="106"/>
      <c r="I62"/>
      <c r="J62"/>
      <c r="K62"/>
    </row>
    <row r="63" spans="1:11" ht="27" customHeight="1">
      <c r="A63"/>
      <c r="B63" s="2042"/>
      <c r="C63" s="2037" t="s">
        <v>437</v>
      </c>
      <c r="D63" s="2038"/>
      <c r="E63" s="1387">
        <f>'2. Energie '!$C$83</f>
        <v>0.22700000000000001</v>
      </c>
      <c r="F63" s="381"/>
      <c r="G63" s="106"/>
      <c r="I63"/>
      <c r="J63"/>
      <c r="K63"/>
    </row>
    <row r="64" spans="1:11" ht="27" customHeight="1">
      <c r="A64"/>
      <c r="B64" s="2042"/>
      <c r="C64" s="2037" t="s">
        <v>368</v>
      </c>
      <c r="D64" s="2038"/>
      <c r="E64" s="1387">
        <f>'2. Energie '!$C$85</f>
        <v>0.32400000000000001</v>
      </c>
      <c r="F64" s="381"/>
      <c r="G64" s="106"/>
      <c r="I64"/>
      <c r="J64"/>
      <c r="K64"/>
    </row>
    <row r="65" spans="1:11" ht="27" customHeight="1">
      <c r="A65"/>
      <c r="B65" s="2042"/>
      <c r="C65" s="2037" t="s">
        <v>438</v>
      </c>
      <c r="D65" s="2038"/>
      <c r="E65" s="1387">
        <f>'2. Energie '!$C$86</f>
        <v>1.5596971218206201E-2</v>
      </c>
      <c r="F65" s="381"/>
      <c r="G65" s="106"/>
      <c r="I65"/>
      <c r="J65"/>
      <c r="K65"/>
    </row>
    <row r="66" spans="1:11" ht="27" customHeight="1" thickBot="1">
      <c r="A66"/>
      <c r="B66" s="2043"/>
      <c r="C66" s="2035" t="s">
        <v>371</v>
      </c>
      <c r="D66" s="2036"/>
      <c r="E66" s="1387">
        <f>'2. Energie '!$C$87</f>
        <v>0.112</v>
      </c>
      <c r="F66" s="381"/>
      <c r="G66" s="106"/>
      <c r="I66"/>
      <c r="J66"/>
      <c r="K66"/>
    </row>
    <row r="67" spans="1:11" ht="27" customHeight="1">
      <c r="A67"/>
      <c r="B67" s="2028" t="s">
        <v>359</v>
      </c>
      <c r="C67" s="2039" t="s">
        <v>373</v>
      </c>
      <c r="D67" s="2040"/>
      <c r="E67" s="1388">
        <f>'2. Energie '!$C$39/'2. Energie '!$C$44</f>
        <v>0.37126771270068226</v>
      </c>
      <c r="F67" s="381"/>
      <c r="G67" s="106"/>
      <c r="I67"/>
      <c r="J67"/>
      <c r="K67"/>
    </row>
    <row r="68" spans="1:11" ht="27" customHeight="1">
      <c r="A68"/>
      <c r="B68" s="2029"/>
      <c r="C68" s="2037" t="s">
        <v>376</v>
      </c>
      <c r="D68" s="2038"/>
      <c r="E68" s="1389">
        <f>'2. Energie '!$C$40/'2. Energie '!$C$44</f>
        <v>0.52001313441235342</v>
      </c>
      <c r="F68" s="381"/>
      <c r="G68" s="106"/>
      <c r="I68"/>
      <c r="J68"/>
      <c r="K68"/>
    </row>
    <row r="69" spans="1:11" ht="27" customHeight="1">
      <c r="A69"/>
      <c r="B69" s="2029"/>
      <c r="C69" s="2037" t="s">
        <v>242</v>
      </c>
      <c r="D69" s="2038"/>
      <c r="E69" s="1389">
        <f>'2. Energie '!$C$41/'2. Energie '!$C$44</f>
        <v>8.8944468539325625E-2</v>
      </c>
      <c r="F69" s="381"/>
      <c r="G69" s="106"/>
      <c r="I69"/>
      <c r="J69"/>
      <c r="K69"/>
    </row>
    <row r="70" spans="1:11" ht="27" customHeight="1">
      <c r="A70"/>
      <c r="B70" s="2029"/>
      <c r="C70" s="2037" t="s">
        <v>439</v>
      </c>
      <c r="D70" s="2038"/>
      <c r="E70" s="1390">
        <f>'2. Energie '!$C$42/'2. Energie '!$C$44</f>
        <v>1.923723923614114E-3</v>
      </c>
      <c r="F70" s="106"/>
      <c r="G70" s="106"/>
      <c r="I70"/>
      <c r="J70"/>
      <c r="K70"/>
    </row>
    <row r="71" spans="1:11" ht="27" customHeight="1" thickBot="1">
      <c r="A71"/>
      <c r="B71" s="2030"/>
      <c r="C71" s="2035" t="s">
        <v>258</v>
      </c>
      <c r="D71" s="2036"/>
      <c r="E71" s="1389">
        <f>'2. Energie '!$C$43/'2. Energie '!$C$44</f>
        <v>1.7850960424024561E-2</v>
      </c>
      <c r="F71" s="106"/>
      <c r="G71" s="106"/>
      <c r="I71"/>
      <c r="J71"/>
      <c r="K71"/>
    </row>
    <row r="72" spans="1:11" ht="27" customHeight="1" thickBot="1">
      <c r="A72"/>
      <c r="B72" s="1392" t="s">
        <v>360</v>
      </c>
      <c r="C72" s="2033" t="s">
        <v>377</v>
      </c>
      <c r="D72" s="2034"/>
      <c r="E72" s="1391">
        <f>'2. Energie '!$C$44-C58</f>
        <v>583760.55000000005</v>
      </c>
      <c r="I72"/>
      <c r="J72"/>
      <c r="K72"/>
    </row>
    <row r="73" spans="1:11" ht="27" customHeight="1" thickBot="1">
      <c r="B73" s="1393" t="s">
        <v>339</v>
      </c>
      <c r="C73" s="2031" t="s">
        <v>378</v>
      </c>
      <c r="D73" s="2032"/>
      <c r="E73" s="1394">
        <f>SUMPRODUCT(E62:E66,E67:E71)*E72</f>
        <v>98186.319186948298</v>
      </c>
      <c r="I73"/>
      <c r="J73"/>
      <c r="K73"/>
    </row>
    <row r="74" spans="1:11" ht="18" customHeight="1">
      <c r="I74"/>
      <c r="J74"/>
      <c r="K74"/>
    </row>
    <row r="75" spans="1:11" ht="18" customHeight="1">
      <c r="I75"/>
      <c r="J75"/>
      <c r="K75"/>
    </row>
    <row r="76" spans="1:11" ht="18" customHeight="1">
      <c r="I76"/>
      <c r="J76"/>
      <c r="K76"/>
    </row>
    <row r="77" spans="1:11" ht="27" customHeight="1">
      <c r="B77" s="378" t="s">
        <v>431</v>
      </c>
      <c r="I77"/>
      <c r="J77"/>
      <c r="K77"/>
    </row>
    <row r="78" spans="1:11" ht="17" customHeight="1">
      <c r="C78" s="383"/>
    </row>
    <row r="79" spans="1:11" ht="17" customHeight="1">
      <c r="B79" s="383" t="s">
        <v>432</v>
      </c>
    </row>
    <row r="80" spans="1:11" ht="17" customHeight="1">
      <c r="B80" s="35"/>
    </row>
    <row r="81" spans="2:10" ht="17" customHeight="1">
      <c r="B81" s="15" t="s">
        <v>16</v>
      </c>
      <c r="C81" s="15" t="s">
        <v>17</v>
      </c>
      <c r="D81" s="15" t="s">
        <v>18</v>
      </c>
      <c r="E81" s="16" t="s">
        <v>19</v>
      </c>
    </row>
    <row r="82" spans="2:10" ht="17" customHeight="1">
      <c r="B82" s="17" t="s">
        <v>20</v>
      </c>
      <c r="C82" s="69">
        <v>5.1999999999999998E-2</v>
      </c>
      <c r="D82" s="17" t="s">
        <v>21</v>
      </c>
      <c r="E82" s="17" t="s">
        <v>49</v>
      </c>
    </row>
    <row r="83" spans="2:10" ht="17" customHeight="1">
      <c r="B83" s="17" t="s">
        <v>50</v>
      </c>
      <c r="C83" s="69">
        <v>0.22700000000000001</v>
      </c>
      <c r="D83" s="17" t="s">
        <v>51</v>
      </c>
      <c r="E83" s="17" t="s">
        <v>49</v>
      </c>
      <c r="G83" s="9"/>
      <c r="H83" s="9"/>
      <c r="I83" s="9"/>
      <c r="J83" s="9"/>
    </row>
    <row r="84" spans="2:10" ht="17" customHeight="1">
      <c r="B84" s="56" t="s">
        <v>259</v>
      </c>
      <c r="C84" s="69">
        <v>0.27100000000000002</v>
      </c>
      <c r="D84" s="17" t="s">
        <v>51</v>
      </c>
      <c r="E84" s="17" t="s">
        <v>49</v>
      </c>
      <c r="G84" s="9"/>
      <c r="H84" s="9"/>
      <c r="I84" s="9"/>
      <c r="J84" s="9"/>
    </row>
    <row r="85" spans="2:10" ht="17" customHeight="1">
      <c r="B85" s="17" t="s">
        <v>257</v>
      </c>
      <c r="C85" s="384">
        <v>0.32400000000000001</v>
      </c>
      <c r="D85" s="17" t="s">
        <v>51</v>
      </c>
      <c r="E85" s="17" t="s">
        <v>49</v>
      </c>
      <c r="G85" s="9"/>
      <c r="H85" s="9"/>
      <c r="I85" s="9"/>
      <c r="J85" s="9"/>
    </row>
    <row r="86" spans="2:10" ht="17" customHeight="1">
      <c r="B86" s="34" t="s">
        <v>260</v>
      </c>
      <c r="C86" s="69">
        <v>1.5596971218206201E-2</v>
      </c>
      <c r="D86" s="17" t="s">
        <v>51</v>
      </c>
      <c r="E86" s="17" t="s">
        <v>22</v>
      </c>
      <c r="G86" s="9"/>
      <c r="H86" s="9"/>
      <c r="I86" s="9"/>
      <c r="J86" s="9"/>
    </row>
    <row r="87" spans="2:10" ht="17" customHeight="1">
      <c r="B87" s="34" t="s">
        <v>258</v>
      </c>
      <c r="C87" s="118">
        <v>0.112</v>
      </c>
      <c r="D87" s="34" t="s">
        <v>433</v>
      </c>
      <c r="E87" s="219" t="s">
        <v>434</v>
      </c>
      <c r="G87" s="9"/>
      <c r="H87" s="9"/>
      <c r="I87" s="9"/>
      <c r="J87" s="9"/>
    </row>
    <row r="88" spans="2:10" ht="17" customHeight="1">
      <c r="C88" s="385"/>
      <c r="E88" s="177"/>
      <c r="G88" s="9"/>
      <c r="H88" s="9"/>
      <c r="I88" s="9"/>
      <c r="J88" s="9"/>
    </row>
    <row r="89" spans="2:10">
      <c r="G89" s="9"/>
      <c r="H89" s="9"/>
      <c r="I89" s="9"/>
      <c r="J89" s="9"/>
    </row>
    <row r="90" spans="2:10" ht="20">
      <c r="B90" s="383" t="s">
        <v>435</v>
      </c>
      <c r="G90" s="9"/>
      <c r="H90" s="9"/>
      <c r="I90" s="9"/>
      <c r="J90" s="9"/>
    </row>
    <row r="91" spans="2:10">
      <c r="G91" s="9"/>
      <c r="H91" s="9"/>
      <c r="I91" s="9"/>
      <c r="J91" s="9"/>
    </row>
    <row r="92" spans="2:10">
      <c r="G92" s="9"/>
      <c r="H92" s="9"/>
      <c r="I92" s="9"/>
      <c r="J92" s="9"/>
    </row>
    <row r="93" spans="2:10">
      <c r="G93" s="9"/>
      <c r="H93" s="9"/>
      <c r="I93" s="9"/>
      <c r="J93" s="9"/>
    </row>
    <row r="94" spans="2:10">
      <c r="G94" s="9"/>
      <c r="H94" s="9"/>
      <c r="I94" s="9"/>
      <c r="J94" s="9"/>
    </row>
    <row r="110" spans="2:8" ht="20">
      <c r="B110" s="383" t="s">
        <v>436</v>
      </c>
    </row>
    <row r="112" spans="2:8" ht="30">
      <c r="B112" s="105" t="s">
        <v>253</v>
      </c>
      <c r="C112" s="104"/>
      <c r="D112" s="104"/>
      <c r="E112" s="104"/>
      <c r="F112" s="104"/>
      <c r="G112" s="104"/>
      <c r="H112" s="104"/>
    </row>
    <row r="113" spans="2:9">
      <c r="B113" s="105"/>
      <c r="C113" s="104"/>
      <c r="D113" s="104"/>
      <c r="E113" s="104"/>
      <c r="F113" s="104"/>
      <c r="G113" s="104"/>
      <c r="H113" s="104"/>
    </row>
    <row r="114" spans="2:9" ht="19" customHeight="1">
      <c r="B114" s="30" t="s">
        <v>1162</v>
      </c>
      <c r="C114" s="104"/>
      <c r="D114" s="104"/>
      <c r="E114" s="104"/>
      <c r="F114" s="104"/>
      <c r="G114" s="104"/>
      <c r="H114" s="104"/>
    </row>
    <row r="115" spans="2:9" ht="15">
      <c r="B115" s="64" t="s">
        <v>148</v>
      </c>
      <c r="C115" s="47">
        <v>1</v>
      </c>
      <c r="D115" s="47">
        <v>2</v>
      </c>
      <c r="E115" s="47">
        <v>3</v>
      </c>
      <c r="F115" s="47">
        <v>4</v>
      </c>
      <c r="G115" s="47">
        <v>5</v>
      </c>
      <c r="H115" s="107" t="s">
        <v>19</v>
      </c>
      <c r="I115" s="9"/>
    </row>
    <row r="116" spans="2:9" ht="41" customHeight="1">
      <c r="B116" s="56" t="s">
        <v>154</v>
      </c>
      <c r="C116" s="93" t="s">
        <v>149</v>
      </c>
      <c r="D116" s="93" t="s">
        <v>150</v>
      </c>
      <c r="E116" s="93" t="s">
        <v>151</v>
      </c>
      <c r="F116" s="93" t="s">
        <v>152</v>
      </c>
      <c r="G116" s="93" t="s">
        <v>153</v>
      </c>
      <c r="H116" s="92" t="s">
        <v>159</v>
      </c>
      <c r="I116" s="9"/>
    </row>
    <row r="117" spans="2:9" ht="30">
      <c r="B117" s="56" t="s">
        <v>318</v>
      </c>
      <c r="C117" s="93">
        <f>'1. Infrastructures '!C93</f>
        <v>833</v>
      </c>
      <c r="D117" s="93">
        <f>'1. Infrastructures '!D93</f>
        <v>871</v>
      </c>
      <c r="E117" s="93">
        <f>'1. Infrastructures '!E93</f>
        <v>1239</v>
      </c>
      <c r="F117" s="93">
        <f>'1. Infrastructures '!F93</f>
        <v>916</v>
      </c>
      <c r="G117" s="93">
        <f>'1. Infrastructures '!G93</f>
        <v>23584</v>
      </c>
      <c r="H117" s="92" t="s">
        <v>267</v>
      </c>
      <c r="I117" s="9"/>
    </row>
    <row r="118" spans="2:9" ht="30">
      <c r="B118" s="56" t="s">
        <v>297</v>
      </c>
      <c r="C118" s="157">
        <f>C117/SUM($C$117:$G$117)</f>
        <v>3.0353824290347265E-2</v>
      </c>
      <c r="D118" s="157">
        <f>D117/SUM($C$117:$G$117)</f>
        <v>3.1738512553292277E-2</v>
      </c>
      <c r="E118" s="157">
        <f>E117/SUM($C$117:$G$117)</f>
        <v>4.5148125204970302E-2</v>
      </c>
      <c r="F118" s="157">
        <f>F117/SUM($C$117:$G$117)</f>
        <v>3.3378274969937692E-2</v>
      </c>
      <c r="G118" s="157">
        <f>G117/SUM($C$117:$G$117)</f>
        <v>0.85938126298145245</v>
      </c>
      <c r="H118" s="92" t="s">
        <v>267</v>
      </c>
      <c r="I118" s="9"/>
    </row>
    <row r="119" spans="2:9">
      <c r="I119" s="9"/>
    </row>
    <row r="120" spans="2:9">
      <c r="B120" s="65" t="s">
        <v>254</v>
      </c>
      <c r="C120" s="104"/>
      <c r="D120" s="104"/>
      <c r="E120" s="104"/>
      <c r="F120" s="104"/>
      <c r="G120" s="104"/>
      <c r="H120" s="104"/>
      <c r="I120" s="9"/>
    </row>
    <row r="121" spans="2:9">
      <c r="B121" s="65"/>
      <c r="C121" s="104"/>
      <c r="D121" s="104"/>
      <c r="E121" s="104"/>
      <c r="F121" s="104"/>
      <c r="G121" s="104"/>
      <c r="H121" s="104"/>
    </row>
    <row r="122" spans="2:9" ht="17" customHeight="1">
      <c r="B122" s="30" t="s">
        <v>1163</v>
      </c>
      <c r="C122" s="104"/>
      <c r="D122" s="104"/>
      <c r="E122" s="104"/>
      <c r="F122" s="104"/>
      <c r="G122" s="104"/>
      <c r="H122" s="104"/>
    </row>
    <row r="123" spans="2:9" ht="23" customHeight="1">
      <c r="B123" s="64" t="s">
        <v>148</v>
      </c>
      <c r="C123" s="47">
        <v>1</v>
      </c>
      <c r="D123" s="47">
        <v>2</v>
      </c>
      <c r="E123" s="47">
        <v>3</v>
      </c>
      <c r="F123" s="47">
        <v>4</v>
      </c>
      <c r="G123" s="47">
        <v>5</v>
      </c>
      <c r="H123" s="107" t="s">
        <v>26</v>
      </c>
    </row>
    <row r="124" spans="2:9" ht="15" customHeight="1">
      <c r="B124" s="56" t="s">
        <v>41</v>
      </c>
      <c r="C124" s="760"/>
      <c r="D124" s="760">
        <v>120</v>
      </c>
      <c r="E124" s="760">
        <v>45</v>
      </c>
      <c r="F124" s="760">
        <v>15</v>
      </c>
      <c r="G124" s="760">
        <v>5</v>
      </c>
      <c r="H124" s="1900" t="s">
        <v>1542</v>
      </c>
    </row>
    <row r="125" spans="2:9" ht="15">
      <c r="B125" s="56" t="s">
        <v>42</v>
      </c>
      <c r="C125" s="760">
        <v>120</v>
      </c>
      <c r="D125" s="760">
        <v>60</v>
      </c>
      <c r="E125" s="760">
        <v>30</v>
      </c>
      <c r="F125" s="760">
        <v>10</v>
      </c>
      <c r="G125" s="760">
        <v>5</v>
      </c>
      <c r="H125" s="1900"/>
    </row>
    <row r="126" spans="2:9" ht="15">
      <c r="B126" s="56" t="s">
        <v>43</v>
      </c>
      <c r="C126" s="118">
        <v>0</v>
      </c>
      <c r="D126" s="118">
        <v>0</v>
      </c>
      <c r="E126" s="118">
        <v>0</v>
      </c>
      <c r="F126" s="118">
        <v>0</v>
      </c>
      <c r="G126" s="118">
        <v>0</v>
      </c>
      <c r="H126" s="92"/>
    </row>
    <row r="127" spans="2:9" ht="15">
      <c r="B127" s="56" t="s">
        <v>160</v>
      </c>
      <c r="C127" s="118">
        <v>0</v>
      </c>
      <c r="D127" s="118">
        <v>0</v>
      </c>
      <c r="E127" s="118">
        <v>0</v>
      </c>
      <c r="F127" s="118">
        <v>0</v>
      </c>
      <c r="G127" s="118">
        <v>0</v>
      </c>
      <c r="H127" s="92"/>
    </row>
    <row r="128" spans="2:9" ht="15">
      <c r="B128" s="56" t="s">
        <v>161</v>
      </c>
      <c r="C128" s="118">
        <v>0</v>
      </c>
      <c r="D128" s="118">
        <v>0</v>
      </c>
      <c r="E128" s="118">
        <v>0</v>
      </c>
      <c r="F128" s="118">
        <v>0</v>
      </c>
      <c r="G128" s="118">
        <v>0</v>
      </c>
      <c r="H128" s="92"/>
    </row>
    <row r="129" spans="2:8" ht="16">
      <c r="B129" s="35"/>
    </row>
    <row r="130" spans="2:8">
      <c r="B130" s="65" t="s">
        <v>255</v>
      </c>
    </row>
    <row r="131" spans="2:8">
      <c r="B131" s="65"/>
    </row>
    <row r="132" spans="2:8" ht="16" customHeight="1">
      <c r="B132" s="30" t="s">
        <v>1164</v>
      </c>
    </row>
    <row r="133" spans="2:8" ht="21" customHeight="1">
      <c r="B133" s="64" t="s">
        <v>148</v>
      </c>
      <c r="C133" s="47">
        <v>1</v>
      </c>
      <c r="D133" s="47">
        <v>2</v>
      </c>
      <c r="E133" s="47">
        <v>3</v>
      </c>
      <c r="F133" s="47">
        <v>4</v>
      </c>
      <c r="G133" s="47">
        <v>5</v>
      </c>
      <c r="H133" s="107" t="s">
        <v>26</v>
      </c>
    </row>
    <row r="134" spans="2:8" ht="15">
      <c r="B134" s="56" t="s">
        <v>41</v>
      </c>
      <c r="C134" s="94">
        <f t="shared" ref="C134:G138" si="5">C124*C$117</f>
        <v>0</v>
      </c>
      <c r="D134" s="94">
        <f t="shared" si="5"/>
        <v>104520</v>
      </c>
      <c r="E134" s="94">
        <f t="shared" si="5"/>
        <v>55755</v>
      </c>
      <c r="F134" s="94">
        <f t="shared" si="5"/>
        <v>13740</v>
      </c>
      <c r="G134" s="94">
        <f t="shared" si="5"/>
        <v>117920</v>
      </c>
      <c r="H134" s="93"/>
    </row>
    <row r="135" spans="2:8" ht="15">
      <c r="B135" s="56" t="s">
        <v>42</v>
      </c>
      <c r="C135" s="94">
        <f t="shared" si="5"/>
        <v>99960</v>
      </c>
      <c r="D135" s="94">
        <f t="shared" si="5"/>
        <v>52260</v>
      </c>
      <c r="E135" s="94">
        <f t="shared" si="5"/>
        <v>37170</v>
      </c>
      <c r="F135" s="94">
        <f t="shared" si="5"/>
        <v>9160</v>
      </c>
      <c r="G135" s="94">
        <f t="shared" si="5"/>
        <v>117920</v>
      </c>
      <c r="H135" s="93"/>
    </row>
    <row r="136" spans="2:8" ht="15">
      <c r="B136" s="56" t="s">
        <v>43</v>
      </c>
      <c r="C136" s="94">
        <f t="shared" si="5"/>
        <v>0</v>
      </c>
      <c r="D136" s="94">
        <f t="shared" si="5"/>
        <v>0</v>
      </c>
      <c r="E136" s="94">
        <f t="shared" si="5"/>
        <v>0</v>
      </c>
      <c r="F136" s="94">
        <f t="shared" si="5"/>
        <v>0</v>
      </c>
      <c r="G136" s="94">
        <f t="shared" si="5"/>
        <v>0</v>
      </c>
      <c r="H136" s="93"/>
    </row>
    <row r="137" spans="2:8" ht="15">
      <c r="B137" s="56" t="s">
        <v>160</v>
      </c>
      <c r="C137" s="94">
        <f t="shared" si="5"/>
        <v>0</v>
      </c>
      <c r="D137" s="94">
        <f t="shared" si="5"/>
        <v>0</v>
      </c>
      <c r="E137" s="94">
        <f t="shared" si="5"/>
        <v>0</v>
      </c>
      <c r="F137" s="94">
        <f t="shared" si="5"/>
        <v>0</v>
      </c>
      <c r="G137" s="94">
        <f t="shared" si="5"/>
        <v>0</v>
      </c>
      <c r="H137" s="93"/>
    </row>
    <row r="138" spans="2:8" ht="15">
      <c r="B138" s="56" t="s">
        <v>161</v>
      </c>
      <c r="C138" s="94">
        <f t="shared" si="5"/>
        <v>0</v>
      </c>
      <c r="D138" s="94">
        <f t="shared" si="5"/>
        <v>0</v>
      </c>
      <c r="E138" s="94">
        <f t="shared" si="5"/>
        <v>0</v>
      </c>
      <c r="F138" s="94">
        <f t="shared" si="5"/>
        <v>0</v>
      </c>
      <c r="G138" s="94">
        <f t="shared" si="5"/>
        <v>0</v>
      </c>
      <c r="H138" s="34"/>
    </row>
    <row r="139" spans="2:8" ht="15">
      <c r="B139" s="112" t="s">
        <v>206</v>
      </c>
      <c r="C139" s="27">
        <f>SUM(C134:C138)</f>
        <v>99960</v>
      </c>
      <c r="D139" s="27">
        <f>SUM(D134:D138)</f>
        <v>156780</v>
      </c>
      <c r="E139" s="27">
        <f>SUM(E134:E138)</f>
        <v>92925</v>
      </c>
      <c r="F139" s="27">
        <f>SUM(F134:F138)</f>
        <v>22900</v>
      </c>
      <c r="G139" s="27">
        <f>SUM(G134:G138)</f>
        <v>235840</v>
      </c>
      <c r="H139" s="42"/>
    </row>
    <row r="141" spans="2:8">
      <c r="B141" s="65" t="s">
        <v>256</v>
      </c>
    </row>
    <row r="142" spans="2:8">
      <c r="B142" s="65"/>
    </row>
    <row r="143" spans="2:8" ht="18" customHeight="1">
      <c r="B143" s="30" t="s">
        <v>1165</v>
      </c>
    </row>
    <row r="144" spans="2:8" ht="18" customHeight="1">
      <c r="B144" s="67">
        <f>SUM(C134:G135)*1000/'1. Infrastructures '!G52</f>
        <v>21.58847656049711</v>
      </c>
      <c r="C144" s="10" t="s">
        <v>225</v>
      </c>
      <c r="D144" s="10" t="s">
        <v>251</v>
      </c>
      <c r="E144" s="67">
        <f>B144*'1. Infrastructures '!G52</f>
        <v>608405000</v>
      </c>
      <c r="F144" s="10" t="s">
        <v>250</v>
      </c>
    </row>
    <row r="145" spans="2:6" ht="18" customHeight="1">
      <c r="B145" s="10" t="s">
        <v>249</v>
      </c>
    </row>
    <row r="146" spans="2:6" ht="18" customHeight="1">
      <c r="B146" s="10" t="s">
        <v>252</v>
      </c>
    </row>
    <row r="147" spans="2:6" ht="15" customHeight="1">
      <c r="B147" s="2047" t="s">
        <v>245</v>
      </c>
      <c r="C147" s="2048"/>
      <c r="D147" s="2048"/>
      <c r="E147" s="2048"/>
      <c r="F147" s="2049"/>
    </row>
    <row r="148" spans="2:6">
      <c r="B148" s="42" t="s">
        <v>226</v>
      </c>
      <c r="C148" s="42" t="s">
        <v>227</v>
      </c>
      <c r="D148" s="41" t="s">
        <v>261</v>
      </c>
      <c r="E148" s="42" t="s">
        <v>228</v>
      </c>
      <c r="F148" s="42" t="s">
        <v>113</v>
      </c>
    </row>
    <row r="149" spans="2:6">
      <c r="B149" s="34" t="s">
        <v>229</v>
      </c>
      <c r="C149" s="34" t="s">
        <v>230</v>
      </c>
      <c r="D149" s="369">
        <v>595.09319872194749</v>
      </c>
      <c r="E149" s="34" t="s">
        <v>231</v>
      </c>
      <c r="F149" s="370">
        <f t="shared" ref="F149:F181" si="6">D149/$D$181</f>
        <v>5.7036961690578772E-2</v>
      </c>
    </row>
    <row r="150" spans="2:6">
      <c r="B150" s="34" t="s">
        <v>232</v>
      </c>
      <c r="C150" s="34" t="s">
        <v>230</v>
      </c>
      <c r="D150" s="369">
        <v>235.77163806736692</v>
      </c>
      <c r="E150" s="34" t="s">
        <v>231</v>
      </c>
      <c r="F150" s="370">
        <f t="shared" si="6"/>
        <v>2.2597633306941454E-2</v>
      </c>
    </row>
    <row r="151" spans="2:6">
      <c r="B151" s="34" t="s">
        <v>229</v>
      </c>
      <c r="C151" s="34" t="s">
        <v>233</v>
      </c>
      <c r="D151" s="369">
        <v>870.03984316351296</v>
      </c>
      <c r="E151" s="34" t="s">
        <v>231</v>
      </c>
      <c r="F151" s="370">
        <f t="shared" si="6"/>
        <v>8.3389340208173124E-2</v>
      </c>
    </row>
    <row r="152" spans="2:6">
      <c r="B152" s="34" t="s">
        <v>229</v>
      </c>
      <c r="C152" s="34" t="s">
        <v>234</v>
      </c>
      <c r="D152" s="369">
        <v>55.610088825926347</v>
      </c>
      <c r="E152" s="34" t="s">
        <v>231</v>
      </c>
      <c r="F152" s="370">
        <f t="shared" si="6"/>
        <v>5.3299727047562105E-3</v>
      </c>
    </row>
    <row r="153" spans="2:6">
      <c r="B153" s="34" t="s">
        <v>229</v>
      </c>
      <c r="C153" s="34" t="s">
        <v>235</v>
      </c>
      <c r="D153" s="369">
        <v>481.64617114650986</v>
      </c>
      <c r="E153" s="34" t="s">
        <v>231</v>
      </c>
      <c r="F153" s="370">
        <f t="shared" si="6"/>
        <v>4.6163582899446526E-2</v>
      </c>
    </row>
    <row r="154" spans="2:6">
      <c r="B154" s="34" t="s">
        <v>229</v>
      </c>
      <c r="C154" s="34" t="s">
        <v>236</v>
      </c>
      <c r="D154" s="369">
        <v>1377.0217540020922</v>
      </c>
      <c r="E154" s="34" t="s">
        <v>231</v>
      </c>
      <c r="F154" s="370">
        <f t="shared" si="6"/>
        <v>0.1319812378948203</v>
      </c>
    </row>
    <row r="155" spans="2:6">
      <c r="B155" s="34" t="s">
        <v>229</v>
      </c>
      <c r="C155" s="34" t="s">
        <v>237</v>
      </c>
      <c r="D155" s="369">
        <v>27.124455432932251</v>
      </c>
      <c r="E155" s="34" t="s">
        <v>231</v>
      </c>
      <c r="F155" s="370">
        <f t="shared" si="6"/>
        <v>2.599755011027838E-3</v>
      </c>
    </row>
    <row r="156" spans="2:6">
      <c r="B156" s="34" t="s">
        <v>50</v>
      </c>
      <c r="C156" s="34" t="s">
        <v>230</v>
      </c>
      <c r="D156" s="369">
        <v>2899.4336907440438</v>
      </c>
      <c r="E156" s="34" t="s">
        <v>238</v>
      </c>
      <c r="F156" s="370">
        <f t="shared" si="6"/>
        <v>0.27789745992477982</v>
      </c>
    </row>
    <row r="157" spans="2:6">
      <c r="B157" s="34" t="s">
        <v>50</v>
      </c>
      <c r="C157" s="34" t="s">
        <v>233</v>
      </c>
      <c r="D157" s="369">
        <v>2651.2054954718133</v>
      </c>
      <c r="E157" s="34" t="s">
        <v>238</v>
      </c>
      <c r="F157" s="370">
        <f t="shared" si="6"/>
        <v>0.25410592257454534</v>
      </c>
    </row>
    <row r="158" spans="2:6">
      <c r="B158" s="34" t="s">
        <v>50</v>
      </c>
      <c r="C158" s="34" t="s">
        <v>234</v>
      </c>
      <c r="D158" s="369">
        <v>74.781970309739364</v>
      </c>
      <c r="E158" s="34" t="s">
        <v>238</v>
      </c>
      <c r="F158" s="370">
        <f t="shared" si="6"/>
        <v>7.1675098704926509E-3</v>
      </c>
    </row>
    <row r="159" spans="2:6">
      <c r="B159" s="34" t="s">
        <v>50</v>
      </c>
      <c r="C159" s="34" t="s">
        <v>239</v>
      </c>
      <c r="D159" s="369">
        <v>0</v>
      </c>
      <c r="E159" s="34" t="s">
        <v>238</v>
      </c>
      <c r="F159" s="370">
        <f t="shared" si="6"/>
        <v>0</v>
      </c>
    </row>
    <row r="160" spans="2:6">
      <c r="B160" s="34" t="s">
        <v>50</v>
      </c>
      <c r="C160" s="34" t="s">
        <v>237</v>
      </c>
      <c r="D160" s="369">
        <v>38.266900772655887</v>
      </c>
      <c r="E160" s="34" t="s">
        <v>238</v>
      </c>
      <c r="F160" s="370">
        <f t="shared" si="6"/>
        <v>3.6677074415817149E-3</v>
      </c>
    </row>
    <row r="161" spans="2:9">
      <c r="B161" s="34" t="s">
        <v>240</v>
      </c>
      <c r="C161" s="34" t="s">
        <v>230</v>
      </c>
      <c r="D161" s="369">
        <v>12.87736636467921</v>
      </c>
      <c r="E161" s="34" t="s">
        <v>241</v>
      </c>
      <c r="F161" s="370">
        <f t="shared" si="6"/>
        <v>1.2342366768687241E-3</v>
      </c>
      <c r="G161" s="9"/>
      <c r="H161" s="9"/>
      <c r="I161" s="371"/>
    </row>
    <row r="162" spans="2:9">
      <c r="B162" s="34" t="s">
        <v>240</v>
      </c>
      <c r="C162" s="34" t="s">
        <v>233</v>
      </c>
      <c r="D162" s="369">
        <v>11.755182680027593</v>
      </c>
      <c r="E162" s="34" t="s">
        <v>241</v>
      </c>
      <c r="F162" s="370">
        <f t="shared" si="6"/>
        <v>1.1266805025270761E-3</v>
      </c>
      <c r="G162" s="9"/>
      <c r="H162" s="9"/>
      <c r="I162" s="371"/>
    </row>
    <row r="163" spans="2:9">
      <c r="B163" s="34" t="s">
        <v>240</v>
      </c>
      <c r="C163" s="34" t="s">
        <v>234</v>
      </c>
      <c r="D163" s="369">
        <v>30.695682845228092</v>
      </c>
      <c r="E163" s="34" t="s">
        <v>241</v>
      </c>
      <c r="F163" s="370">
        <f t="shared" si="6"/>
        <v>2.9420408269990538E-3</v>
      </c>
      <c r="H163" s="9"/>
    </row>
    <row r="164" spans="2:9">
      <c r="B164" s="34" t="s">
        <v>240</v>
      </c>
      <c r="C164" s="34" t="s">
        <v>239</v>
      </c>
      <c r="D164" s="369">
        <v>0</v>
      </c>
      <c r="E164" s="34" t="s">
        <v>241</v>
      </c>
      <c r="F164" s="370">
        <f t="shared" si="6"/>
        <v>0</v>
      </c>
      <c r="H164" s="9"/>
    </row>
    <row r="165" spans="2:9">
      <c r="B165" s="34" t="s">
        <v>240</v>
      </c>
      <c r="C165" s="34" t="s">
        <v>237</v>
      </c>
      <c r="D165" s="369">
        <v>5.5575982750504576</v>
      </c>
      <c r="E165" s="34" t="s">
        <v>241</v>
      </c>
      <c r="F165" s="370">
        <f t="shared" si="6"/>
        <v>5.3267037933967378E-4</v>
      </c>
      <c r="H165" s="9"/>
    </row>
    <row r="166" spans="2:9">
      <c r="B166" s="34" t="s">
        <v>242</v>
      </c>
      <c r="C166" s="34" t="s">
        <v>230</v>
      </c>
      <c r="D166" s="369">
        <v>523.43864747944815</v>
      </c>
      <c r="E166" s="34" t="s">
        <v>241</v>
      </c>
      <c r="F166" s="370">
        <f t="shared" si="6"/>
        <v>5.0169200635753398E-2</v>
      </c>
      <c r="H166" s="9"/>
    </row>
    <row r="167" spans="2:9">
      <c r="B167" s="34" t="s">
        <v>242</v>
      </c>
      <c r="C167" s="34" t="s">
        <v>233</v>
      </c>
      <c r="D167" s="369">
        <v>314.23873224980792</v>
      </c>
      <c r="E167" s="34" t="s">
        <v>241</v>
      </c>
      <c r="F167" s="370">
        <f t="shared" si="6"/>
        <v>3.0118345448277954E-2</v>
      </c>
      <c r="H167" s="9"/>
    </row>
    <row r="168" spans="2:9">
      <c r="B168" s="34" t="s">
        <v>242</v>
      </c>
      <c r="C168" s="34" t="s">
        <v>234</v>
      </c>
      <c r="D168" s="369">
        <v>0.20431880666591318</v>
      </c>
      <c r="E168" s="34" t="s">
        <v>241</v>
      </c>
      <c r="F168" s="370">
        <f t="shared" si="6"/>
        <v>1.9583023253326692E-5</v>
      </c>
      <c r="H168" s="9"/>
    </row>
    <row r="169" spans="2:9">
      <c r="B169" s="34" t="s">
        <v>242</v>
      </c>
      <c r="C169" s="34" t="s">
        <v>239</v>
      </c>
      <c r="D169" s="369">
        <v>0</v>
      </c>
      <c r="E169" s="34" t="s">
        <v>241</v>
      </c>
      <c r="F169" s="370">
        <f t="shared" si="6"/>
        <v>0</v>
      </c>
      <c r="H169" s="9"/>
    </row>
    <row r="170" spans="2:9">
      <c r="B170" s="34" t="s">
        <v>242</v>
      </c>
      <c r="C170" s="34" t="s">
        <v>237</v>
      </c>
      <c r="D170" s="369">
        <v>34.704477353866345</v>
      </c>
      <c r="E170" s="34" t="s">
        <v>241</v>
      </c>
      <c r="F170" s="370">
        <f t="shared" si="6"/>
        <v>3.326265448126739E-3</v>
      </c>
      <c r="H170" s="9"/>
    </row>
    <row r="171" spans="2:9">
      <c r="B171" s="34" t="s">
        <v>243</v>
      </c>
      <c r="C171" s="34" t="s">
        <v>230</v>
      </c>
      <c r="D171" s="369">
        <v>12.353075359543698</v>
      </c>
      <c r="E171" s="34" t="s">
        <v>241</v>
      </c>
      <c r="F171" s="370">
        <f t="shared" si="6"/>
        <v>1.1839857816495342E-3</v>
      </c>
      <c r="H171" s="9"/>
    </row>
    <row r="172" spans="2:9">
      <c r="B172" s="34" t="s">
        <v>243</v>
      </c>
      <c r="C172" s="34" t="s">
        <v>233</v>
      </c>
      <c r="D172" s="369">
        <v>3.6198194144355784</v>
      </c>
      <c r="E172" s="34" t="s">
        <v>241</v>
      </c>
      <c r="F172" s="370">
        <f t="shared" si="6"/>
        <v>3.4694313716135037E-4</v>
      </c>
      <c r="H172" s="9"/>
    </row>
    <row r="173" spans="2:9">
      <c r="B173" s="34" t="s">
        <v>243</v>
      </c>
      <c r="C173" s="34" t="s">
        <v>234</v>
      </c>
      <c r="D173" s="369">
        <v>1.3596796723436033</v>
      </c>
      <c r="E173" s="34" t="s">
        <v>241</v>
      </c>
      <c r="F173" s="370">
        <f t="shared" si="6"/>
        <v>1.3031907867452598E-4</v>
      </c>
      <c r="H173" s="9"/>
    </row>
    <row r="174" spans="2:9">
      <c r="B174" s="34" t="s">
        <v>243</v>
      </c>
      <c r="C174" s="34" t="s">
        <v>239</v>
      </c>
      <c r="D174" s="369">
        <v>0</v>
      </c>
      <c r="E174" s="34" t="s">
        <v>241</v>
      </c>
      <c r="F174" s="370">
        <f t="shared" si="6"/>
        <v>0</v>
      </c>
      <c r="H174" s="9"/>
    </row>
    <row r="175" spans="2:9">
      <c r="B175" s="34" t="s">
        <v>243</v>
      </c>
      <c r="C175" s="34" t="s">
        <v>237</v>
      </c>
      <c r="D175" s="369">
        <v>1.5400426994185799</v>
      </c>
      <c r="E175" s="34" t="s">
        <v>241</v>
      </c>
      <c r="F175" s="370">
        <f t="shared" si="6"/>
        <v>1.4760605000568205E-4</v>
      </c>
      <c r="H175" s="9"/>
    </row>
    <row r="176" spans="2:9">
      <c r="B176" s="34" t="s">
        <v>244</v>
      </c>
      <c r="C176" s="34" t="s">
        <v>230</v>
      </c>
      <c r="D176" s="369">
        <v>102.24098378428005</v>
      </c>
      <c r="E176" s="34" t="s">
        <v>241</v>
      </c>
      <c r="F176" s="370">
        <f t="shared" si="6"/>
        <v>9.7993307398490277E-3</v>
      </c>
      <c r="H176" s="9"/>
    </row>
    <row r="177" spans="2:8">
      <c r="B177" s="34" t="s">
        <v>244</v>
      </c>
      <c r="C177" s="34" t="s">
        <v>233</v>
      </c>
      <c r="D177" s="369">
        <v>72.885154447380771</v>
      </c>
      <c r="E177" s="34" t="s">
        <v>241</v>
      </c>
      <c r="F177" s="370">
        <f t="shared" si="6"/>
        <v>6.985708744370254E-3</v>
      </c>
      <c r="H177" s="9"/>
    </row>
    <row r="178" spans="2:8">
      <c r="B178" s="34" t="s">
        <v>244</v>
      </c>
      <c r="C178" s="34" t="s">
        <v>234</v>
      </c>
      <c r="D178" s="369">
        <v>0</v>
      </c>
      <c r="E178" s="34" t="s">
        <v>241</v>
      </c>
      <c r="F178" s="370">
        <f t="shared" si="6"/>
        <v>0</v>
      </c>
      <c r="H178" s="9"/>
    </row>
    <row r="179" spans="2:8">
      <c r="B179" s="34" t="s">
        <v>244</v>
      </c>
      <c r="C179" s="34" t="s">
        <v>239</v>
      </c>
      <c r="D179" s="369">
        <v>0</v>
      </c>
      <c r="E179" s="34" t="s">
        <v>241</v>
      </c>
      <c r="F179" s="370">
        <f t="shared" si="6"/>
        <v>0</v>
      </c>
      <c r="H179" s="9"/>
    </row>
    <row r="180" spans="2:8">
      <c r="B180" s="34" t="s">
        <v>244</v>
      </c>
      <c r="C180" s="34" t="s">
        <v>237</v>
      </c>
      <c r="D180" s="34">
        <v>0</v>
      </c>
      <c r="E180" s="34" t="s">
        <v>241</v>
      </c>
      <c r="F180" s="370">
        <f t="shared" si="6"/>
        <v>0</v>
      </c>
      <c r="H180" s="9"/>
    </row>
    <row r="181" spans="2:8">
      <c r="C181" s="42" t="s">
        <v>0</v>
      </c>
      <c r="D181" s="372">
        <f>SUM(D149:D180)</f>
        <v>10433.465968090715</v>
      </c>
      <c r="E181" s="42" t="s">
        <v>231</v>
      </c>
      <c r="F181" s="132">
        <f t="shared" si="6"/>
        <v>1</v>
      </c>
      <c r="H181" s="9"/>
    </row>
    <row r="182" spans="2:8">
      <c r="H182" s="9"/>
    </row>
    <row r="183" spans="2:8" ht="39" customHeight="1">
      <c r="B183" s="2046" t="s">
        <v>1166</v>
      </c>
      <c r="C183" s="2046"/>
      <c r="D183" s="2046"/>
      <c r="E183" s="2046"/>
      <c r="F183" s="2046"/>
      <c r="G183" s="2046"/>
      <c r="H183" s="9"/>
    </row>
    <row r="184" spans="2:8">
      <c r="B184" s="42" t="s">
        <v>226</v>
      </c>
      <c r="C184" s="41" t="s">
        <v>246</v>
      </c>
      <c r="D184" s="42" t="s">
        <v>228</v>
      </c>
      <c r="E184" s="42" t="s">
        <v>113</v>
      </c>
      <c r="F184" s="41" t="s">
        <v>26</v>
      </c>
      <c r="H184" s="9"/>
    </row>
    <row r="185" spans="2:8">
      <c r="B185" s="34" t="s">
        <v>229</v>
      </c>
      <c r="C185" s="369">
        <f>SUM(D149:D155)</f>
        <v>3642.3071493602879</v>
      </c>
      <c r="D185" s="34" t="s">
        <v>231</v>
      </c>
      <c r="E185" s="370">
        <f>C185/$C$190</f>
        <v>0.37126771270068226</v>
      </c>
      <c r="F185" s="34"/>
      <c r="H185" s="9"/>
    </row>
    <row r="186" spans="2:8" ht="17" customHeight="1">
      <c r="B186" s="34" t="s">
        <v>50</v>
      </c>
      <c r="C186" s="369">
        <f>SUM(D156:D160)*0.89+SUM(D161:D165)</f>
        <v>5101.5682011604304</v>
      </c>
      <c r="D186" s="34" t="s">
        <v>241</v>
      </c>
      <c r="E186" s="370">
        <f>C186/$C$190</f>
        <v>0.52001313441235342</v>
      </c>
      <c r="F186" s="759" t="s">
        <v>609</v>
      </c>
      <c r="H186" s="9"/>
    </row>
    <row r="187" spans="2:8">
      <c r="B187" s="34" t="s">
        <v>242</v>
      </c>
      <c r="C187" s="369">
        <f>SUM(D166:D170)</f>
        <v>872.58617588978825</v>
      </c>
      <c r="D187" s="34" t="s">
        <v>241</v>
      </c>
      <c r="E187" s="370">
        <f>C187/$C$190</f>
        <v>8.8944468539325625E-2</v>
      </c>
      <c r="F187" s="34"/>
      <c r="H187" s="9"/>
    </row>
    <row r="188" spans="2:8">
      <c r="B188" s="34" t="s">
        <v>243</v>
      </c>
      <c r="C188" s="369">
        <f>SUM(D171:D175)</f>
        <v>18.872617145741462</v>
      </c>
      <c r="D188" s="34" t="s">
        <v>241</v>
      </c>
      <c r="E188" s="370">
        <f>C188/$C$190</f>
        <v>1.9237239236141138E-3</v>
      </c>
      <c r="F188" s="34"/>
      <c r="H188" s="9"/>
    </row>
    <row r="189" spans="2:8">
      <c r="B189" s="34" t="s">
        <v>244</v>
      </c>
      <c r="C189" s="369">
        <f>SUM(D176:D180)</f>
        <v>175.12613823166083</v>
      </c>
      <c r="D189" s="34" t="s">
        <v>241</v>
      </c>
      <c r="E189" s="370">
        <f>C189/$C$190</f>
        <v>1.7850960424024561E-2</v>
      </c>
      <c r="F189" s="34"/>
      <c r="H189" s="9"/>
    </row>
    <row r="190" spans="2:8">
      <c r="B190" s="42" t="s">
        <v>0</v>
      </c>
      <c r="C190" s="372">
        <f>SUM(C185:C189)</f>
        <v>9810.4602817879095</v>
      </c>
      <c r="D190" s="42" t="s">
        <v>231</v>
      </c>
      <c r="E190" s="132">
        <f>SUM(E185:E189)</f>
        <v>0.99999999999999989</v>
      </c>
      <c r="F190" s="34"/>
      <c r="H190" s="9"/>
    </row>
    <row r="191" spans="2:8">
      <c r="H191" s="9"/>
    </row>
    <row r="192" spans="2:8">
      <c r="B192" s="10" t="s">
        <v>1167</v>
      </c>
      <c r="H192" s="9"/>
    </row>
    <row r="193" spans="2:8">
      <c r="B193" s="152" t="s">
        <v>1543</v>
      </c>
      <c r="H193" s="9"/>
    </row>
    <row r="194" spans="2:8">
      <c r="B194" s="30" t="s">
        <v>1168</v>
      </c>
      <c r="H194" s="9"/>
    </row>
    <row r="195" spans="2:8">
      <c r="B195" s="67">
        <f>B144*(1+11%)</f>
        <v>23.963208982151794</v>
      </c>
      <c r="C195" s="10" t="s">
        <v>247</v>
      </c>
      <c r="H195" s="9"/>
    </row>
    <row r="196" spans="2:8">
      <c r="B196" s="30" t="s">
        <v>1169</v>
      </c>
      <c r="H196" s="9"/>
    </row>
    <row r="197" spans="2:8">
      <c r="B197" s="42" t="s">
        <v>226</v>
      </c>
      <c r="C197" s="41" t="s">
        <v>246</v>
      </c>
      <c r="D197" s="42" t="s">
        <v>228</v>
      </c>
      <c r="E197" s="9"/>
    </row>
    <row r="198" spans="2:8">
      <c r="B198" s="34" t="s">
        <v>229</v>
      </c>
      <c r="C198" s="369">
        <f>$B$195*E185</f>
        <v>8.8967657877719404</v>
      </c>
      <c r="D198" s="34" t="s">
        <v>247</v>
      </c>
      <c r="E198" s="9"/>
    </row>
    <row r="199" spans="2:8">
      <c r="B199" s="34" t="s">
        <v>50</v>
      </c>
      <c r="C199" s="369">
        <f>$B$195*E186</f>
        <v>12.461183413387015</v>
      </c>
      <c r="D199" s="34" t="s">
        <v>247</v>
      </c>
      <c r="E199" s="9"/>
    </row>
    <row r="200" spans="2:8">
      <c r="B200" s="34" t="s">
        <v>242</v>
      </c>
      <c r="C200" s="369">
        <f>$B$195*E187</f>
        <v>2.1313948874142854</v>
      </c>
      <c r="D200" s="34" t="s">
        <v>247</v>
      </c>
      <c r="E200" s="9"/>
    </row>
    <row r="201" spans="2:8">
      <c r="B201" s="34" t="s">
        <v>243</v>
      </c>
      <c r="C201" s="369">
        <f>$B$195*E188</f>
        <v>4.6098598405530024E-2</v>
      </c>
      <c r="D201" s="34" t="s">
        <v>247</v>
      </c>
      <c r="E201" s="9"/>
    </row>
    <row r="202" spans="2:8">
      <c r="B202" s="34" t="s">
        <v>244</v>
      </c>
      <c r="C202" s="369">
        <f>$B$195*E189</f>
        <v>0.42776629517302156</v>
      </c>
      <c r="D202" s="34" t="s">
        <v>247</v>
      </c>
      <c r="E202" s="9"/>
    </row>
    <row r="203" spans="2:8">
      <c r="B203" s="42" t="s">
        <v>0</v>
      </c>
      <c r="C203" s="372">
        <f>SUM(C198:C202)</f>
        <v>23.963208982151791</v>
      </c>
      <c r="D203" s="42" t="s">
        <v>247</v>
      </c>
      <c r="E203" s="9"/>
    </row>
    <row r="205" spans="2:8">
      <c r="B205" s="30" t="s">
        <v>1170</v>
      </c>
    </row>
    <row r="206" spans="2:8">
      <c r="B206" s="42" t="s">
        <v>226</v>
      </c>
      <c r="C206" s="41" t="s">
        <v>246</v>
      </c>
      <c r="D206" s="231" t="s">
        <v>228</v>
      </c>
      <c r="E206" s="226" t="s">
        <v>297</v>
      </c>
    </row>
    <row r="207" spans="2:8">
      <c r="B207" s="34" t="s">
        <v>229</v>
      </c>
      <c r="C207" s="45">
        <f>C198*'1. Infrastructures '!$G$52/1000</f>
        <v>250728.05734768105</v>
      </c>
      <c r="D207" s="230" t="s">
        <v>248</v>
      </c>
      <c r="E207" s="227">
        <f>C207/$C$212</f>
        <v>0.37126771270068226</v>
      </c>
    </row>
    <row r="208" spans="2:8">
      <c r="B208" s="34" t="s">
        <v>50</v>
      </c>
      <c r="C208" s="45">
        <f>C199*'1. Infrastructures '!$G$52/1000</f>
        <v>351180.23605678417</v>
      </c>
      <c r="D208" s="230" t="s">
        <v>248</v>
      </c>
      <c r="E208" s="227">
        <f>C208/$C$212</f>
        <v>0.52001313441235342</v>
      </c>
    </row>
    <row r="209" spans="2:11">
      <c r="B209" s="34" t="s">
        <v>242</v>
      </c>
      <c r="C209" s="45">
        <f>C200*'1. Infrastructures '!$G$52/1000</f>
        <v>60066.827913651934</v>
      </c>
      <c r="D209" s="230" t="s">
        <v>248</v>
      </c>
      <c r="E209" s="227">
        <f>C209/$C$212</f>
        <v>8.8944468539325625E-2</v>
      </c>
    </row>
    <row r="210" spans="2:11">
      <c r="B210" s="34" t="s">
        <v>243</v>
      </c>
      <c r="C210" s="45">
        <f>C201*'1. Infrastructures '!$G$52/1000</f>
        <v>1299.1476116585541</v>
      </c>
      <c r="D210" s="230" t="s">
        <v>248</v>
      </c>
      <c r="E210" s="227">
        <f t="shared" ref="E210" si="7">C210/$C$212</f>
        <v>1.923723923614114E-3</v>
      </c>
    </row>
    <row r="211" spans="2:11">
      <c r="B211" s="34" t="s">
        <v>244</v>
      </c>
      <c r="C211" s="45">
        <f>C202*'1. Infrastructures '!$G$52/1000</f>
        <v>12055.281070224317</v>
      </c>
      <c r="D211" s="230" t="s">
        <v>248</v>
      </c>
      <c r="E211" s="227">
        <f>C211/$C$212</f>
        <v>1.7850960424024561E-2</v>
      </c>
    </row>
    <row r="212" spans="2:11">
      <c r="B212" s="42" t="s">
        <v>0</v>
      </c>
      <c r="C212" s="46">
        <f>SUM(C207:C211)</f>
        <v>675329.55</v>
      </c>
      <c r="D212" s="231" t="s">
        <v>248</v>
      </c>
      <c r="E212" s="228">
        <f>C212/$C$212</f>
        <v>1</v>
      </c>
    </row>
    <row r="213" spans="2:11">
      <c r="B213" s="9"/>
      <c r="C213" s="9"/>
      <c r="D213" s="9"/>
      <c r="E213" s="9"/>
      <c r="F213" s="9"/>
      <c r="G213" s="9"/>
      <c r="H213" s="9"/>
      <c r="I213" s="9"/>
    </row>
    <row r="214" spans="2:11">
      <c r="B214" s="9"/>
      <c r="C214" s="9"/>
      <c r="D214" s="9"/>
      <c r="E214" s="9"/>
      <c r="F214" s="9"/>
      <c r="G214" s="9"/>
      <c r="H214" s="9"/>
      <c r="I214" s="9"/>
    </row>
    <row r="215" spans="2:11" ht="18">
      <c r="B215" s="11" t="s">
        <v>304</v>
      </c>
    </row>
    <row r="217" spans="2:11" ht="31" customHeight="1">
      <c r="B217" s="217" t="str">
        <f t="shared" ref="B217:G218" si="8">B115</f>
        <v>Catégorie ERP</v>
      </c>
      <c r="C217" s="218">
        <f t="shared" si="8"/>
        <v>1</v>
      </c>
      <c r="D217" s="218">
        <f t="shared" si="8"/>
        <v>2</v>
      </c>
      <c r="E217" s="218">
        <f t="shared" si="8"/>
        <v>3</v>
      </c>
      <c r="F217" s="218">
        <f t="shared" si="8"/>
        <v>4</v>
      </c>
      <c r="G217" s="218">
        <f t="shared" si="8"/>
        <v>5</v>
      </c>
      <c r="I217" s="220" t="str">
        <f t="shared" ref="I217:I223" si="9">B197</f>
        <v>Énergie consommée</v>
      </c>
      <c r="J217" s="221" t="s">
        <v>313</v>
      </c>
      <c r="K217" s="220" t="s">
        <v>18</v>
      </c>
    </row>
    <row r="218" spans="2:11" ht="25" customHeight="1">
      <c r="B218" s="34" t="str">
        <f t="shared" si="8"/>
        <v>Effectif admissible</v>
      </c>
      <c r="C218" s="93" t="str">
        <f t="shared" si="8"/>
        <v>&gt;1500 personnes</v>
      </c>
      <c r="D218" s="93" t="str">
        <f t="shared" si="8"/>
        <v>701 à 1500 personnes</v>
      </c>
      <c r="E218" s="93" t="str">
        <f t="shared" si="8"/>
        <v>301 à 700 personnes</v>
      </c>
      <c r="F218" s="93" t="str">
        <f t="shared" si="8"/>
        <v>Jusqu'à 300 personnes</v>
      </c>
      <c r="G218" s="93" t="str">
        <f t="shared" si="8"/>
        <v>Inférieur aux seuils fixés pour la 5e catégorie</v>
      </c>
      <c r="I218" s="168" t="str">
        <f t="shared" si="9"/>
        <v>Électricité</v>
      </c>
      <c r="J218" s="222">
        <f t="shared" ref="J218:K223" si="10">C198</f>
        <v>8.8967657877719404</v>
      </c>
      <c r="K218" s="223" t="str">
        <f t="shared" si="10"/>
        <v>kWh/m2/an</v>
      </c>
    </row>
    <row r="219" spans="2:11" ht="25" customHeight="1">
      <c r="B219" s="56" t="s">
        <v>310</v>
      </c>
      <c r="C219" s="18">
        <f t="shared" ref="C219:G220" si="11">C117</f>
        <v>833</v>
      </c>
      <c r="D219" s="18">
        <f t="shared" si="11"/>
        <v>871</v>
      </c>
      <c r="E219" s="18">
        <f t="shared" si="11"/>
        <v>1239</v>
      </c>
      <c r="F219" s="18">
        <f t="shared" si="11"/>
        <v>916</v>
      </c>
      <c r="G219" s="18">
        <f t="shared" si="11"/>
        <v>23584</v>
      </c>
      <c r="I219" s="168" t="str">
        <f t="shared" si="9"/>
        <v>Gaz naturel</v>
      </c>
      <c r="J219" s="222">
        <f t="shared" si="10"/>
        <v>12.461183413387015</v>
      </c>
      <c r="K219" s="223" t="str">
        <f t="shared" si="10"/>
        <v>kWh/m2/an</v>
      </c>
    </row>
    <row r="220" spans="2:11" ht="25" customHeight="1">
      <c r="B220" s="33" t="str">
        <f>B118</f>
        <v>Part</v>
      </c>
      <c r="C220" s="215">
        <f t="shared" si="11"/>
        <v>3.0353824290347265E-2</v>
      </c>
      <c r="D220" s="215">
        <f t="shared" si="11"/>
        <v>3.1738512553292277E-2</v>
      </c>
      <c r="E220" s="215">
        <f t="shared" si="11"/>
        <v>4.5148125204970302E-2</v>
      </c>
      <c r="F220" s="215">
        <f t="shared" si="11"/>
        <v>3.3378274969937692E-2</v>
      </c>
      <c r="G220" s="215">
        <f t="shared" si="11"/>
        <v>0.85938126298145245</v>
      </c>
      <c r="I220" s="168" t="str">
        <f t="shared" si="9"/>
        <v>Fioul</v>
      </c>
      <c r="J220" s="222">
        <f t="shared" si="10"/>
        <v>2.1313948874142854</v>
      </c>
      <c r="K220" s="223" t="str">
        <f t="shared" si="10"/>
        <v>kWh/m2/an</v>
      </c>
    </row>
    <row r="221" spans="2:11" ht="25" customHeight="1">
      <c r="B221" s="219" t="s">
        <v>311</v>
      </c>
      <c r="C221" s="18">
        <f t="shared" ref="C221:G222" si="12">C124</f>
        <v>0</v>
      </c>
      <c r="D221" s="18">
        <f t="shared" si="12"/>
        <v>120</v>
      </c>
      <c r="E221" s="18">
        <f t="shared" si="12"/>
        <v>45</v>
      </c>
      <c r="F221" s="18">
        <f t="shared" si="12"/>
        <v>15</v>
      </c>
      <c r="G221" s="18">
        <f t="shared" si="12"/>
        <v>5</v>
      </c>
      <c r="I221" s="168" t="str">
        <f t="shared" si="9"/>
        <v>Énergies renouvelables</v>
      </c>
      <c r="J221" s="222">
        <f t="shared" si="10"/>
        <v>4.6098598405530024E-2</v>
      </c>
      <c r="K221" s="223" t="str">
        <f t="shared" si="10"/>
        <v>kWh/m2/an</v>
      </c>
    </row>
    <row r="222" spans="2:11" ht="25" customHeight="1">
      <c r="B222" s="219" t="s">
        <v>312</v>
      </c>
      <c r="C222" s="18">
        <f t="shared" si="12"/>
        <v>120</v>
      </c>
      <c r="D222" s="18">
        <f t="shared" si="12"/>
        <v>60</v>
      </c>
      <c r="E222" s="18">
        <f t="shared" si="12"/>
        <v>30</v>
      </c>
      <c r="F222" s="18">
        <f t="shared" si="12"/>
        <v>10</v>
      </c>
      <c r="G222" s="18">
        <f t="shared" si="12"/>
        <v>5</v>
      </c>
      <c r="H222" s="373"/>
      <c r="I222" s="168" t="str">
        <f t="shared" si="9"/>
        <v>Chaleur</v>
      </c>
      <c r="J222" s="222">
        <f t="shared" si="10"/>
        <v>0.42776629517302156</v>
      </c>
      <c r="K222" s="223" t="str">
        <f t="shared" si="10"/>
        <v>kWh/m2/an</v>
      </c>
    </row>
    <row r="223" spans="2:11" ht="25" customHeight="1">
      <c r="I223" s="224" t="str">
        <f t="shared" si="9"/>
        <v>Total</v>
      </c>
      <c r="J223" s="222">
        <f t="shared" si="10"/>
        <v>23.963208982151791</v>
      </c>
      <c r="K223" s="223" t="str">
        <f t="shared" si="10"/>
        <v>kWh/m2/an</v>
      </c>
    </row>
    <row r="224" spans="2:11" ht="25" customHeight="1">
      <c r="B224" s="65" t="s">
        <v>314</v>
      </c>
      <c r="D224" s="9"/>
    </row>
    <row r="225" spans="2:11" ht="19" customHeight="1">
      <c r="B225" s="235" t="str">
        <f>B206</f>
        <v>Énergie consommée</v>
      </c>
      <c r="C225" s="235" t="str">
        <f>E206</f>
        <v>Part</v>
      </c>
      <c r="D225" s="9"/>
    </row>
    <row r="226" spans="2:11" ht="19" customHeight="1">
      <c r="B226" s="225" t="str">
        <f>B208</f>
        <v>Gaz naturel</v>
      </c>
      <c r="C226" s="242">
        <f>E208</f>
        <v>0.52001313441235342</v>
      </c>
      <c r="D226" s="9"/>
    </row>
    <row r="227" spans="2:11" ht="19" customHeight="1">
      <c r="B227" s="225" t="str">
        <f>B207</f>
        <v>Électricité</v>
      </c>
      <c r="C227" s="242">
        <f>E207</f>
        <v>0.37126771270068226</v>
      </c>
      <c r="D227" s="9"/>
    </row>
    <row r="228" spans="2:11" ht="19" customHeight="1">
      <c r="B228" s="225" t="str">
        <f>B209</f>
        <v>Fioul</v>
      </c>
      <c r="C228" s="242">
        <f>E209</f>
        <v>8.8944468539325625E-2</v>
      </c>
      <c r="D228" s="9"/>
    </row>
    <row r="229" spans="2:11" ht="19" customHeight="1">
      <c r="B229" s="225" t="str">
        <f>B211</f>
        <v>Chaleur</v>
      </c>
      <c r="C229" s="236">
        <f>E211</f>
        <v>1.7850960424024561E-2</v>
      </c>
      <c r="D229" s="9"/>
      <c r="I229"/>
      <c r="J229"/>
      <c r="K229"/>
    </row>
    <row r="230" spans="2:11" customFormat="1" ht="19" customHeight="1">
      <c r="B230" s="225" t="str">
        <f>B210</f>
        <v>Énergies renouvelables</v>
      </c>
      <c r="C230" s="236">
        <f>E210</f>
        <v>1.923723923614114E-3</v>
      </c>
      <c r="I230" s="10"/>
      <c r="J230" s="10"/>
      <c r="K230" s="10"/>
    </row>
    <row r="231" spans="2:11" ht="19" customHeight="1">
      <c r="B231" s="238" t="str">
        <f>B212</f>
        <v>Total</v>
      </c>
      <c r="C231" s="374">
        <f>SUM(C226:C230)</f>
        <v>0.99999999999999989</v>
      </c>
      <c r="D231" s="9"/>
    </row>
    <row r="232" spans="2:11">
      <c r="D232" s="9"/>
    </row>
    <row r="234" spans="2:11">
      <c r="B234" s="65" t="s">
        <v>315</v>
      </c>
    </row>
    <row r="235" spans="2:11">
      <c r="B235" s="238" t="str">
        <f>B47</f>
        <v>Énergie consommée</v>
      </c>
      <c r="C235" s="239" t="str">
        <f>E47</f>
        <v>Part</v>
      </c>
    </row>
    <row r="236" spans="2:11">
      <c r="B236" s="225" t="str">
        <f>B49</f>
        <v>Gaz naturel</v>
      </c>
      <c r="C236" s="237">
        <f>E49</f>
        <v>0.70181707982810126</v>
      </c>
    </row>
    <row r="237" spans="2:11">
      <c r="B237" s="225" t="str">
        <f>B48</f>
        <v>Électricité</v>
      </c>
      <c r="C237" s="237">
        <f>E48</f>
        <v>0.11478213247853886</v>
      </c>
    </row>
    <row r="238" spans="2:11">
      <c r="B238" s="225" t="str">
        <f>B50</f>
        <v>Fioul</v>
      </c>
      <c r="C238" s="237">
        <f>E50</f>
        <v>0.17133564254646116</v>
      </c>
    </row>
    <row r="239" spans="2:11">
      <c r="B239" s="225" t="str">
        <f>B52</f>
        <v>Chaleur</v>
      </c>
      <c r="C239" s="240">
        <f>E52</f>
        <v>1.1886756677326443E-2</v>
      </c>
    </row>
    <row r="240" spans="2:11">
      <c r="B240" s="225" t="str">
        <f>B51</f>
        <v>Énergies renouvelables</v>
      </c>
      <c r="C240" s="241">
        <f>E51</f>
        <v>1.783884695721521E-4</v>
      </c>
    </row>
    <row r="241" spans="2:3">
      <c r="B241" s="238" t="str">
        <f>B53</f>
        <v>Total</v>
      </c>
      <c r="C241" s="239">
        <f>E53</f>
        <v>1</v>
      </c>
    </row>
    <row r="242" spans="2:3">
      <c r="C242" s="375"/>
    </row>
  </sheetData>
  <mergeCells count="30">
    <mergeCell ref="B183:G183"/>
    <mergeCell ref="B147:F147"/>
    <mergeCell ref="B2:C2"/>
    <mergeCell ref="B4:D4"/>
    <mergeCell ref="C12:L12"/>
    <mergeCell ref="H124:H125"/>
    <mergeCell ref="C6:D6"/>
    <mergeCell ref="C7:D7"/>
    <mergeCell ref="B9:L9"/>
    <mergeCell ref="C10:L10"/>
    <mergeCell ref="C11:L11"/>
    <mergeCell ref="C13:L13"/>
    <mergeCell ref="C14:L14"/>
    <mergeCell ref="C15:L15"/>
    <mergeCell ref="B22:I22"/>
    <mergeCell ref="B62:B66"/>
    <mergeCell ref="C66:D66"/>
    <mergeCell ref="C65:D65"/>
    <mergeCell ref="C64:D64"/>
    <mergeCell ref="C63:D63"/>
    <mergeCell ref="C62:D62"/>
    <mergeCell ref="C61:D61"/>
    <mergeCell ref="B67:B71"/>
    <mergeCell ref="C73:D73"/>
    <mergeCell ref="C72:D72"/>
    <mergeCell ref="C71:D71"/>
    <mergeCell ref="C70:D70"/>
    <mergeCell ref="C69:D69"/>
    <mergeCell ref="C68:D68"/>
    <mergeCell ref="C67:D67"/>
  </mergeCells>
  <phoneticPr fontId="43" type="noConversion"/>
  <pageMargins left="0.70078740157480324" right="0.70078740157480324" top="0.75196850393700787" bottom="0.75196850393700787"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4DA60-8EE5-0C47-A1EE-13D8CD9718E6}">
  <sheetPr>
    <tabColor theme="5"/>
  </sheetPr>
  <dimension ref="A1:AO282"/>
  <sheetViews>
    <sheetView zoomScale="50" zoomScaleNormal="100" workbookViewId="0">
      <selection activeCell="J31" sqref="J31"/>
    </sheetView>
  </sheetViews>
  <sheetFormatPr baseColWidth="10" defaultColWidth="11.5" defaultRowHeight="16" outlineLevelRow="1"/>
  <cols>
    <col min="1" max="1" width="11.5" style="257"/>
    <col min="2" max="2" width="51.83203125" style="257" customWidth="1"/>
    <col min="3" max="3" width="43.5" style="257" customWidth="1"/>
    <col min="4" max="4" width="29.5" style="257" customWidth="1"/>
    <col min="5" max="6" width="29.5" style="32" customWidth="1"/>
    <col min="7" max="7" width="50.83203125" style="263" customWidth="1"/>
    <col min="8" max="10" width="29.5" style="263" customWidth="1"/>
    <col min="11" max="16384" width="11.5" style="257"/>
  </cols>
  <sheetData>
    <row r="1" spans="2:11" ht="26" customHeight="1" thickBot="1"/>
    <row r="2" spans="2:11" ht="26" customHeight="1" thickBot="1">
      <c r="B2" s="2083" t="s">
        <v>356</v>
      </c>
      <c r="C2" s="2084"/>
      <c r="D2" s="2085"/>
    </row>
    <row r="3" spans="2:11" ht="26" customHeight="1"/>
    <row r="4" spans="2:11" ht="26" customHeight="1" thickBot="1"/>
    <row r="5" spans="2:11" ht="26" customHeight="1">
      <c r="B5" s="2086" t="s">
        <v>357</v>
      </c>
      <c r="C5" s="2087"/>
      <c r="D5" s="2088"/>
    </row>
    <row r="6" spans="2:11" ht="26" customHeight="1">
      <c r="B6" s="280" t="s">
        <v>335</v>
      </c>
      <c r="C6" s="413">
        <f>ROUND(D31,-1)</f>
        <v>98190</v>
      </c>
      <c r="D6" s="258" t="s">
        <v>3</v>
      </c>
    </row>
    <row r="7" spans="2:11" ht="26" customHeight="1">
      <c r="B7" s="280" t="s">
        <v>336</v>
      </c>
      <c r="C7" s="413">
        <f>ROUND(E31,-1)</f>
        <v>3010</v>
      </c>
      <c r="D7" s="258" t="s">
        <v>3</v>
      </c>
    </row>
    <row r="8" spans="2:11" ht="26" customHeight="1" thickBot="1">
      <c r="B8" s="281" t="s">
        <v>337</v>
      </c>
      <c r="C8" s="282">
        <f>(C7-C6)/C6</f>
        <v>-0.96934514716366227</v>
      </c>
      <c r="D8" s="283"/>
    </row>
    <row r="9" spans="2:11" ht="26" customHeight="1"/>
    <row r="10" spans="2:11" ht="26" customHeight="1">
      <c r="B10" s="263"/>
      <c r="C10" s="263"/>
      <c r="D10" s="263"/>
    </row>
    <row r="11" spans="2:11" ht="28" customHeight="1">
      <c r="B11" s="260" t="s">
        <v>338</v>
      </c>
      <c r="C11" s="10"/>
      <c r="D11" s="10"/>
      <c r="E11" s="10"/>
      <c r="F11" s="10"/>
      <c r="G11" s="10"/>
      <c r="H11" s="10"/>
      <c r="I11" s="10"/>
      <c r="J11" s="10"/>
    </row>
    <row r="12" spans="2:11" ht="28" customHeight="1" thickBot="1">
      <c r="B12" s="284"/>
      <c r="C12" s="285"/>
      <c r="D12" s="285"/>
      <c r="E12" s="286"/>
      <c r="F12" s="285"/>
      <c r="G12" s="285"/>
      <c r="H12" s="285"/>
      <c r="I12" s="285"/>
      <c r="J12" s="285"/>
    </row>
    <row r="13" spans="2:11" ht="36" customHeight="1" thickBot="1">
      <c r="B13" s="287" t="s">
        <v>339</v>
      </c>
      <c r="C13" s="288" t="s">
        <v>340</v>
      </c>
      <c r="D13" s="289" t="s">
        <v>358</v>
      </c>
      <c r="E13" s="290" t="s">
        <v>341</v>
      </c>
      <c r="F13" s="291" t="s">
        <v>359</v>
      </c>
      <c r="G13" s="290" t="s">
        <v>341</v>
      </c>
      <c r="H13" s="292" t="s">
        <v>360</v>
      </c>
      <c r="J13" s="293"/>
      <c r="K13" s="294"/>
    </row>
    <row r="14" spans="2:11" s="263" customFormat="1" ht="28" customHeight="1">
      <c r="F14" s="268"/>
    </row>
    <row r="15" spans="2:11" ht="26" customHeight="1">
      <c r="B15" s="260" t="s">
        <v>361</v>
      </c>
    </row>
    <row r="16" spans="2:11" ht="26" customHeight="1">
      <c r="B16" s="260"/>
    </row>
    <row r="17" spans="2:31" ht="23" customHeight="1">
      <c r="B17" s="295" t="s">
        <v>362</v>
      </c>
      <c r="G17" s="295" t="s">
        <v>363</v>
      </c>
    </row>
    <row r="18" spans="2:31" ht="23" customHeight="1" outlineLevel="1" thickBot="1">
      <c r="B18" s="295"/>
    </row>
    <row r="19" spans="2:31" ht="34" customHeight="1" outlineLevel="1" thickBot="1">
      <c r="C19" s="296"/>
      <c r="D19" s="297">
        <v>2022</v>
      </c>
      <c r="E19" s="297">
        <v>2050</v>
      </c>
      <c r="G19" s="2070" t="s">
        <v>364</v>
      </c>
      <c r="H19" s="2071"/>
      <c r="I19" s="2071"/>
      <c r="J19" s="2072"/>
    </row>
    <row r="20" spans="2:31" ht="34" customHeight="1" outlineLevel="1" thickBot="1">
      <c r="B20" s="2093" t="s">
        <v>365</v>
      </c>
      <c r="C20" s="298" t="s">
        <v>366</v>
      </c>
      <c r="D20" s="299">
        <f>'2. Energie '!$C$82</f>
        <v>5.1999999999999998E-2</v>
      </c>
      <c r="E20" s="299">
        <f>C74</f>
        <v>1.2157792712505094E-2</v>
      </c>
      <c r="G20" s="300"/>
      <c r="H20" s="301"/>
      <c r="I20" s="302">
        <v>2050</v>
      </c>
      <c r="J20" s="303" t="s">
        <v>367</v>
      </c>
    </row>
    <row r="21" spans="2:31" s="263" customFormat="1" ht="34" customHeight="1" outlineLevel="1">
      <c r="B21" s="2094"/>
      <c r="C21" s="304" t="s">
        <v>437</v>
      </c>
      <c r="D21" s="305">
        <f>'2. Energie '!$C$83</f>
        <v>0.22700000000000001</v>
      </c>
      <c r="E21" s="305">
        <f>C76</f>
        <v>0.32400000000000001</v>
      </c>
      <c r="G21" s="306" t="s">
        <v>369</v>
      </c>
      <c r="H21" s="307">
        <v>0</v>
      </c>
      <c r="I21" s="307">
        <f>ROUND(D31,-1)</f>
        <v>98190</v>
      </c>
      <c r="J21" s="308"/>
    </row>
    <row r="22" spans="2:31" s="263" customFormat="1" ht="34" customHeight="1" outlineLevel="1">
      <c r="B22" s="2094"/>
      <c r="C22" s="304" t="s">
        <v>368</v>
      </c>
      <c r="D22" s="305">
        <f>'2. Energie '!$C$85</f>
        <v>0.32400000000000001</v>
      </c>
      <c r="E22" s="305">
        <f>C75</f>
        <v>2.2871536523929481E-2</v>
      </c>
      <c r="G22" s="309" t="s">
        <v>370</v>
      </c>
      <c r="H22" s="307">
        <f>ROUND(I21-I22,-1)</f>
        <v>36630</v>
      </c>
      <c r="I22" s="772">
        <f>-(D30*(E25*D20+E26*D21+E27*D22+D24*E29+D23*E28)-I21)</f>
        <v>61563.8127283676</v>
      </c>
      <c r="J22" s="310">
        <f>I22/$I$21</f>
        <v>0.62698658446244626</v>
      </c>
    </row>
    <row r="23" spans="2:31" s="263" customFormat="1" ht="34" customHeight="1" outlineLevel="1">
      <c r="B23" s="2094"/>
      <c r="C23" s="304" t="s">
        <v>438</v>
      </c>
      <c r="D23" s="305">
        <f>'2. Energie '!$C$86</f>
        <v>1.5596971218206201E-2</v>
      </c>
      <c r="E23" s="762">
        <f>C77</f>
        <v>0</v>
      </c>
      <c r="G23" s="313" t="s">
        <v>372</v>
      </c>
      <c r="H23" s="307">
        <f>ROUND(H22-I23,-1)</f>
        <v>14650</v>
      </c>
      <c r="I23" s="772">
        <f>ROUND(-(E30*(E25*D20+E26*D21+E27*D22+D24*E29+D23*E28)-D30*(E25*D20+E26*D21+E27*D22+D24*E29+D23*E28)),-1)</f>
        <v>21980</v>
      </c>
      <c r="J23" s="310">
        <f>I23/$I$21</f>
        <v>0.22385171606069865</v>
      </c>
    </row>
    <row r="24" spans="2:31" s="263" customFormat="1" ht="34" customHeight="1" outlineLevel="1" thickBot="1">
      <c r="B24" s="2095"/>
      <c r="C24" s="311" t="s">
        <v>371</v>
      </c>
      <c r="D24" s="305">
        <f>'2. Energie '!$C$87</f>
        <v>0.112</v>
      </c>
      <c r="E24" s="312">
        <f>C78</f>
        <v>1.6760563380281687E-2</v>
      </c>
      <c r="G24" s="316" t="s">
        <v>374</v>
      </c>
      <c r="H24" s="307">
        <f>ROUND(H23-I24,-1)</f>
        <v>3040</v>
      </c>
      <c r="I24" s="772">
        <f>ROUND(-(E30*(E25*E20+E26*E21+E27*E22+E24*E29)-E30*(E25*D20+E26*D21+E27*D22+D24*E29)),-1)</f>
        <v>11610</v>
      </c>
      <c r="J24" s="310">
        <f>I24/$I$21</f>
        <v>0.11824014665444546</v>
      </c>
    </row>
    <row r="25" spans="2:31" s="263" customFormat="1" ht="34" customHeight="1" outlineLevel="1" thickBot="1">
      <c r="B25" s="2096" t="s">
        <v>359</v>
      </c>
      <c r="C25" s="298" t="s">
        <v>373</v>
      </c>
      <c r="D25" s="314">
        <f>'2. Energie '!$C$39/'2. Energie '!$C$44</f>
        <v>0.37126771270068226</v>
      </c>
      <c r="E25" s="315">
        <f>C139</f>
        <v>0.80852041058054702</v>
      </c>
      <c r="G25" s="319" t="s">
        <v>375</v>
      </c>
      <c r="H25" s="320">
        <v>0</v>
      </c>
      <c r="I25" s="414">
        <f>ROUND(E31,-1)</f>
        <v>3010</v>
      </c>
      <c r="J25" s="321"/>
    </row>
    <row r="26" spans="2:31" s="263" customFormat="1" ht="34" customHeight="1" outlineLevel="1">
      <c r="B26" s="2097"/>
      <c r="C26" s="304" t="s">
        <v>376</v>
      </c>
      <c r="D26" s="317">
        <f>'2. Energie '!$C$40/'2. Energie '!$C$44</f>
        <v>0.52001313441235342</v>
      </c>
      <c r="E26" s="318">
        <f>C140</f>
        <v>0</v>
      </c>
      <c r="J26" s="279"/>
    </row>
    <row r="27" spans="2:31" s="263" customFormat="1" ht="34" customHeight="1" outlineLevel="1">
      <c r="B27" s="2097"/>
      <c r="C27" s="304" t="s">
        <v>242</v>
      </c>
      <c r="D27" s="317">
        <f>'2. Energie '!$C$41/'2. Energie '!$C$44</f>
        <v>8.8944468539325625E-2</v>
      </c>
      <c r="E27" s="318">
        <f>C141</f>
        <v>0</v>
      </c>
      <c r="J27" s="279"/>
    </row>
    <row r="28" spans="2:31" s="263" customFormat="1" ht="41" customHeight="1" outlineLevel="1">
      <c r="B28" s="2097"/>
      <c r="C28" s="386" t="s">
        <v>439</v>
      </c>
      <c r="D28" s="387">
        <f>'2. Energie '!$C$42/'2. Energie '!$C$44</f>
        <v>1.923723923614114E-3</v>
      </c>
      <c r="E28" s="768">
        <f>C142</f>
        <v>7.7484708445738713E-3</v>
      </c>
    </row>
    <row r="29" spans="2:31" s="263" customFormat="1" ht="41" customHeight="1" outlineLevel="1" thickBot="1">
      <c r="B29" s="2098"/>
      <c r="C29" s="311" t="s">
        <v>258</v>
      </c>
      <c r="D29" s="317">
        <f>'2. Energie '!$C$43/'2. Energie '!$C$44</f>
        <v>1.7850960424024561E-2</v>
      </c>
      <c r="E29" s="318">
        <f>C143</f>
        <v>0.18373111857487923</v>
      </c>
    </row>
    <row r="30" spans="2:31" ht="36" customHeight="1" outlineLevel="1" thickBot="1">
      <c r="B30" s="292" t="s">
        <v>360</v>
      </c>
      <c r="C30" s="322" t="s">
        <v>377</v>
      </c>
      <c r="D30" s="323">
        <f>'2. Energie '!E72</f>
        <v>583760.55000000005</v>
      </c>
      <c r="E30" s="324">
        <f>C165</f>
        <v>233504.22000000003</v>
      </c>
      <c r="AC30" s="263"/>
      <c r="AD30" s="263"/>
      <c r="AE30" s="263"/>
    </row>
    <row r="31" spans="2:31" ht="36" customHeight="1" outlineLevel="1" thickBot="1">
      <c r="B31" s="287" t="s">
        <v>339</v>
      </c>
      <c r="C31" s="325" t="s">
        <v>378</v>
      </c>
      <c r="D31" s="761">
        <f>SUMPRODUCT(D20:D24,D25:D29)*D30</f>
        <v>98186.319186948298</v>
      </c>
      <c r="E31" s="761">
        <f>SUMPRODUCT(E20:E24,E25:E29)*E30</f>
        <v>3014.3668303255281</v>
      </c>
      <c r="S31" s="270" t="s">
        <v>1795</v>
      </c>
      <c r="T31" s="270">
        <f>D19</f>
        <v>2022</v>
      </c>
      <c r="U31" s="270">
        <f>E19</f>
        <v>2050</v>
      </c>
    </row>
    <row r="32" spans="2:31" ht="28" customHeight="1" outlineLevel="1">
      <c r="E32" s="257"/>
      <c r="S32" s="264" t="str">
        <f t="shared" ref="S32:U34" si="0">C25</f>
        <v xml:space="preserve">Électricité </v>
      </c>
      <c r="T32" s="269">
        <f t="shared" si="0"/>
        <v>0.37126771270068226</v>
      </c>
      <c r="U32" s="269">
        <f t="shared" si="0"/>
        <v>0.80852041058054702</v>
      </c>
    </row>
    <row r="33" spans="2:41" ht="28" customHeight="1">
      <c r="L33" s="326"/>
      <c r="S33" s="264" t="str">
        <f t="shared" si="0"/>
        <v xml:space="preserve">Gaz </v>
      </c>
      <c r="T33" s="269">
        <f t="shared" si="0"/>
        <v>0.52001313441235342</v>
      </c>
      <c r="U33" s="269">
        <f t="shared" si="0"/>
        <v>0</v>
      </c>
    </row>
    <row r="34" spans="2:41" ht="28" customHeight="1">
      <c r="B34" s="327" t="s">
        <v>379</v>
      </c>
      <c r="L34" s="326"/>
      <c r="S34" s="264" t="str">
        <f t="shared" si="0"/>
        <v>Fioul</v>
      </c>
      <c r="T34" s="269">
        <f t="shared" si="0"/>
        <v>8.8944468539325625E-2</v>
      </c>
      <c r="U34" s="269">
        <f t="shared" si="0"/>
        <v>0</v>
      </c>
    </row>
    <row r="35" spans="2:41" ht="28" customHeight="1">
      <c r="B35" s="327"/>
      <c r="L35" s="326"/>
      <c r="S35" s="264" t="s">
        <v>1618</v>
      </c>
      <c r="T35" s="269">
        <f>D28+D29</f>
        <v>1.9774684347638675E-2</v>
      </c>
      <c r="U35" s="269">
        <f>E28+E29</f>
        <v>0.19147958941945309</v>
      </c>
    </row>
    <row r="36" spans="2:41" ht="28" customHeight="1">
      <c r="B36" s="295" t="s">
        <v>380</v>
      </c>
      <c r="E36" s="257"/>
      <c r="F36" s="257"/>
      <c r="G36" s="257"/>
      <c r="H36" s="257"/>
    </row>
    <row r="37" spans="2:41" ht="28" hidden="1" customHeight="1" outlineLevel="1" thickBot="1">
      <c r="E37" s="257"/>
      <c r="F37" s="257"/>
      <c r="G37" s="257"/>
      <c r="H37" s="257"/>
    </row>
    <row r="38" spans="2:41" ht="40" hidden="1" customHeight="1" outlineLevel="1">
      <c r="B38" s="328" t="s">
        <v>7</v>
      </c>
      <c r="C38" s="2066" t="s">
        <v>381</v>
      </c>
      <c r="D38" s="2067"/>
      <c r="E38" s="2067"/>
      <c r="F38" s="2067"/>
      <c r="G38" s="2067"/>
      <c r="H38" s="2067"/>
      <c r="I38" s="2067"/>
      <c r="J38" s="2067"/>
      <c r="K38" s="2068"/>
    </row>
    <row r="39" spans="2:41" ht="60" hidden="1" customHeight="1" outlineLevel="1">
      <c r="B39" s="329" t="s">
        <v>8</v>
      </c>
      <c r="C39" s="2063" t="s">
        <v>610</v>
      </c>
      <c r="D39" s="2064"/>
      <c r="E39" s="2064"/>
      <c r="F39" s="2064"/>
      <c r="G39" s="2064"/>
      <c r="H39" s="2064"/>
      <c r="I39" s="2064"/>
      <c r="J39" s="2064"/>
      <c r="K39" s="2065"/>
    </row>
    <row r="40" spans="2:41" ht="104" hidden="1" customHeight="1" outlineLevel="1" thickBot="1">
      <c r="B40" s="330" t="s">
        <v>9</v>
      </c>
      <c r="C40" s="2060" t="s">
        <v>382</v>
      </c>
      <c r="D40" s="2061"/>
      <c r="E40" s="2061"/>
      <c r="F40" s="2061"/>
      <c r="G40" s="2061"/>
      <c r="H40" s="2061"/>
      <c r="I40" s="2061"/>
      <c r="J40" s="2061"/>
      <c r="K40" s="2062"/>
    </row>
    <row r="41" spans="2:41" ht="28" hidden="1" customHeight="1" outlineLevel="1">
      <c r="E41" s="257"/>
      <c r="F41" s="257"/>
      <c r="G41" s="257"/>
      <c r="H41" s="257"/>
    </row>
    <row r="42" spans="2:41" s="5" customFormat="1" ht="14" hidden="1" outlineLevel="1">
      <c r="B42" s="331" t="s">
        <v>383</v>
      </c>
    </row>
    <row r="43" spans="2:41" s="5" customFormat="1" ht="14" hidden="1" outlineLevel="1">
      <c r="B43" s="332"/>
    </row>
    <row r="44" spans="2:41" s="5" customFormat="1" ht="14" hidden="1" outlineLevel="1">
      <c r="B44" s="5" t="s">
        <v>384</v>
      </c>
    </row>
    <row r="45" spans="2:41" s="5" customFormat="1" ht="14" hidden="1" outlineLevel="1">
      <c r="B45" s="333"/>
      <c r="C45" s="334"/>
      <c r="D45" s="334"/>
      <c r="E45" s="334"/>
      <c r="F45" s="335"/>
      <c r="G45" s="336"/>
      <c r="H45" s="334"/>
      <c r="I45" s="334"/>
    </row>
    <row r="46" spans="2:41" s="5" customFormat="1" ht="15" hidden="1" outlineLevel="1" thickBot="1">
      <c r="B46" s="39" t="s">
        <v>385</v>
      </c>
      <c r="AO46" s="39"/>
    </row>
    <row r="47" spans="2:41" s="5" customFormat="1" ht="17" hidden="1" outlineLevel="1" thickBot="1">
      <c r="C47" s="337">
        <v>2018</v>
      </c>
      <c r="D47" s="338">
        <v>2019</v>
      </c>
      <c r="E47" s="338">
        <v>2020</v>
      </c>
      <c r="F47" s="338">
        <v>2021</v>
      </c>
      <c r="G47" s="338">
        <v>2022</v>
      </c>
      <c r="H47" s="339">
        <v>2050</v>
      </c>
    </row>
    <row r="48" spans="2:41" s="5" customFormat="1" ht="15" hidden="1" outlineLevel="1">
      <c r="B48" s="359" t="s">
        <v>386</v>
      </c>
      <c r="C48" s="402">
        <v>47.8</v>
      </c>
      <c r="D48" s="402">
        <v>46.621038592564396</v>
      </c>
      <c r="E48" s="402">
        <v>45.442077185128795</v>
      </c>
      <c r="F48" s="402">
        <v>44.263115777693201</v>
      </c>
      <c r="G48" s="402">
        <v>43.0841543702576</v>
      </c>
      <c r="H48" s="403">
        <v>10.07323496206082</v>
      </c>
    </row>
    <row r="49" spans="2:29" s="5" customFormat="1" ht="15" hidden="1" outlineLevel="1">
      <c r="B49" s="361" t="s">
        <v>387</v>
      </c>
      <c r="C49" s="340">
        <v>224</v>
      </c>
      <c r="D49" s="340">
        <v>217.625</v>
      </c>
      <c r="E49" s="340">
        <v>211.25</v>
      </c>
      <c r="F49" s="340">
        <v>204.875</v>
      </c>
      <c r="G49" s="340">
        <v>198.5</v>
      </c>
      <c r="H49" s="404">
        <v>20</v>
      </c>
    </row>
    <row r="50" spans="2:29" s="5" customFormat="1" ht="15" hidden="1" outlineLevel="1">
      <c r="B50" s="361" t="s">
        <v>257</v>
      </c>
      <c r="C50" s="340">
        <v>300</v>
      </c>
      <c r="D50" s="340">
        <v>300</v>
      </c>
      <c r="E50" s="340">
        <v>300</v>
      </c>
      <c r="F50" s="340">
        <v>300</v>
      </c>
      <c r="G50" s="340">
        <v>300</v>
      </c>
      <c r="H50" s="404">
        <v>300</v>
      </c>
    </row>
    <row r="51" spans="2:29" s="5" customFormat="1" hidden="1" outlineLevel="1" thickBot="1">
      <c r="B51" s="363" t="s">
        <v>258</v>
      </c>
      <c r="C51" s="405">
        <v>116</v>
      </c>
      <c r="D51" s="405">
        <v>116.2</v>
      </c>
      <c r="E51" s="405">
        <v>116.4</v>
      </c>
      <c r="F51" s="405">
        <v>115</v>
      </c>
      <c r="G51" s="405">
        <v>113.60000000000001</v>
      </c>
      <c r="H51" s="406">
        <v>17</v>
      </c>
    </row>
    <row r="52" spans="2:29" s="5" customFormat="1" ht="14" hidden="1" outlineLevel="1">
      <c r="B52" s="388"/>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row>
    <row r="53" spans="2:29" s="5" customFormat="1" ht="14" hidden="1" outlineLevel="1">
      <c r="B53" s="331" t="s">
        <v>388</v>
      </c>
    </row>
    <row r="54" spans="2:29" s="5" customFormat="1" ht="22" hidden="1" customHeight="1" outlineLevel="1">
      <c r="B54" s="341" t="s">
        <v>389</v>
      </c>
    </row>
    <row r="55" spans="2:29" s="5" customFormat="1" ht="19" hidden="1" customHeight="1" outlineLevel="1" thickBot="1">
      <c r="B55" s="342" t="s">
        <v>390</v>
      </c>
      <c r="C55" s="334"/>
      <c r="D55" s="334"/>
      <c r="E55" s="334"/>
      <c r="F55" s="335"/>
      <c r="G55" s="336"/>
      <c r="H55" s="334"/>
      <c r="I55" s="334"/>
    </row>
    <row r="56" spans="2:29" s="5" customFormat="1" ht="17" hidden="1" outlineLevel="1" thickBot="1">
      <c r="C56" s="337">
        <v>2022</v>
      </c>
      <c r="D56" s="339">
        <v>2050</v>
      </c>
    </row>
    <row r="57" spans="2:29" s="5" customFormat="1" ht="15" hidden="1" outlineLevel="1">
      <c r="B57" s="359" t="s">
        <v>386</v>
      </c>
      <c r="C57" s="400" t="s">
        <v>391</v>
      </c>
      <c r="D57" s="360">
        <f>(H48-G48)/G48</f>
        <v>-0.76619629399028666</v>
      </c>
    </row>
    <row r="58" spans="2:29" s="5" customFormat="1" ht="15" hidden="1" outlineLevel="1">
      <c r="B58" s="361" t="s">
        <v>387</v>
      </c>
      <c r="C58" s="399" t="s">
        <v>391</v>
      </c>
      <c r="D58" s="362">
        <f>(H49-G49)/G49</f>
        <v>-0.89924433249370272</v>
      </c>
    </row>
    <row r="59" spans="2:29" s="5" customFormat="1" ht="15" hidden="1" outlineLevel="1">
      <c r="B59" s="361" t="s">
        <v>257</v>
      </c>
      <c r="C59" s="399" t="s">
        <v>391</v>
      </c>
      <c r="D59" s="362">
        <f>(H50-G50)/G50</f>
        <v>0</v>
      </c>
    </row>
    <row r="60" spans="2:29" s="5" customFormat="1" hidden="1" outlineLevel="1" thickBot="1">
      <c r="B60" s="363" t="s">
        <v>258</v>
      </c>
      <c r="C60" s="401" t="s">
        <v>391</v>
      </c>
      <c r="D60" s="364">
        <f>(H51-G51)/G51</f>
        <v>-0.85035211267605637</v>
      </c>
    </row>
    <row r="61" spans="2:29" ht="28" hidden="1" customHeight="1" outlineLevel="1">
      <c r="E61" s="257"/>
      <c r="F61" s="257"/>
      <c r="G61" s="257"/>
      <c r="H61" s="257"/>
    </row>
    <row r="62" spans="2:29" s="5" customFormat="1" ht="14" hidden="1" outlineLevel="1">
      <c r="B62" s="331" t="s">
        <v>392</v>
      </c>
    </row>
    <row r="63" spans="2:29" s="5" customFormat="1" ht="15" hidden="1" outlineLevel="1" thickBot="1">
      <c r="B63" s="341" t="s">
        <v>393</v>
      </c>
    </row>
    <row r="64" spans="2:29" s="5" customFormat="1" ht="17" hidden="1" outlineLevel="1" thickBot="1">
      <c r="B64" s="341"/>
      <c r="C64" s="339">
        <v>2050</v>
      </c>
    </row>
    <row r="65" spans="2:10" hidden="1" outlineLevel="1">
      <c r="B65" s="390" t="s">
        <v>373</v>
      </c>
      <c r="C65" s="391">
        <f>D57</f>
        <v>-0.76619629399028666</v>
      </c>
      <c r="E65" s="257"/>
      <c r="F65" s="257"/>
      <c r="G65" s="257"/>
      <c r="J65" s="257"/>
    </row>
    <row r="66" spans="2:10" hidden="1" outlineLevel="1">
      <c r="B66" s="392" t="s">
        <v>376</v>
      </c>
      <c r="C66" s="393">
        <f>D58</f>
        <v>-0.89924433249370272</v>
      </c>
      <c r="E66" s="257"/>
      <c r="F66" s="257"/>
      <c r="G66" s="257"/>
      <c r="J66" s="257"/>
    </row>
    <row r="67" spans="2:10" hidden="1" outlineLevel="1">
      <c r="B67" s="392" t="s">
        <v>242</v>
      </c>
      <c r="C67" s="393">
        <f>D59</f>
        <v>0</v>
      </c>
      <c r="E67" s="257"/>
      <c r="F67" s="257"/>
      <c r="G67" s="257"/>
      <c r="J67" s="257"/>
    </row>
    <row r="68" spans="2:10" ht="17" hidden="1" outlineLevel="1" thickBot="1">
      <c r="B68" s="394" t="s">
        <v>258</v>
      </c>
      <c r="C68" s="395">
        <f>D60</f>
        <v>-0.85035211267605637</v>
      </c>
      <c r="E68"/>
      <c r="F68" s="257"/>
      <c r="G68" s="257"/>
      <c r="J68" s="257"/>
    </row>
    <row r="69" spans="2:10" ht="28" hidden="1" customHeight="1" outlineLevel="1">
      <c r="E69"/>
      <c r="F69" s="257"/>
      <c r="G69" s="257"/>
      <c r="H69" s="257"/>
    </row>
    <row r="70" spans="2:10" s="5" customFormat="1" ht="14" hidden="1" outlineLevel="1">
      <c r="B70" s="331" t="s">
        <v>394</v>
      </c>
      <c r="E70"/>
    </row>
    <row r="71" spans="2:10" s="5" customFormat="1" ht="14" hidden="1" outlineLevel="1">
      <c r="B71" s="341" t="s">
        <v>611</v>
      </c>
      <c r="E71"/>
    </row>
    <row r="72" spans="2:10" s="5" customFormat="1" ht="15" hidden="1" outlineLevel="1" thickBot="1">
      <c r="B72" s="341"/>
      <c r="E72"/>
    </row>
    <row r="73" spans="2:10" s="5" customFormat="1" ht="17" hidden="1" outlineLevel="1" thickBot="1">
      <c r="B73" s="57"/>
      <c r="C73" s="339">
        <v>2050</v>
      </c>
      <c r="E73"/>
    </row>
    <row r="74" spans="2:10" hidden="1" outlineLevel="1">
      <c r="B74" s="764" t="s">
        <v>373</v>
      </c>
      <c r="C74" s="396">
        <f>D20*(1+C65)</f>
        <v>1.2157792712505094E-2</v>
      </c>
      <c r="E74"/>
      <c r="F74" s="257"/>
      <c r="G74" s="257"/>
      <c r="J74" s="257"/>
    </row>
    <row r="75" spans="2:10" hidden="1" outlineLevel="1">
      <c r="B75" s="765" t="s">
        <v>376</v>
      </c>
      <c r="C75" s="397">
        <f>D21*(1+C66)</f>
        <v>2.2871536523929481E-2</v>
      </c>
      <c r="E75"/>
      <c r="F75" s="257"/>
      <c r="G75" s="257"/>
      <c r="J75" s="257"/>
    </row>
    <row r="76" spans="2:10" hidden="1" outlineLevel="1">
      <c r="B76" s="765" t="s">
        <v>242</v>
      </c>
      <c r="C76" s="397">
        <f>D22*(1+C67)</f>
        <v>0.32400000000000001</v>
      </c>
      <c r="E76"/>
      <c r="F76" s="257"/>
      <c r="G76" s="257"/>
      <c r="J76" s="257"/>
    </row>
    <row r="77" spans="2:10" hidden="1" outlineLevel="1">
      <c r="B77" s="763" t="s">
        <v>439</v>
      </c>
      <c r="C77" s="767">
        <v>0</v>
      </c>
      <c r="E77"/>
      <c r="F77" s="257"/>
      <c r="G77" s="257"/>
      <c r="J77" s="257"/>
    </row>
    <row r="78" spans="2:10" ht="28" hidden="1" customHeight="1" outlineLevel="1" thickBot="1">
      <c r="B78" s="766" t="s">
        <v>258</v>
      </c>
      <c r="C78" s="398">
        <f>D24*(1+C68)</f>
        <v>1.6760563380281687E-2</v>
      </c>
      <c r="E78"/>
      <c r="F78" s="257"/>
      <c r="G78" s="257"/>
      <c r="H78" s="257"/>
    </row>
    <row r="79" spans="2:10" ht="28" hidden="1" customHeight="1" outlineLevel="1">
      <c r="E79"/>
      <c r="F79" s="257"/>
      <c r="G79" s="257"/>
      <c r="H79" s="257"/>
    </row>
    <row r="80" spans="2:10" ht="28" customHeight="1" collapsed="1">
      <c r="E80" s="257"/>
      <c r="F80" s="257"/>
      <c r="G80" s="257"/>
      <c r="H80" s="257"/>
    </row>
    <row r="81" spans="2:11" ht="28" customHeight="1">
      <c r="B81" s="295" t="s">
        <v>395</v>
      </c>
      <c r="E81" s="257"/>
      <c r="F81" s="257"/>
      <c r="G81" s="257"/>
      <c r="H81" s="257"/>
    </row>
    <row r="82" spans="2:11" ht="28" hidden="1" customHeight="1" outlineLevel="1" thickBot="1">
      <c r="E82" s="257"/>
      <c r="F82" s="257"/>
      <c r="G82" s="257"/>
      <c r="H82" s="257"/>
    </row>
    <row r="83" spans="2:11" ht="40" hidden="1" customHeight="1" outlineLevel="1">
      <c r="B83" s="328" t="s">
        <v>7</v>
      </c>
      <c r="C83" s="2066" t="s">
        <v>396</v>
      </c>
      <c r="D83" s="2067"/>
      <c r="E83" s="2067"/>
      <c r="F83" s="2067"/>
      <c r="G83" s="2067"/>
      <c r="H83" s="2067"/>
      <c r="I83" s="2067"/>
      <c r="J83" s="2067"/>
      <c r="K83" s="2068"/>
    </row>
    <row r="84" spans="2:11" ht="50" hidden="1" customHeight="1" outlineLevel="1">
      <c r="B84" s="329" t="s">
        <v>8</v>
      </c>
      <c r="C84" s="2063" t="s">
        <v>612</v>
      </c>
      <c r="D84" s="2064"/>
      <c r="E84" s="2064"/>
      <c r="F84" s="2064"/>
      <c r="G84" s="2064"/>
      <c r="H84" s="2064"/>
      <c r="I84" s="2064"/>
      <c r="J84" s="2064"/>
      <c r="K84" s="2065"/>
    </row>
    <row r="85" spans="2:11" ht="104" hidden="1" customHeight="1" outlineLevel="1" thickBot="1">
      <c r="B85" s="330" t="s">
        <v>9</v>
      </c>
      <c r="C85" s="2060" t="s">
        <v>440</v>
      </c>
      <c r="D85" s="2061"/>
      <c r="E85" s="2061"/>
      <c r="F85" s="2061"/>
      <c r="G85" s="2061"/>
      <c r="H85" s="2061"/>
      <c r="I85" s="2061"/>
      <c r="J85" s="2061"/>
      <c r="K85" s="2062"/>
    </row>
    <row r="86" spans="2:11" ht="28" hidden="1" customHeight="1" outlineLevel="1">
      <c r="E86" s="257"/>
      <c r="F86" s="257"/>
      <c r="G86" s="257"/>
      <c r="H86" s="257"/>
    </row>
    <row r="87" spans="2:11" hidden="1" outlineLevel="1">
      <c r="B87" s="331" t="s">
        <v>397</v>
      </c>
      <c r="E87" s="257"/>
      <c r="F87" s="257"/>
      <c r="G87" s="257"/>
      <c r="H87" s="257"/>
    </row>
    <row r="88" spans="2:11" ht="28" hidden="1" customHeight="1" outlineLevel="1" thickBot="1">
      <c r="E88" s="257"/>
      <c r="F88" s="257"/>
      <c r="G88" s="257"/>
      <c r="H88" s="257"/>
    </row>
    <row r="89" spans="2:11" ht="17" hidden="1" outlineLevel="1" thickBot="1">
      <c r="B89" s="341"/>
      <c r="C89" s="346">
        <v>2022</v>
      </c>
      <c r="E89" s="257"/>
      <c r="F89" s="257"/>
      <c r="G89" s="257"/>
      <c r="H89" s="257"/>
    </row>
    <row r="90" spans="2:11" hidden="1" outlineLevel="1">
      <c r="B90" s="359" t="str">
        <f t="shared" ref="B90:C94" si="1">C25</f>
        <v xml:space="preserve">Électricité </v>
      </c>
      <c r="C90" s="360">
        <f t="shared" si="1"/>
        <v>0.37126771270068226</v>
      </c>
      <c r="E90" s="257"/>
      <c r="F90" s="257"/>
      <c r="G90" s="257"/>
      <c r="H90" s="257"/>
    </row>
    <row r="91" spans="2:11" hidden="1" outlineLevel="1">
      <c r="B91" s="361" t="str">
        <f t="shared" si="1"/>
        <v xml:space="preserve">Gaz </v>
      </c>
      <c r="C91" s="362">
        <f t="shared" si="1"/>
        <v>0.52001313441235342</v>
      </c>
      <c r="E91" s="257"/>
      <c r="F91" s="257"/>
      <c r="G91" s="257"/>
      <c r="H91" s="257"/>
    </row>
    <row r="92" spans="2:11" hidden="1" outlineLevel="1">
      <c r="B92" s="361" t="str">
        <f t="shared" si="1"/>
        <v>Fioul</v>
      </c>
      <c r="C92" s="362">
        <f t="shared" si="1"/>
        <v>8.8944468539325625E-2</v>
      </c>
      <c r="E92" s="257"/>
      <c r="F92" s="257"/>
      <c r="G92" s="257"/>
      <c r="H92" s="257"/>
    </row>
    <row r="93" spans="2:11" hidden="1" outlineLevel="1">
      <c r="B93" s="361" t="str">
        <f t="shared" si="1"/>
        <v>Energies renouvelables</v>
      </c>
      <c r="C93" s="408">
        <f t="shared" si="1"/>
        <v>1.923723923614114E-3</v>
      </c>
      <c r="E93" s="257"/>
      <c r="F93" s="257"/>
      <c r="G93" s="257"/>
      <c r="H93" s="257"/>
    </row>
    <row r="94" spans="2:11" ht="17" hidden="1" outlineLevel="1" thickBot="1">
      <c r="B94" s="363" t="str">
        <f t="shared" si="1"/>
        <v>Chauffage urbain</v>
      </c>
      <c r="C94" s="364">
        <f t="shared" si="1"/>
        <v>1.7850960424024561E-2</v>
      </c>
      <c r="E94" s="257"/>
      <c r="F94" s="257"/>
      <c r="G94" s="257"/>
      <c r="H94" s="257"/>
    </row>
    <row r="95" spans="2:11" ht="28" hidden="1" customHeight="1" outlineLevel="1">
      <c r="E95" s="257"/>
      <c r="F95" s="257"/>
      <c r="G95" s="257"/>
      <c r="H95" s="257"/>
    </row>
    <row r="96" spans="2:11" hidden="1" outlineLevel="1">
      <c r="B96" s="331" t="s">
        <v>398</v>
      </c>
      <c r="E96" s="257"/>
      <c r="F96" s="257"/>
      <c r="G96" s="257"/>
      <c r="H96" s="257"/>
    </row>
    <row r="97" spans="2:8" ht="28" hidden="1" customHeight="1" outlineLevel="1" thickBot="1">
      <c r="E97" s="257"/>
      <c r="F97" s="257"/>
      <c r="G97" s="257"/>
      <c r="H97" s="257"/>
    </row>
    <row r="98" spans="2:8" ht="17" hidden="1" outlineLevel="1" thickBot="1">
      <c r="C98" s="346">
        <v>2022</v>
      </c>
      <c r="E98" s="257"/>
      <c r="F98" s="257"/>
      <c r="G98" s="257"/>
      <c r="H98" s="257"/>
    </row>
    <row r="99" spans="2:8" ht="17" hidden="1" outlineLevel="1" thickBot="1">
      <c r="B99" s="347" t="s">
        <v>445</v>
      </c>
      <c r="C99" s="348">
        <f>D30</f>
        <v>583760.55000000005</v>
      </c>
      <c r="E99" s="257"/>
      <c r="F99" s="257"/>
      <c r="G99" s="257"/>
      <c r="H99" s="257"/>
    </row>
    <row r="100" spans="2:8" ht="28" hidden="1" customHeight="1" outlineLevel="1">
      <c r="E100" s="257"/>
      <c r="F100" s="257"/>
      <c r="G100" s="257"/>
      <c r="H100" s="257"/>
    </row>
    <row r="101" spans="2:8" ht="28" hidden="1" customHeight="1" outlineLevel="1" thickBot="1">
      <c r="B101" s="349" t="s">
        <v>443</v>
      </c>
      <c r="E101" s="257"/>
      <c r="F101" s="257"/>
      <c r="G101" s="257"/>
      <c r="H101" s="257"/>
    </row>
    <row r="102" spans="2:8" ht="17" hidden="1" outlineLevel="1" thickBot="1">
      <c r="B102" s="350"/>
      <c r="C102" s="407">
        <v>2022</v>
      </c>
      <c r="E102" s="257"/>
      <c r="F102" s="257"/>
      <c r="G102" s="257"/>
      <c r="H102" s="257"/>
    </row>
    <row r="103" spans="2:8" hidden="1" outlineLevel="1">
      <c r="B103" s="764" t="str">
        <f>B90</f>
        <v xml:space="preserve">Électricité </v>
      </c>
      <c r="C103" s="409">
        <f>C90*$C$99</f>
        <v>216731.44416339227</v>
      </c>
      <c r="E103" s="257"/>
      <c r="F103" s="257"/>
      <c r="G103" s="257"/>
      <c r="H103" s="257"/>
    </row>
    <row r="104" spans="2:8" hidden="1" outlineLevel="1">
      <c r="B104" s="765" t="str">
        <f>B91</f>
        <v xml:space="preserve">Gaz </v>
      </c>
      <c r="C104" s="410">
        <f>C91*$C$99</f>
        <v>303563.15335177939</v>
      </c>
      <c r="E104" s="257"/>
      <c r="F104" s="257"/>
      <c r="G104" s="257"/>
      <c r="H104" s="257"/>
    </row>
    <row r="105" spans="2:8" hidden="1" outlineLevel="1">
      <c r="B105" s="765" t="str">
        <f>B92</f>
        <v>Fioul</v>
      </c>
      <c r="C105" s="410">
        <f>C92*$C$99</f>
        <v>51922.27187397443</v>
      </c>
      <c r="E105" s="257"/>
      <c r="F105" s="257"/>
      <c r="G105" s="257"/>
      <c r="H105" s="257"/>
    </row>
    <row r="106" spans="2:8" hidden="1" outlineLevel="1">
      <c r="B106" s="765" t="str">
        <f>B93</f>
        <v>Energies renouvelables</v>
      </c>
      <c r="C106" s="410">
        <f>C93*$C$99</f>
        <v>1122.9941356971333</v>
      </c>
      <c r="E106" s="257"/>
      <c r="F106" s="257"/>
      <c r="G106" s="257"/>
      <c r="H106" s="257"/>
    </row>
    <row r="107" spans="2:8" ht="17" hidden="1" outlineLevel="1" thickBot="1">
      <c r="B107" s="766" t="str">
        <f>B94</f>
        <v>Chauffage urbain</v>
      </c>
      <c r="C107" s="411">
        <f>C94*$C$99</f>
        <v>10420.686475156812</v>
      </c>
      <c r="E107" s="257"/>
      <c r="F107" s="257"/>
      <c r="G107" s="257"/>
      <c r="H107" s="257"/>
    </row>
    <row r="108" spans="2:8" ht="28" hidden="1" customHeight="1" outlineLevel="1">
      <c r="E108" s="257"/>
      <c r="F108" s="257"/>
      <c r="G108" s="257"/>
      <c r="H108" s="257"/>
    </row>
    <row r="109" spans="2:8" ht="28" hidden="1" customHeight="1" outlineLevel="1">
      <c r="B109" s="353" t="s">
        <v>399</v>
      </c>
      <c r="E109" s="257"/>
      <c r="F109" s="257"/>
      <c r="G109" s="257"/>
      <c r="H109" s="257"/>
    </row>
    <row r="110" spans="2:8" ht="25" hidden="1" customHeight="1" outlineLevel="1">
      <c r="B110" s="257" t="s">
        <v>400</v>
      </c>
      <c r="E110" s="257"/>
      <c r="F110" s="257"/>
      <c r="G110" s="257"/>
      <c r="H110" s="257"/>
    </row>
    <row r="111" spans="2:8" ht="25" hidden="1" customHeight="1" outlineLevel="1">
      <c r="B111" s="257" t="s">
        <v>441</v>
      </c>
      <c r="E111" s="257"/>
      <c r="F111" s="257"/>
      <c r="G111" s="257"/>
      <c r="H111" s="257"/>
    </row>
    <row r="112" spans="2:8" ht="25" hidden="1" customHeight="1" outlineLevel="1" thickBot="1">
      <c r="B112" s="257" t="s">
        <v>401</v>
      </c>
      <c r="E112" s="257"/>
      <c r="F112" s="257"/>
      <c r="G112" s="257"/>
      <c r="H112" s="257"/>
    </row>
    <row r="113" spans="1:10" ht="28" hidden="1" customHeight="1" outlineLevel="1" thickBot="1">
      <c r="B113" s="412" t="s">
        <v>402</v>
      </c>
      <c r="C113" s="2091" t="s">
        <v>403</v>
      </c>
      <c r="D113" s="2091"/>
      <c r="E113" s="2091"/>
      <c r="F113" s="2091" t="s">
        <v>404</v>
      </c>
      <c r="G113" s="2092"/>
      <c r="J113" s="257"/>
    </row>
    <row r="114" spans="1:10" ht="79" hidden="1" customHeight="1" outlineLevel="1">
      <c r="B114" s="354" t="s">
        <v>373</v>
      </c>
      <c r="C114" s="2074" t="s">
        <v>405</v>
      </c>
      <c r="D114" s="2074"/>
      <c r="E114" s="2074"/>
      <c r="F114" s="2089" t="s">
        <v>406</v>
      </c>
      <c r="G114" s="2090"/>
      <c r="J114" s="257"/>
    </row>
    <row r="115" spans="1:10" ht="68" hidden="1" customHeight="1" outlineLevel="1">
      <c r="B115" s="355" t="s">
        <v>376</v>
      </c>
      <c r="C115" s="2073" t="s">
        <v>408</v>
      </c>
      <c r="D115" s="2073"/>
      <c r="E115" s="2073"/>
      <c r="F115" s="2073" t="s">
        <v>409</v>
      </c>
      <c r="G115" s="2038"/>
      <c r="J115" s="257"/>
    </row>
    <row r="116" spans="1:10" ht="53" hidden="1" customHeight="1" outlineLevel="1">
      <c r="B116" s="355" t="s">
        <v>242</v>
      </c>
      <c r="C116" s="2073" t="s">
        <v>442</v>
      </c>
      <c r="D116" s="2073"/>
      <c r="E116" s="2073"/>
      <c r="F116" s="2077" t="s">
        <v>407</v>
      </c>
      <c r="G116" s="2078"/>
      <c r="J116" s="257"/>
    </row>
    <row r="117" spans="1:10" ht="33" hidden="1" customHeight="1" outlineLevel="1">
      <c r="A117"/>
      <c r="B117" s="771" t="s">
        <v>243</v>
      </c>
      <c r="C117" s="2079" t="s">
        <v>1274</v>
      </c>
      <c r="D117" s="2081"/>
      <c r="E117" s="2082"/>
      <c r="F117" s="2079" t="s">
        <v>1275</v>
      </c>
      <c r="G117" s="2080"/>
      <c r="J117" s="257"/>
    </row>
    <row r="118" spans="1:10" ht="35" hidden="1" customHeight="1" outlineLevel="1" thickBot="1">
      <c r="B118" s="356" t="s">
        <v>258</v>
      </c>
      <c r="C118" s="2069" t="s">
        <v>410</v>
      </c>
      <c r="D118" s="2069"/>
      <c r="E118" s="2069"/>
      <c r="F118" s="2075"/>
      <c r="G118" s="2076"/>
      <c r="J118" s="257"/>
    </row>
    <row r="119" spans="1:10" ht="28" hidden="1" customHeight="1" outlineLevel="1">
      <c r="E119" s="257"/>
      <c r="F119" s="257"/>
      <c r="G119" s="257"/>
      <c r="H119" s="257"/>
    </row>
    <row r="120" spans="1:10" ht="28" hidden="1" customHeight="1" outlineLevel="1">
      <c r="B120" s="331" t="s">
        <v>411</v>
      </c>
      <c r="E120" s="257"/>
      <c r="F120" s="257"/>
      <c r="G120" s="257"/>
      <c r="H120" s="257"/>
    </row>
    <row r="121" spans="1:10" ht="28" hidden="1" customHeight="1" outlineLevel="1">
      <c r="E121" s="257"/>
      <c r="F121" s="257"/>
      <c r="G121" s="257"/>
      <c r="H121" s="257"/>
    </row>
    <row r="122" spans="1:10" ht="28" hidden="1" customHeight="1" outlineLevel="1">
      <c r="B122" s="257" t="s">
        <v>412</v>
      </c>
      <c r="E122" s="257"/>
      <c r="F122" s="257"/>
      <c r="G122" s="257"/>
      <c r="H122" s="257"/>
    </row>
    <row r="123" spans="1:10" ht="28" hidden="1" customHeight="1" outlineLevel="1">
      <c r="E123" s="257"/>
      <c r="F123" s="257"/>
      <c r="G123" s="257"/>
      <c r="H123" s="257"/>
    </row>
    <row r="124" spans="1:10" ht="28" hidden="1" customHeight="1" outlineLevel="1" thickBot="1">
      <c r="B124" s="349" t="s">
        <v>443</v>
      </c>
      <c r="E124" s="257"/>
      <c r="F124" s="257"/>
      <c r="G124" s="257"/>
      <c r="H124" s="257"/>
    </row>
    <row r="125" spans="1:10" ht="17" hidden="1" outlineLevel="1" thickBot="1">
      <c r="B125" s="350"/>
      <c r="C125" s="347">
        <v>2050</v>
      </c>
      <c r="E125" s="257"/>
      <c r="F125" s="257"/>
      <c r="G125" s="257"/>
      <c r="H125" s="257"/>
    </row>
    <row r="126" spans="1:10" hidden="1" outlineLevel="1">
      <c r="B126" s="343" t="s">
        <v>373</v>
      </c>
      <c r="C126" s="357">
        <f>C103+C105*0.7/4+0.5*C104*0.95/4+0.25*C104*0.95</f>
        <v>333962.21512290917</v>
      </c>
      <c r="E126" s="257"/>
      <c r="F126" s="257"/>
      <c r="G126" s="257"/>
      <c r="H126" s="257"/>
    </row>
    <row r="127" spans="1:10" hidden="1" outlineLevel="1">
      <c r="B127" s="344" t="s">
        <v>376</v>
      </c>
      <c r="C127" s="351">
        <v>0</v>
      </c>
      <c r="E127" s="257"/>
      <c r="F127" s="257"/>
      <c r="G127" s="257"/>
      <c r="H127" s="257"/>
    </row>
    <row r="128" spans="1:10" hidden="1" outlineLevel="1">
      <c r="B128" s="344" t="s">
        <v>242</v>
      </c>
      <c r="C128" s="351">
        <v>0</v>
      </c>
      <c r="D128"/>
      <c r="E128" s="257"/>
      <c r="F128" s="257"/>
      <c r="G128" s="257"/>
      <c r="H128" s="257"/>
    </row>
    <row r="129" spans="1:8" hidden="1" outlineLevel="1">
      <c r="A129"/>
      <c r="B129" s="769" t="s">
        <v>439</v>
      </c>
      <c r="C129" s="770">
        <f>C106*3*95%</f>
        <v>3200.5332867368297</v>
      </c>
      <c r="D129"/>
      <c r="E129" s="257"/>
      <c r="F129" s="257"/>
      <c r="G129" s="257"/>
      <c r="H129" s="257"/>
    </row>
    <row r="130" spans="1:8" ht="17" hidden="1" outlineLevel="1" thickBot="1">
      <c r="B130" s="345" t="s">
        <v>258</v>
      </c>
      <c r="C130" s="352">
        <f>0.25*C104</f>
        <v>75890.788337944847</v>
      </c>
      <c r="D130"/>
      <c r="E130" s="257"/>
      <c r="F130" s="257"/>
      <c r="G130" s="257"/>
      <c r="H130" s="257"/>
    </row>
    <row r="131" spans="1:8" hidden="1" outlineLevel="1">
      <c r="D131"/>
      <c r="E131" s="257"/>
      <c r="F131" s="257"/>
      <c r="G131" s="257"/>
      <c r="H131" s="257"/>
    </row>
    <row r="132" spans="1:8" ht="17" hidden="1" outlineLevel="1" thickBot="1">
      <c r="B132" s="349" t="s">
        <v>444</v>
      </c>
      <c r="E132" s="257"/>
      <c r="F132" s="257"/>
      <c r="G132" s="257"/>
      <c r="H132" s="257"/>
    </row>
    <row r="133" spans="1:8" ht="17" hidden="1" outlineLevel="1" thickBot="1">
      <c r="C133" s="347">
        <v>2050</v>
      </c>
      <c r="E133" s="257"/>
      <c r="F133" s="257"/>
      <c r="G133" s="257"/>
      <c r="H133" s="257"/>
    </row>
    <row r="134" spans="1:8" ht="17" hidden="1" outlineLevel="1" thickBot="1">
      <c r="B134" s="347" t="s">
        <v>444</v>
      </c>
      <c r="C134" s="358">
        <f>SUM(C126:C130)</f>
        <v>413053.53674759081</v>
      </c>
      <c r="E134" s="257"/>
      <c r="F134" s="257"/>
      <c r="G134" s="257"/>
      <c r="H134" s="257"/>
    </row>
    <row r="135" spans="1:8" ht="28" hidden="1" customHeight="1" outlineLevel="1">
      <c r="E135" s="257"/>
      <c r="F135" s="257"/>
      <c r="G135" s="257"/>
      <c r="H135" s="257"/>
    </row>
    <row r="136" spans="1:8" ht="28" hidden="1" customHeight="1" outlineLevel="1">
      <c r="B136" s="353" t="s">
        <v>413</v>
      </c>
      <c r="E136" s="257"/>
      <c r="F136" s="257"/>
      <c r="G136" s="257"/>
      <c r="H136" s="257"/>
    </row>
    <row r="137" spans="1:8" ht="28" hidden="1" customHeight="1" outlineLevel="1" thickBot="1">
      <c r="E137" s="257"/>
      <c r="F137" s="257"/>
      <c r="G137" s="257"/>
      <c r="H137" s="257"/>
    </row>
    <row r="138" spans="1:8" ht="17" hidden="1" outlineLevel="1" thickBot="1">
      <c r="B138" s="341"/>
      <c r="C138" s="346">
        <v>2022</v>
      </c>
      <c r="E138" s="257"/>
      <c r="F138" s="257"/>
      <c r="G138" s="257"/>
      <c r="H138" s="257"/>
    </row>
    <row r="139" spans="1:8" hidden="1" outlineLevel="1">
      <c r="B139" s="359" t="str">
        <f>B126</f>
        <v xml:space="preserve">Électricité </v>
      </c>
      <c r="C139" s="360">
        <f>C126/$C$134</f>
        <v>0.80852041058054702</v>
      </c>
      <c r="E139" s="257"/>
      <c r="F139" s="257"/>
      <c r="G139" s="257"/>
      <c r="H139" s="257"/>
    </row>
    <row r="140" spans="1:8" hidden="1" outlineLevel="1">
      <c r="B140" s="361" t="str">
        <f>B127</f>
        <v xml:space="preserve">Gaz </v>
      </c>
      <c r="C140" s="362">
        <f>C127/$C$134</f>
        <v>0</v>
      </c>
      <c r="E140" s="257"/>
      <c r="F140" s="257"/>
      <c r="G140" s="257"/>
      <c r="H140" s="257"/>
    </row>
    <row r="141" spans="1:8" hidden="1" outlineLevel="1">
      <c r="B141" s="361" t="str">
        <f t="shared" ref="B141:B143" si="2">B128</f>
        <v>Fioul</v>
      </c>
      <c r="C141" s="362">
        <f>C128/$C$134</f>
        <v>0</v>
      </c>
      <c r="E141" s="257"/>
      <c r="F141" s="257"/>
      <c r="G141" s="257"/>
      <c r="H141" s="257"/>
    </row>
    <row r="142" spans="1:8" hidden="1" outlineLevel="1">
      <c r="B142" s="361" t="str">
        <f t="shared" si="2"/>
        <v>Energies renouvelables</v>
      </c>
      <c r="C142" s="362">
        <f>C129/$C$134</f>
        <v>7.7484708445738713E-3</v>
      </c>
      <c r="E142" s="257"/>
      <c r="F142" s="257"/>
      <c r="G142" s="257"/>
      <c r="H142" s="257"/>
    </row>
    <row r="143" spans="1:8" ht="19" hidden="1" customHeight="1" outlineLevel="1" thickBot="1">
      <c r="B143" s="363" t="str">
        <f t="shared" si="2"/>
        <v>Chauffage urbain</v>
      </c>
      <c r="C143" s="364">
        <f>C130/$C$134</f>
        <v>0.18373111857487923</v>
      </c>
      <c r="E143" s="257"/>
      <c r="F143" s="257"/>
      <c r="G143" s="257"/>
      <c r="H143" s="257"/>
    </row>
    <row r="144" spans="1:8" ht="28" customHeight="1" collapsed="1">
      <c r="E144" s="257"/>
      <c r="F144" s="257"/>
      <c r="G144" s="257"/>
      <c r="H144" s="257"/>
    </row>
    <row r="145" spans="1:11" ht="28" customHeight="1">
      <c r="B145" s="295" t="s">
        <v>414</v>
      </c>
      <c r="E145" s="257"/>
      <c r="F145" s="257"/>
      <c r="G145" s="257"/>
      <c r="H145" s="257"/>
    </row>
    <row r="146" spans="1:11" ht="28" hidden="1" customHeight="1" outlineLevel="1" thickBot="1">
      <c r="E146" s="257"/>
      <c r="F146" s="257"/>
      <c r="G146" s="257"/>
      <c r="H146" s="257"/>
    </row>
    <row r="147" spans="1:11" ht="40" hidden="1" customHeight="1" outlineLevel="1">
      <c r="B147" s="328" t="s">
        <v>7</v>
      </c>
      <c r="C147" s="2066" t="s">
        <v>415</v>
      </c>
      <c r="D147" s="2067"/>
      <c r="E147" s="2067"/>
      <c r="F147" s="2067"/>
      <c r="G147" s="2067"/>
      <c r="H147" s="2067"/>
      <c r="I147" s="2067"/>
      <c r="J147" s="2067"/>
      <c r="K147" s="2068"/>
    </row>
    <row r="148" spans="1:11" ht="37" hidden="1" customHeight="1" outlineLevel="1">
      <c r="B148" s="329" t="s">
        <v>8</v>
      </c>
      <c r="C148" s="2063" t="s">
        <v>416</v>
      </c>
      <c r="D148" s="2064"/>
      <c r="E148" s="2064"/>
      <c r="F148" s="2064"/>
      <c r="G148" s="2064"/>
      <c r="H148" s="2064"/>
      <c r="I148" s="2064"/>
      <c r="J148" s="2064"/>
      <c r="K148" s="2065"/>
    </row>
    <row r="149" spans="1:11" ht="136" hidden="1" customHeight="1" outlineLevel="1" thickBot="1">
      <c r="A149"/>
      <c r="B149" s="330" t="s">
        <v>9</v>
      </c>
      <c r="C149" s="2060" t="s">
        <v>417</v>
      </c>
      <c r="D149" s="2061"/>
      <c r="E149" s="2061"/>
      <c r="F149" s="2061"/>
      <c r="G149" s="2061"/>
      <c r="H149" s="2061"/>
      <c r="I149" s="2061"/>
      <c r="J149" s="2061"/>
      <c r="K149" s="2062"/>
    </row>
    <row r="150" spans="1:11" ht="28" hidden="1" customHeight="1" outlineLevel="1">
      <c r="E150" s="257"/>
      <c r="F150" s="257"/>
      <c r="G150" s="257"/>
      <c r="H150" s="257"/>
    </row>
    <row r="151" spans="1:11" ht="28" hidden="1" customHeight="1" outlineLevel="1">
      <c r="B151" s="331" t="s">
        <v>418</v>
      </c>
      <c r="E151" s="257"/>
      <c r="F151" s="257"/>
      <c r="G151" s="257"/>
      <c r="H151" s="257"/>
    </row>
    <row r="152" spans="1:11" ht="28" hidden="1" customHeight="1" outlineLevel="1" thickBot="1">
      <c r="E152" s="257"/>
      <c r="F152" s="257"/>
      <c r="G152" s="257"/>
      <c r="H152" s="257"/>
    </row>
    <row r="153" spans="1:11" ht="17" hidden="1" outlineLevel="1" thickBot="1">
      <c r="C153" s="347">
        <v>2022</v>
      </c>
      <c r="E153" s="257"/>
      <c r="F153" s="257"/>
      <c r="G153" s="257"/>
      <c r="H153" s="257"/>
    </row>
    <row r="154" spans="1:11" ht="17" hidden="1" outlineLevel="1" thickBot="1">
      <c r="B154" s="347" t="s">
        <v>445</v>
      </c>
      <c r="C154" s="358">
        <f>D30</f>
        <v>583760.55000000005</v>
      </c>
      <c r="E154" s="257"/>
      <c r="F154" s="257"/>
      <c r="G154" s="257"/>
      <c r="H154" s="257"/>
    </row>
    <row r="155" spans="1:11" ht="28" hidden="1" customHeight="1" outlineLevel="1">
      <c r="E155" s="257"/>
      <c r="F155" s="257"/>
      <c r="G155" s="257"/>
      <c r="H155" s="257"/>
    </row>
    <row r="156" spans="1:11" ht="28" hidden="1" customHeight="1" outlineLevel="1">
      <c r="B156" s="331" t="s">
        <v>419</v>
      </c>
      <c r="E156" s="257"/>
      <c r="F156" s="257"/>
      <c r="G156" s="257"/>
      <c r="H156" s="257"/>
    </row>
    <row r="157" spans="1:11" ht="28" hidden="1" customHeight="1" outlineLevel="1">
      <c r="E157" s="257"/>
      <c r="F157" s="257"/>
      <c r="G157" s="257"/>
      <c r="H157" s="257"/>
    </row>
    <row r="158" spans="1:11" ht="28" hidden="1" customHeight="1" outlineLevel="1">
      <c r="B158" s="257" t="s">
        <v>420</v>
      </c>
      <c r="E158" s="257"/>
      <c r="F158" s="257"/>
      <c r="G158" s="257"/>
      <c r="H158" s="257"/>
    </row>
    <row r="159" spans="1:11" ht="28" hidden="1" customHeight="1" outlineLevel="1" thickBot="1">
      <c r="E159" s="257"/>
      <c r="F159" s="257"/>
      <c r="G159" s="257"/>
      <c r="H159" s="257"/>
    </row>
    <row r="160" spans="1:11" ht="17" hidden="1" outlineLevel="1" thickBot="1">
      <c r="C160" s="347" t="s">
        <v>421</v>
      </c>
      <c r="E160" s="257"/>
      <c r="F160" s="257"/>
      <c r="G160" s="257"/>
      <c r="H160" s="257"/>
    </row>
    <row r="161" spans="2:8" ht="17" hidden="1" outlineLevel="1" thickBot="1">
      <c r="B161" s="347" t="s">
        <v>422</v>
      </c>
      <c r="C161" s="365">
        <v>-0.6</v>
      </c>
      <c r="E161" s="257"/>
      <c r="F161" s="257"/>
      <c r="G161" s="257"/>
      <c r="H161" s="257"/>
    </row>
    <row r="162" spans="2:8" ht="28" hidden="1" customHeight="1" outlineLevel="1">
      <c r="E162" s="257"/>
      <c r="F162" s="257"/>
      <c r="G162" s="257"/>
      <c r="H162" s="257"/>
    </row>
    <row r="163" spans="2:8" ht="28" hidden="1" customHeight="1" outlineLevel="1" thickBot="1">
      <c r="B163" s="257" t="s">
        <v>423</v>
      </c>
      <c r="E163" s="257"/>
      <c r="F163" s="257"/>
      <c r="G163" s="257"/>
      <c r="H163" s="257"/>
    </row>
    <row r="164" spans="2:8" ht="17" hidden="1" outlineLevel="1" thickBot="1">
      <c r="C164" s="347">
        <v>2050</v>
      </c>
      <c r="E164" s="257"/>
      <c r="F164" s="257"/>
      <c r="G164" s="257"/>
      <c r="H164" s="257"/>
    </row>
    <row r="165" spans="2:8" ht="17" hidden="1" outlineLevel="1" thickBot="1">
      <c r="B165" s="347" t="s">
        <v>445</v>
      </c>
      <c r="C165" s="358">
        <f>C154*(1+C161)</f>
        <v>233504.22000000003</v>
      </c>
      <c r="E165" s="257"/>
      <c r="F165" s="257"/>
      <c r="G165" s="257"/>
      <c r="H165" s="257"/>
    </row>
    <row r="166" spans="2:8" ht="28" customHeight="1" collapsed="1">
      <c r="E166" s="257"/>
      <c r="F166" s="257"/>
      <c r="G166" s="257"/>
      <c r="H166" s="257"/>
    </row>
    <row r="167" spans="2:8" ht="28" customHeight="1">
      <c r="E167" s="257"/>
      <c r="F167" s="257"/>
      <c r="G167" s="257"/>
      <c r="H167" s="257"/>
    </row>
    <row r="168" spans="2:8" ht="26" customHeight="1"/>
    <row r="169" spans="2:8" ht="26" customHeight="1"/>
    <row r="170" spans="2:8" ht="26" customHeight="1"/>
    <row r="171" spans="2:8" ht="26" customHeight="1"/>
    <row r="172" spans="2:8" ht="26" customHeight="1"/>
    <row r="173" spans="2:8" ht="26" customHeight="1"/>
    <row r="174" spans="2:8" ht="26" customHeight="1"/>
    <row r="175" spans="2:8" ht="26" customHeight="1"/>
    <row r="176" spans="2:8" ht="26" customHeight="1"/>
    <row r="177" ht="26" customHeight="1"/>
    <row r="178" ht="26" customHeight="1"/>
    <row r="179" ht="26" customHeight="1"/>
    <row r="180" ht="26" customHeight="1"/>
    <row r="181" ht="26" customHeight="1"/>
    <row r="182" ht="26" customHeight="1"/>
    <row r="183" ht="26" customHeight="1"/>
    <row r="184" ht="26" customHeight="1"/>
    <row r="185" ht="26" customHeight="1"/>
    <row r="186" ht="26" customHeight="1"/>
    <row r="187" ht="26" customHeight="1"/>
    <row r="188" ht="26" customHeight="1"/>
    <row r="189" ht="26" customHeight="1"/>
    <row r="190" ht="26" customHeight="1"/>
    <row r="191" ht="26" customHeight="1"/>
    <row r="192" ht="26" customHeight="1"/>
    <row r="193" ht="26" customHeight="1"/>
    <row r="194" ht="26" customHeight="1"/>
    <row r="195" ht="26" customHeight="1"/>
    <row r="196" ht="26" customHeight="1"/>
    <row r="197" ht="26" customHeight="1"/>
    <row r="198" ht="26" customHeight="1"/>
    <row r="199" ht="26" customHeight="1"/>
    <row r="200" ht="26" customHeight="1"/>
    <row r="201" ht="26" customHeight="1"/>
    <row r="202" ht="26" customHeight="1"/>
    <row r="203" ht="26" customHeight="1"/>
    <row r="204" ht="26" customHeight="1"/>
    <row r="205" ht="26" customHeight="1"/>
    <row r="206" ht="26" customHeight="1"/>
    <row r="207" ht="26" customHeight="1"/>
    <row r="208" ht="26" customHeight="1"/>
    <row r="209" ht="26" customHeight="1"/>
    <row r="210" ht="26" customHeight="1"/>
    <row r="211" ht="26" customHeight="1"/>
    <row r="212" ht="26" customHeight="1"/>
    <row r="213" ht="26" customHeight="1"/>
    <row r="214" ht="26" customHeight="1"/>
    <row r="215" ht="26" customHeight="1"/>
    <row r="216" ht="26" customHeight="1"/>
    <row r="217" ht="26" customHeight="1"/>
    <row r="218" ht="26" customHeight="1"/>
    <row r="219" ht="26" customHeight="1"/>
    <row r="220" ht="26" customHeight="1"/>
    <row r="221" ht="26" customHeight="1"/>
    <row r="222" ht="26" customHeight="1"/>
    <row r="223" ht="26" customHeight="1"/>
    <row r="224" ht="26" customHeight="1"/>
    <row r="225" ht="26" customHeight="1"/>
    <row r="226" ht="26" customHeight="1"/>
    <row r="227" ht="26" customHeight="1"/>
    <row r="228" ht="26" customHeight="1"/>
    <row r="229" ht="26" customHeight="1"/>
    <row r="230" ht="26" customHeight="1"/>
    <row r="231" ht="26" customHeight="1"/>
    <row r="232" ht="26" customHeight="1"/>
    <row r="233" ht="26" customHeight="1"/>
    <row r="234" ht="26" customHeight="1"/>
    <row r="235" ht="26" customHeight="1"/>
    <row r="236" ht="26" customHeight="1"/>
    <row r="237" ht="26" customHeight="1"/>
    <row r="238" ht="26" customHeight="1"/>
    <row r="239" ht="26" customHeight="1"/>
    <row r="240" ht="26" customHeight="1"/>
    <row r="241" ht="26" customHeight="1"/>
    <row r="242" ht="26" customHeight="1"/>
    <row r="243" ht="26" customHeight="1"/>
    <row r="244" ht="26" customHeight="1"/>
    <row r="245" ht="26" customHeight="1"/>
    <row r="246" ht="26" customHeight="1"/>
    <row r="247" ht="26" customHeight="1"/>
    <row r="248" ht="26" customHeight="1"/>
    <row r="249" ht="26" customHeight="1"/>
    <row r="250" ht="26" customHeight="1"/>
    <row r="251" ht="26" customHeight="1"/>
    <row r="252" ht="26" customHeight="1"/>
    <row r="253" ht="26" customHeight="1"/>
    <row r="254" ht="26" customHeight="1"/>
    <row r="255" ht="26" customHeight="1"/>
    <row r="256" ht="26" customHeight="1"/>
    <row r="257" ht="26" customHeight="1"/>
    <row r="258" ht="26" customHeight="1"/>
    <row r="259" ht="26" customHeight="1"/>
    <row r="260" ht="26" customHeight="1"/>
    <row r="261" ht="26" customHeight="1"/>
    <row r="262" ht="26" customHeight="1"/>
    <row r="263" ht="26" customHeight="1"/>
    <row r="264" ht="26" customHeight="1"/>
    <row r="265" ht="26" customHeight="1"/>
    <row r="266" ht="26" customHeight="1"/>
    <row r="267" ht="26" customHeight="1"/>
    <row r="268" ht="26" customHeight="1"/>
    <row r="269" ht="26" customHeight="1"/>
    <row r="270" ht="26" customHeight="1"/>
    <row r="271" ht="26" customHeight="1"/>
    <row r="272" ht="26" customHeight="1"/>
    <row r="273" ht="26" customHeight="1"/>
    <row r="274" ht="26" customHeight="1"/>
    <row r="275" ht="26" customHeight="1"/>
    <row r="276" ht="26" customHeight="1"/>
    <row r="277" ht="26" customHeight="1"/>
    <row r="278" ht="26" customHeight="1"/>
    <row r="279" ht="26" customHeight="1"/>
    <row r="280" ht="26" customHeight="1"/>
    <row r="281" ht="26" customHeight="1"/>
    <row r="282" ht="26" customHeight="1"/>
  </sheetData>
  <mergeCells count="26">
    <mergeCell ref="B2:D2"/>
    <mergeCell ref="B5:D5"/>
    <mergeCell ref="F114:G114"/>
    <mergeCell ref="C38:K38"/>
    <mergeCell ref="C39:K39"/>
    <mergeCell ref="C40:K40"/>
    <mergeCell ref="C85:K85"/>
    <mergeCell ref="C84:K84"/>
    <mergeCell ref="F113:G113"/>
    <mergeCell ref="C113:E113"/>
    <mergeCell ref="B20:B24"/>
    <mergeCell ref="B25:B29"/>
    <mergeCell ref="C149:K149"/>
    <mergeCell ref="C148:K148"/>
    <mergeCell ref="C147:K147"/>
    <mergeCell ref="C118:E118"/>
    <mergeCell ref="G19:J19"/>
    <mergeCell ref="C83:K83"/>
    <mergeCell ref="C115:E115"/>
    <mergeCell ref="C116:E116"/>
    <mergeCell ref="C114:E114"/>
    <mergeCell ref="F118:G118"/>
    <mergeCell ref="F115:G115"/>
    <mergeCell ref="F116:G116"/>
    <mergeCell ref="F117:G117"/>
    <mergeCell ref="C117:E11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AX752"/>
  <sheetViews>
    <sheetView zoomScale="50" zoomScaleNormal="125" workbookViewId="0">
      <selection activeCell="C174" sqref="C174"/>
    </sheetView>
  </sheetViews>
  <sheetFormatPr baseColWidth="10" defaultColWidth="8.83203125" defaultRowHeight="14" outlineLevelRow="3"/>
  <cols>
    <col min="1" max="1" width="12" style="10" customWidth="1"/>
    <col min="2" max="2" width="43.1640625" style="10" customWidth="1"/>
    <col min="3" max="3" width="37.1640625" style="10" customWidth="1"/>
    <col min="4" max="4" width="40.1640625" style="10" customWidth="1"/>
    <col min="5" max="5" width="36.6640625" style="10" customWidth="1"/>
    <col min="6" max="6" width="42.5" style="10" customWidth="1"/>
    <col min="7" max="7" width="37.1640625" style="10" customWidth="1"/>
    <col min="8" max="8" width="30.83203125" style="10" customWidth="1"/>
    <col min="9" max="9" width="45.1640625" style="10" customWidth="1"/>
    <col min="10" max="11" width="37.1640625" style="10" customWidth="1"/>
    <col min="12" max="16" width="16.83203125" style="10" customWidth="1"/>
    <col min="17" max="33" width="9" style="10" bestFit="1" customWidth="1"/>
    <col min="34" max="47" width="9.1640625" style="10" bestFit="1" customWidth="1"/>
    <col min="48" max="48" width="11.33203125" style="10" bestFit="1" customWidth="1"/>
    <col min="49" max="50" width="26" style="71" customWidth="1"/>
    <col min="51" max="51" width="20.33203125" style="10" bestFit="1" customWidth="1"/>
    <col min="52" max="54" width="9" style="10" bestFit="1" customWidth="1"/>
    <col min="55" max="55" width="11.83203125" style="10" bestFit="1" customWidth="1"/>
    <col min="56" max="56" width="22.33203125" style="10" bestFit="1" customWidth="1"/>
    <col min="57" max="16384" width="8.83203125" style="10"/>
  </cols>
  <sheetData>
    <row r="1" spans="1:11" ht="15" thickBot="1"/>
    <row r="2" spans="1:11" ht="21" thickBot="1">
      <c r="B2" s="1963" t="s">
        <v>1533</v>
      </c>
      <c r="C2" s="1964"/>
      <c r="D2" s="71"/>
      <c r="E2" s="71"/>
      <c r="F2" s="71"/>
      <c r="G2" s="71"/>
      <c r="H2" s="71"/>
      <c r="I2" s="71"/>
      <c r="J2" s="71"/>
      <c r="K2" s="71"/>
    </row>
    <row r="3" spans="1:11" ht="21" customHeight="1" thickBot="1">
      <c r="B3" s="366"/>
      <c r="C3" s="366"/>
      <c r="D3" s="367"/>
      <c r="E3" s="9"/>
      <c r="F3" s="9"/>
      <c r="G3" s="9"/>
      <c r="H3" s="9"/>
      <c r="I3" s="9"/>
      <c r="J3" s="9"/>
      <c r="K3" s="9"/>
    </row>
    <row r="4" spans="1:11" ht="15" thickBot="1">
      <c r="B4" s="2127" t="s">
        <v>2</v>
      </c>
      <c r="C4" s="2128"/>
      <c r="D4" s="2129"/>
      <c r="E4" s="9"/>
      <c r="F4" s="9"/>
      <c r="G4" s="9"/>
      <c r="H4" s="9"/>
      <c r="I4" s="9"/>
      <c r="J4" s="9"/>
      <c r="K4" s="9"/>
    </row>
    <row r="5" spans="1:11" ht="41" customHeight="1">
      <c r="B5" s="138" t="s">
        <v>156</v>
      </c>
      <c r="C5" s="130">
        <f>D170</f>
        <v>301568.1399647597</v>
      </c>
      <c r="D5" s="129" t="s">
        <v>3</v>
      </c>
      <c r="E5" s="9"/>
      <c r="F5" s="9"/>
      <c r="G5" s="9"/>
      <c r="H5" s="9"/>
      <c r="I5" s="9"/>
      <c r="J5" s="9"/>
      <c r="K5" s="9"/>
    </row>
    <row r="6" spans="1:11" ht="25" customHeight="1">
      <c r="B6" s="143" t="s">
        <v>4</v>
      </c>
      <c r="C6" s="2130" t="s">
        <v>1570</v>
      </c>
      <c r="D6" s="2131"/>
      <c r="E6" s="9"/>
      <c r="F6" s="9"/>
      <c r="G6" s="9"/>
      <c r="H6" s="9"/>
      <c r="I6" s="9"/>
      <c r="J6" s="9"/>
      <c r="K6" s="9"/>
    </row>
    <row r="7" spans="1:11" ht="25" customHeight="1" thickBot="1">
      <c r="A7" s="9"/>
      <c r="B7" s="139" t="s">
        <v>5</v>
      </c>
      <c r="C7" s="2135"/>
      <c r="D7" s="2136"/>
      <c r="E7" s="9"/>
      <c r="F7" s="9"/>
      <c r="G7" s="9"/>
      <c r="H7" s="9"/>
      <c r="I7" s="9"/>
      <c r="J7" s="9"/>
      <c r="K7" s="9"/>
    </row>
    <row r="8" spans="1:11" ht="24" customHeight="1" thickBot="1">
      <c r="B8" s="368"/>
      <c r="C8" s="367"/>
      <c r="D8" s="367"/>
      <c r="E8" s="367"/>
      <c r="F8" s="367"/>
      <c r="G8" s="367"/>
      <c r="H8" s="367"/>
      <c r="I8" s="367"/>
      <c r="J8" s="367"/>
      <c r="K8" s="367"/>
    </row>
    <row r="9" spans="1:11" ht="29" customHeight="1" thickBot="1">
      <c r="B9" s="2057" t="s">
        <v>6</v>
      </c>
      <c r="C9" s="2058"/>
      <c r="D9" s="2058"/>
      <c r="E9" s="2058"/>
      <c r="F9" s="2058"/>
      <c r="G9" s="2058"/>
      <c r="H9" s="2058"/>
      <c r="I9" s="2058"/>
      <c r="J9" s="2058"/>
      <c r="K9" s="2059"/>
    </row>
    <row r="10" spans="1:11" ht="43" customHeight="1">
      <c r="A10"/>
      <c r="B10" s="12" t="s">
        <v>7</v>
      </c>
      <c r="C10" s="2370" t="s">
        <v>1829</v>
      </c>
      <c r="D10" s="2371"/>
      <c r="E10" s="2371"/>
      <c r="F10" s="2371"/>
      <c r="G10" s="2371"/>
      <c r="H10" s="2371"/>
      <c r="I10" s="2371"/>
      <c r="J10" s="2371"/>
      <c r="K10" s="2372"/>
    </row>
    <row r="11" spans="1:11" ht="60" customHeight="1">
      <c r="A11"/>
      <c r="B11" s="13" t="s">
        <v>8</v>
      </c>
      <c r="C11" s="1975" t="s">
        <v>1075</v>
      </c>
      <c r="D11" s="1976"/>
      <c r="E11" s="1976"/>
      <c r="F11" s="1976"/>
      <c r="G11" s="1976"/>
      <c r="H11" s="1976"/>
      <c r="I11" s="1976"/>
      <c r="J11" s="1976"/>
      <c r="K11" s="1977"/>
    </row>
    <row r="12" spans="1:11" ht="80" customHeight="1">
      <c r="A12"/>
      <c r="B12" s="13" t="s">
        <v>9</v>
      </c>
      <c r="C12" s="2137" t="s">
        <v>1825</v>
      </c>
      <c r="D12" s="1983"/>
      <c r="E12" s="1983"/>
      <c r="F12" s="1983"/>
      <c r="G12" s="1983"/>
      <c r="H12" s="1983"/>
      <c r="I12" s="1983"/>
      <c r="J12" s="1983"/>
      <c r="K12" s="1984"/>
    </row>
    <row r="13" spans="1:11" ht="54" customHeight="1">
      <c r="A13"/>
      <c r="B13" s="13" t="s">
        <v>11</v>
      </c>
      <c r="C13" s="1975" t="s">
        <v>1828</v>
      </c>
      <c r="D13" s="1976"/>
      <c r="E13" s="1976"/>
      <c r="F13" s="1976"/>
      <c r="G13" s="1976"/>
      <c r="H13" s="1976"/>
      <c r="I13" s="1976"/>
      <c r="J13" s="1976"/>
      <c r="K13" s="1977"/>
    </row>
    <row r="14" spans="1:11" ht="24" customHeight="1">
      <c r="A14"/>
      <c r="B14" s="13" t="s">
        <v>12</v>
      </c>
      <c r="C14" s="1978" t="s">
        <v>1826</v>
      </c>
      <c r="D14" s="1976"/>
      <c r="E14" s="1976"/>
      <c r="F14" s="1976"/>
      <c r="G14" s="1976"/>
      <c r="H14" s="1976"/>
      <c r="I14" s="1976"/>
      <c r="J14" s="1976"/>
      <c r="K14" s="1977"/>
    </row>
    <row r="15" spans="1:11" ht="24" customHeight="1" thickBot="1">
      <c r="A15"/>
      <c r="B15" s="14" t="s">
        <v>13</v>
      </c>
      <c r="C15" s="1985" t="s">
        <v>1827</v>
      </c>
      <c r="D15" s="1986"/>
      <c r="E15" s="1986"/>
      <c r="F15" s="1986"/>
      <c r="G15" s="1986"/>
      <c r="H15" s="1986"/>
      <c r="I15" s="1986"/>
      <c r="J15" s="1986"/>
      <c r="K15" s="1987"/>
    </row>
    <row r="16" spans="1:11" ht="23" customHeight="1"/>
    <row r="17" spans="2:23" ht="23" customHeight="1"/>
    <row r="18" spans="2:23" ht="23" customHeight="1">
      <c r="B18" s="927" t="s">
        <v>424</v>
      </c>
      <c r="G18" s="378"/>
    </row>
    <row r="19" spans="2:23" ht="23" hidden="1" customHeight="1" outlineLevel="1"/>
    <row r="20" spans="2:23" ht="23" hidden="1" customHeight="1" outlineLevel="1">
      <c r="B20" s="928" t="s">
        <v>459</v>
      </c>
      <c r="G20" s="427"/>
    </row>
    <row r="21" spans="2:23" ht="23" hidden="1" customHeight="1" outlineLevel="1">
      <c r="B21" s="427"/>
      <c r="G21" s="427"/>
    </row>
    <row r="22" spans="2:23" ht="23" hidden="1" customHeight="1" outlineLevel="1">
      <c r="B22" s="65" t="s">
        <v>265</v>
      </c>
      <c r="G22" s="427"/>
    </row>
    <row r="23" spans="2:23" ht="60" hidden="1" customHeight="1" outlineLevel="1">
      <c r="B23" s="1940" t="s">
        <v>1447</v>
      </c>
      <c r="C23" s="1940"/>
      <c r="D23" s="1940"/>
      <c r="E23" s="1940"/>
      <c r="F23" s="1940"/>
      <c r="G23" s="261"/>
    </row>
    <row r="24" spans="2:23" ht="23" hidden="1" customHeight="1" outlineLevel="1">
      <c r="B24" s="10" t="s">
        <v>1810</v>
      </c>
      <c r="G24" s="427"/>
    </row>
    <row r="25" spans="2:23" ht="23" hidden="1" customHeight="1" outlineLevel="1">
      <c r="B25" s="31" t="str">
        <f>B240</f>
        <v xml:space="preserve">H1 : Nous considérons qu'environ 85% des licenciés de football évoluent au niveau départemental, 14% au niveau régional et environ 1% au niveau national. </v>
      </c>
      <c r="G25" s="427"/>
    </row>
    <row r="26" spans="2:23" ht="23" hidden="1" customHeight="1" outlineLevel="1">
      <c r="G26" s="427"/>
    </row>
    <row r="27" spans="2:23" ht="21" hidden="1" customHeight="1" outlineLevel="1">
      <c r="B27" s="928" t="s">
        <v>456</v>
      </c>
      <c r="E27" s="31"/>
    </row>
    <row r="28" spans="2:23" ht="21" hidden="1" customHeight="1" outlineLevel="1">
      <c r="B28" s="35"/>
      <c r="E28" s="31"/>
    </row>
    <row r="29" spans="2:23" ht="21" hidden="1" customHeight="1" outlineLevel="1">
      <c r="B29" s="929" t="s">
        <v>1158</v>
      </c>
      <c r="D29" s="256"/>
      <c r="E29" s="31"/>
      <c r="F29" s="375"/>
      <c r="G29" s="375"/>
      <c r="I29" s="375"/>
      <c r="J29" s="375"/>
      <c r="V29" s="889"/>
      <c r="W29" s="889"/>
    </row>
    <row r="30" spans="2:23" ht="21" hidden="1" customHeight="1" outlineLevel="1">
      <c r="B30" s="65" t="s">
        <v>265</v>
      </c>
      <c r="D30" s="256"/>
      <c r="E30" s="31"/>
      <c r="F30" s="375"/>
      <c r="G30" s="375"/>
      <c r="I30" s="375"/>
      <c r="J30" s="375"/>
      <c r="V30" s="889"/>
      <c r="W30" s="889"/>
    </row>
    <row r="31" spans="2:23" ht="22" hidden="1" customHeight="1" outlineLevel="1">
      <c r="B31" s="31" t="s">
        <v>1812</v>
      </c>
      <c r="D31" s="256"/>
      <c r="E31" s="31"/>
      <c r="F31" s="375"/>
      <c r="G31" s="375"/>
      <c r="I31" s="375"/>
      <c r="J31" s="375"/>
      <c r="V31" s="889"/>
      <c r="W31" s="889"/>
    </row>
    <row r="32" spans="2:23" ht="22" hidden="1" customHeight="1" outlineLevel="1">
      <c r="B32" s="10" t="s">
        <v>1811</v>
      </c>
      <c r="D32" s="256"/>
      <c r="E32" s="31"/>
      <c r="F32" s="375"/>
      <c r="G32" s="375"/>
      <c r="I32" s="375"/>
      <c r="J32" s="375"/>
      <c r="V32" s="889"/>
      <c r="W32" s="889"/>
    </row>
    <row r="33" spans="2:23" ht="22" hidden="1" customHeight="1" outlineLevel="1">
      <c r="B33" s="10" t="s">
        <v>1428</v>
      </c>
      <c r="D33" s="256"/>
      <c r="E33" s="31"/>
      <c r="F33" s="375"/>
      <c r="G33" s="375"/>
      <c r="I33" s="375"/>
      <c r="J33" s="375"/>
      <c r="V33" s="889"/>
      <c r="W33" s="889"/>
    </row>
    <row r="34" spans="2:23" ht="22" hidden="1" customHeight="1" outlineLevel="1">
      <c r="D34" s="256"/>
      <c r="E34" s="31"/>
      <c r="F34" s="375"/>
      <c r="G34" s="375"/>
      <c r="I34" s="375"/>
      <c r="J34" s="375"/>
      <c r="V34" s="889"/>
      <c r="W34" s="889"/>
    </row>
    <row r="35" spans="2:23" ht="22" hidden="1" customHeight="1" outlineLevel="1">
      <c r="B35" s="758" t="s">
        <v>608</v>
      </c>
      <c r="D35" s="256"/>
      <c r="E35" s="31"/>
      <c r="F35" s="375"/>
      <c r="G35" s="375"/>
      <c r="I35" s="375"/>
      <c r="J35" s="375"/>
      <c r="V35" s="889"/>
      <c r="W35" s="889"/>
    </row>
    <row r="36" spans="2:23" ht="22" hidden="1" customHeight="1" outlineLevel="2">
      <c r="B36" s="758"/>
      <c r="D36" s="256"/>
      <c r="E36" s="31"/>
      <c r="F36" s="375"/>
      <c r="G36" s="375"/>
      <c r="I36" s="375"/>
      <c r="J36" s="375"/>
      <c r="V36" s="889"/>
      <c r="W36" s="889"/>
    </row>
    <row r="37" spans="2:23" ht="22" hidden="1" customHeight="1" outlineLevel="2">
      <c r="B37" s="158" t="s">
        <v>605</v>
      </c>
      <c r="D37" s="256"/>
      <c r="E37" s="31"/>
      <c r="F37" s="375"/>
      <c r="G37" s="375"/>
      <c r="I37" s="375"/>
      <c r="J37" s="375"/>
      <c r="V37" s="889"/>
      <c r="W37" s="889"/>
    </row>
    <row r="38" spans="2:23" ht="35" hidden="1" customHeight="1" outlineLevel="2">
      <c r="B38" s="34" t="s">
        <v>215</v>
      </c>
      <c r="C38" s="99">
        <f>C314</f>
        <v>308824.96276177408</v>
      </c>
      <c r="D38" s="2111" t="s">
        <v>1151</v>
      </c>
      <c r="E38" s="2111"/>
      <c r="F38" s="2111"/>
      <c r="G38" s="375"/>
      <c r="I38" s="375"/>
      <c r="J38" s="375"/>
      <c r="V38" s="889"/>
      <c r="W38" s="889"/>
    </row>
    <row r="39" spans="2:23" ht="35" hidden="1" customHeight="1" outlineLevel="2">
      <c r="B39" s="56" t="s">
        <v>217</v>
      </c>
      <c r="C39" s="369">
        <f>'3.2 - Déplacement entraînement'!G153</f>
        <v>20.445274671860105</v>
      </c>
      <c r="D39" s="1911" t="s">
        <v>1813</v>
      </c>
      <c r="E39" s="1911"/>
      <c r="F39" s="1911"/>
      <c r="G39" s="375"/>
      <c r="I39" s="375"/>
      <c r="J39" s="375"/>
      <c r="V39" s="889"/>
      <c r="W39" s="889"/>
    </row>
    <row r="40" spans="2:23" ht="35" hidden="1" customHeight="1" outlineLevel="2">
      <c r="B40" s="56" t="s">
        <v>1100</v>
      </c>
      <c r="C40" s="369">
        <f>C266</f>
        <v>15</v>
      </c>
      <c r="D40" s="2112" t="str">
        <f>D265</f>
        <v xml:space="preserve">H10 : On considère 30 rencontres annuelles dont 15 à l'extérieur (source : FFF et Utopies, qui donne un chiffre compris entre 12 et 15 dont 15 au plus haut niveau de compétition). </v>
      </c>
      <c r="E40" s="2113"/>
      <c r="F40" s="2114"/>
      <c r="G40" s="427"/>
      <c r="I40" s="375"/>
      <c r="J40" s="375"/>
      <c r="V40" s="889"/>
      <c r="W40" s="889"/>
    </row>
    <row r="41" spans="2:23" ht="23" hidden="1" customHeight="1" outlineLevel="2">
      <c r="D41" s="256"/>
      <c r="E41" s="31"/>
      <c r="V41" s="889"/>
      <c r="W41" s="889"/>
    </row>
    <row r="42" spans="2:23" ht="34" hidden="1" customHeight="1" outlineLevel="2">
      <c r="B42" s="113" t="s">
        <v>56</v>
      </c>
      <c r="C42" s="114" t="s">
        <v>57</v>
      </c>
      <c r="D42" s="47" t="s">
        <v>477</v>
      </c>
      <c r="E42" s="47" t="s">
        <v>671</v>
      </c>
      <c r="F42" s="47" t="s">
        <v>672</v>
      </c>
      <c r="G42" s="754" t="s">
        <v>82</v>
      </c>
      <c r="H42" s="114" t="s">
        <v>18</v>
      </c>
      <c r="I42" s="119" t="s">
        <v>112</v>
      </c>
      <c r="V42" s="890"/>
      <c r="W42" s="889"/>
    </row>
    <row r="43" spans="2:23" ht="28" hidden="1" customHeight="1" outlineLevel="2">
      <c r="B43" s="120" t="s">
        <v>23</v>
      </c>
      <c r="C43" s="753">
        <f>'3.2 - Déplacement entraînement'!$D$177</f>
        <v>0.71956183922091654</v>
      </c>
      <c r="D43" s="466">
        <f>$C$181</f>
        <v>0.11764705882352941</v>
      </c>
      <c r="E43" s="757">
        <f>C43*$C$38*$C$39</f>
        <v>4543321.5041560382</v>
      </c>
      <c r="F43" s="896">
        <f>E43*$C$40</f>
        <v>68149822.562340572</v>
      </c>
      <c r="G43" s="756">
        <f>F43*D43/1000</f>
        <v>8017.6261838047731</v>
      </c>
      <c r="H43" s="34" t="s">
        <v>123</v>
      </c>
      <c r="I43" s="2108" t="s">
        <v>691</v>
      </c>
      <c r="J43"/>
      <c r="V43" s="890"/>
      <c r="W43" s="889"/>
    </row>
    <row r="44" spans="2:23" ht="28" hidden="1" customHeight="1" outlineLevel="2">
      <c r="B44" s="116" t="s">
        <v>44</v>
      </c>
      <c r="C44" s="753">
        <f>'3.2 - Déplacement entraînement'!$D$178</f>
        <v>1.7693291138859535E-2</v>
      </c>
      <c r="D44" s="466">
        <f>$C$183</f>
        <v>0.14000000000000001</v>
      </c>
      <c r="E44" s="757">
        <f t="shared" ref="E44:E46" si="0">C44*$C$38*$C$39</f>
        <v>111715.63822438085</v>
      </c>
      <c r="F44" s="896">
        <f t="shared" ref="F44:F46" si="1">E44*$C$40</f>
        <v>1675734.5733657128</v>
      </c>
      <c r="G44" s="756">
        <f t="shared" ref="G44:G46" si="2">F44*D44/1000</f>
        <v>234.60284027119982</v>
      </c>
      <c r="H44" s="34" t="s">
        <v>123</v>
      </c>
      <c r="I44" s="2109"/>
      <c r="J44"/>
      <c r="V44" s="890"/>
      <c r="W44" s="889"/>
    </row>
    <row r="45" spans="2:23" ht="28" hidden="1" customHeight="1" outlineLevel="2">
      <c r="B45" s="115" t="s">
        <v>476</v>
      </c>
      <c r="C45" s="753">
        <f>'3.2 - Déplacement entraînement'!$D$179</f>
        <v>1.4935094817859096E-2</v>
      </c>
      <c r="D45" s="466">
        <f>$C$188</f>
        <v>5.0299999999999997E-3</v>
      </c>
      <c r="E45" s="757">
        <f t="shared" si="0"/>
        <v>94300.355791597423</v>
      </c>
      <c r="F45" s="896">
        <f t="shared" si="1"/>
        <v>1414505.3368739614</v>
      </c>
      <c r="G45" s="756">
        <f t="shared" si="2"/>
        <v>7.1149618444760252</v>
      </c>
      <c r="H45" s="34" t="s">
        <v>123</v>
      </c>
      <c r="I45" s="2109"/>
      <c r="J45"/>
      <c r="V45" s="889"/>
      <c r="W45" s="889"/>
    </row>
    <row r="46" spans="2:23" ht="28" hidden="1" customHeight="1" outlineLevel="2">
      <c r="B46" s="116" t="s">
        <v>24</v>
      </c>
      <c r="C46" s="753">
        <f>'3.2 - Déplacement entraînement'!$D$180</f>
        <v>0.2478097748223648</v>
      </c>
      <c r="D46" s="466">
        <v>0</v>
      </c>
      <c r="E46" s="757">
        <f t="shared" si="0"/>
        <v>1564673.6910194224</v>
      </c>
      <c r="F46" s="896">
        <f t="shared" si="1"/>
        <v>23470105.365291335</v>
      </c>
      <c r="G46" s="756">
        <f t="shared" si="2"/>
        <v>0</v>
      </c>
      <c r="H46" s="34" t="s">
        <v>123</v>
      </c>
      <c r="I46" s="2110"/>
      <c r="J46"/>
      <c r="V46" s="889"/>
      <c r="W46" s="889"/>
    </row>
    <row r="47" spans="2:23" ht="28" hidden="1" customHeight="1" outlineLevel="2">
      <c r="F47" s="41" t="s">
        <v>139</v>
      </c>
      <c r="G47" s="122">
        <f>SUM(G43:G46)</f>
        <v>8259.3439859204482</v>
      </c>
      <c r="H47" s="42" t="s">
        <v>123</v>
      </c>
      <c r="V47" s="889"/>
      <c r="W47" s="889"/>
    </row>
    <row r="48" spans="2:23" ht="28" hidden="1" customHeight="1" outlineLevel="2">
      <c r="B48" s="158" t="s">
        <v>1101</v>
      </c>
      <c r="D48" s="256"/>
      <c r="E48" s="31"/>
      <c r="F48" s="375"/>
      <c r="G48" s="123"/>
      <c r="H48" s="65"/>
      <c r="V48" s="889"/>
      <c r="W48" s="889"/>
    </row>
    <row r="49" spans="1:50" ht="28" hidden="1" customHeight="1" outlineLevel="2">
      <c r="B49" s="34" t="s">
        <v>215</v>
      </c>
      <c r="C49" s="99">
        <f>D314+E314</f>
        <v>2257926.0965077151</v>
      </c>
      <c r="D49" s="1911" t="s">
        <v>1151</v>
      </c>
      <c r="E49" s="1911"/>
      <c r="F49" s="1911"/>
      <c r="G49" s="123"/>
      <c r="H49" s="65"/>
      <c r="V49" s="889"/>
      <c r="W49" s="889"/>
    </row>
    <row r="50" spans="1:50" ht="31" hidden="1" customHeight="1" outlineLevel="2">
      <c r="B50" s="56" t="s">
        <v>217</v>
      </c>
      <c r="C50" s="369">
        <f>C39</f>
        <v>20.445274671860105</v>
      </c>
      <c r="D50" s="1911" t="s">
        <v>1813</v>
      </c>
      <c r="E50" s="1911"/>
      <c r="F50" s="1911"/>
      <c r="G50"/>
      <c r="H50"/>
      <c r="I50"/>
      <c r="V50" s="889"/>
      <c r="W50" s="889"/>
    </row>
    <row r="51" spans="1:50" ht="31" hidden="1" customHeight="1" outlineLevel="2">
      <c r="B51" s="56" t="s">
        <v>1100</v>
      </c>
      <c r="C51" s="369">
        <f>C282</f>
        <v>12</v>
      </c>
      <c r="D51" s="2112" t="str">
        <f>D273</f>
        <v xml:space="preserve">H12 : On considère 24 rencontres annuelles dont 12 à l'extérieur (source : FFF et Utopies, qui donne un chiffre compris entre 12 et 15). </v>
      </c>
      <c r="E51" s="2113"/>
      <c r="F51" s="2114"/>
      <c r="G51" s="427"/>
      <c r="H51"/>
      <c r="I51"/>
      <c r="V51" s="889"/>
      <c r="W51" s="889"/>
    </row>
    <row r="52" spans="1:50" ht="28" hidden="1" customHeight="1" outlineLevel="2">
      <c r="B52" s="71"/>
      <c r="C52" s="371"/>
      <c r="D52" s="1139"/>
      <c r="E52" s="877"/>
      <c r="F52" s="877"/>
      <c r="G52"/>
      <c r="H52"/>
      <c r="I52"/>
      <c r="V52" s="889"/>
      <c r="W52" s="889"/>
    </row>
    <row r="53" spans="1:50" ht="28" hidden="1" customHeight="1" outlineLevel="2">
      <c r="B53" s="113" t="s">
        <v>56</v>
      </c>
      <c r="C53" s="114" t="s">
        <v>57</v>
      </c>
      <c r="D53" s="47" t="s">
        <v>477</v>
      </c>
      <c r="E53" s="47" t="s">
        <v>671</v>
      </c>
      <c r="F53" s="47" t="s">
        <v>672</v>
      </c>
      <c r="G53" s="754" t="s">
        <v>82</v>
      </c>
      <c r="H53" s="114" t="s">
        <v>18</v>
      </c>
      <c r="I53" s="119" t="s">
        <v>112</v>
      </c>
      <c r="V53" s="889"/>
      <c r="W53" s="889"/>
    </row>
    <row r="54" spans="1:50" ht="28" hidden="1" customHeight="1" outlineLevel="2">
      <c r="B54" s="120" t="s">
        <v>23</v>
      </c>
      <c r="C54" s="753">
        <f>'3.2 - Déplacement entraînement'!$D$177</f>
        <v>0.71956183922091654</v>
      </c>
      <c r="D54" s="466">
        <f>$C$181</f>
        <v>0.11764705882352941</v>
      </c>
      <c r="E54" s="757">
        <f>C54*$C$49*$C$50</f>
        <v>33217794.628123846</v>
      </c>
      <c r="F54" s="896">
        <f>E54*$C$51</f>
        <v>398613535.53748614</v>
      </c>
      <c r="G54" s="756">
        <f>F54*D54/1000</f>
        <v>46895.710063233666</v>
      </c>
      <c r="H54" s="34" t="s">
        <v>123</v>
      </c>
      <c r="I54" s="2108" t="s">
        <v>691</v>
      </c>
      <c r="V54" s="889"/>
      <c r="W54" s="889"/>
    </row>
    <row r="55" spans="1:50" ht="28" hidden="1" customHeight="1" outlineLevel="2">
      <c r="B55" s="116" t="s">
        <v>44</v>
      </c>
      <c r="C55" s="753">
        <f>'3.2 - Déplacement entraînement'!$D$178</f>
        <v>1.7693291138859535E-2</v>
      </c>
      <c r="D55" s="466">
        <f>$C$183</f>
        <v>0.14000000000000001</v>
      </c>
      <c r="E55" s="757">
        <f t="shared" ref="E55:E57" si="3">C55*$C$49*$C$50</f>
        <v>816791.66308011604</v>
      </c>
      <c r="F55" s="896">
        <f t="shared" ref="F55:F57" si="4">E55*$C$51</f>
        <v>9801499.9569613934</v>
      </c>
      <c r="G55" s="756">
        <f t="shared" ref="G55:G57" si="5">F55*D55/1000</f>
        <v>1372.2099939745951</v>
      </c>
      <c r="H55" s="34" t="s">
        <v>123</v>
      </c>
      <c r="I55" s="2109"/>
      <c r="V55" s="889"/>
      <c r="W55" s="889"/>
    </row>
    <row r="56" spans="1:50" ht="28" hidden="1" customHeight="1" outlineLevel="2">
      <c r="B56" s="115" t="s">
        <v>476</v>
      </c>
      <c r="C56" s="753">
        <f>'3.2 - Déplacement entraînement'!$D$179</f>
        <v>1.4935094817859096E-2</v>
      </c>
      <c r="D56" s="466">
        <f>$C$188</f>
        <v>5.0299999999999997E-3</v>
      </c>
      <c r="E56" s="757">
        <f t="shared" si="3"/>
        <v>689462.51089183521</v>
      </c>
      <c r="F56" s="896">
        <f t="shared" si="4"/>
        <v>8273550.1307020225</v>
      </c>
      <c r="G56" s="756">
        <f t="shared" si="5"/>
        <v>41.615957157431168</v>
      </c>
      <c r="H56" s="34" t="s">
        <v>123</v>
      </c>
      <c r="I56" s="2109"/>
      <c r="V56" s="889"/>
      <c r="W56" s="889"/>
    </row>
    <row r="57" spans="1:50" ht="28" hidden="1" customHeight="1" outlineLevel="2">
      <c r="B57" s="116" t="s">
        <v>24</v>
      </c>
      <c r="C57" s="753">
        <f>'3.2 - Déplacement entraînement'!$D$180</f>
        <v>0.2478097748223648</v>
      </c>
      <c r="D57" s="466">
        <v>0</v>
      </c>
      <c r="E57" s="757">
        <f t="shared" si="3"/>
        <v>11439870.429765346</v>
      </c>
      <c r="F57" s="896">
        <f t="shared" si="4"/>
        <v>137278445.15718415</v>
      </c>
      <c r="G57" s="756">
        <f t="shared" si="5"/>
        <v>0</v>
      </c>
      <c r="H57" s="34" t="s">
        <v>123</v>
      </c>
      <c r="I57" s="2110"/>
      <c r="V57" s="889"/>
      <c r="W57" s="889"/>
    </row>
    <row r="58" spans="1:50" ht="28" hidden="1" customHeight="1" outlineLevel="2">
      <c r="F58" s="41" t="s">
        <v>139</v>
      </c>
      <c r="G58" s="122">
        <f>SUM(G54:G57)</f>
        <v>48309.536014365694</v>
      </c>
      <c r="H58" s="42" t="s">
        <v>123</v>
      </c>
      <c r="V58" s="889"/>
      <c r="W58" s="889"/>
    </row>
    <row r="59" spans="1:50" s="9" customFormat="1" ht="28" hidden="1" customHeight="1" outlineLevel="2">
      <c r="C59" s="10"/>
      <c r="D59" s="10"/>
      <c r="F59" s="121"/>
      <c r="G59" s="897"/>
      <c r="H59" s="121"/>
      <c r="AW59" s="1712"/>
      <c r="AX59" s="1712"/>
    </row>
    <row r="60" spans="1:50" s="9" customFormat="1" ht="22" hidden="1" customHeight="1" outlineLevel="1" collapsed="1">
      <c r="B60" s="758" t="s">
        <v>673</v>
      </c>
      <c r="C60" s="65"/>
      <c r="D60" s="123"/>
      <c r="E60" s="121"/>
      <c r="AW60" s="1712"/>
      <c r="AX60" s="1712"/>
    </row>
    <row r="61" spans="1:50" s="9" customFormat="1" ht="23" hidden="1" customHeight="1" outlineLevel="2">
      <c r="A61" s="465"/>
      <c r="B61" s="65" t="s">
        <v>265</v>
      </c>
      <c r="C61" s="65"/>
      <c r="D61" s="123"/>
      <c r="E61" s="121"/>
      <c r="AW61" s="1712"/>
      <c r="AX61" s="1712"/>
    </row>
    <row r="62" spans="1:50" s="9" customFormat="1" ht="23" hidden="1" customHeight="1" outlineLevel="2">
      <c r="A62" s="465"/>
      <c r="B62" s="31" t="s">
        <v>1343</v>
      </c>
      <c r="C62" s="10"/>
      <c r="D62" s="256"/>
      <c r="E62" s="31"/>
      <c r="F62" s="375"/>
      <c r="G62" s="427"/>
      <c r="AW62" s="1712"/>
      <c r="AX62" s="1712"/>
    </row>
    <row r="63" spans="1:50" s="9" customFormat="1" ht="36" hidden="1" customHeight="1" outlineLevel="2">
      <c r="A63" s="465"/>
      <c r="B63" s="34" t="s">
        <v>215</v>
      </c>
      <c r="C63" s="99">
        <f>C49+C38</f>
        <v>2566751.0592694893</v>
      </c>
      <c r="D63" s="2111" t="s">
        <v>1151</v>
      </c>
      <c r="E63" s="2111"/>
      <c r="F63" s="2111"/>
      <c r="AW63" s="1712"/>
      <c r="AX63" s="1712"/>
    </row>
    <row r="64" spans="1:50" s="9" customFormat="1" ht="36" hidden="1" customHeight="1" outlineLevel="2">
      <c r="A64" s="465"/>
      <c r="B64" s="56" t="s">
        <v>217</v>
      </c>
      <c r="C64" s="1116">
        <f>'3.2 - Déplacement entraînement'!G153</f>
        <v>20.445274671860105</v>
      </c>
      <c r="D64" s="1911" t="s">
        <v>1813</v>
      </c>
      <c r="E64" s="1911"/>
      <c r="F64" s="1911"/>
      <c r="AW64" s="1712"/>
      <c r="AX64" s="1712"/>
    </row>
    <row r="65" spans="1:50" s="9" customFormat="1" ht="48" hidden="1" customHeight="1" outlineLevel="2">
      <c r="A65" s="465"/>
      <c r="B65" s="56" t="s">
        <v>1102</v>
      </c>
      <c r="C65" s="1116">
        <f>10*1/3</f>
        <v>3.3333333333333335</v>
      </c>
      <c r="D65" s="2112" t="str">
        <f>$B$541</f>
        <v>HX : D'après FFF et Utopies, il y en moyenne 10 rencontres hors championnat par saison. On considère ce chiffre comme équivalent pour le rugby. On fait l'hypothèse qu'environ 2/3 des rencontres hors championnat ont lieu sur un terrain à l'extérieur.</v>
      </c>
      <c r="E65" s="2113"/>
      <c r="F65" s="2114"/>
      <c r="G65" s="427"/>
      <c r="AW65" s="1712"/>
      <c r="AX65" s="1712"/>
    </row>
    <row r="66" spans="1:50" s="9" customFormat="1" ht="26" hidden="1" customHeight="1" outlineLevel="2">
      <c r="A66" s="465"/>
      <c r="B66" s="900"/>
      <c r="C66" s="878"/>
      <c r="D66" s="123"/>
      <c r="E66" s="121"/>
      <c r="AW66" s="1712"/>
      <c r="AX66" s="1712"/>
    </row>
    <row r="67" spans="1:50" s="9" customFormat="1" ht="26" hidden="1" customHeight="1" outlineLevel="2">
      <c r="A67" s="465"/>
      <c r="B67" s="113" t="s">
        <v>56</v>
      </c>
      <c r="C67" s="114" t="s">
        <v>57</v>
      </c>
      <c r="D67" s="47" t="s">
        <v>477</v>
      </c>
      <c r="E67" s="47" t="s">
        <v>671</v>
      </c>
      <c r="F67" s="47" t="s">
        <v>672</v>
      </c>
      <c r="G67" s="754" t="s">
        <v>82</v>
      </c>
      <c r="H67" s="114" t="s">
        <v>18</v>
      </c>
      <c r="I67" s="119" t="s">
        <v>112</v>
      </c>
      <c r="AW67" s="1712"/>
      <c r="AX67" s="1712"/>
    </row>
    <row r="68" spans="1:50" s="9" customFormat="1" ht="26" hidden="1" customHeight="1" outlineLevel="2">
      <c r="A68" s="465"/>
      <c r="B68" s="120" t="s">
        <v>23</v>
      </c>
      <c r="C68" s="753">
        <f>'3.2 - Déplacement entraînement'!D177</f>
        <v>0.71956183922091654</v>
      </c>
      <c r="D68" s="466">
        <f>$C$181</f>
        <v>0.11764705882352941</v>
      </c>
      <c r="E68" s="757">
        <f>C68*$C$63*$C$64</f>
        <v>37761116.13227988</v>
      </c>
      <c r="F68" s="896">
        <f>E68*$C$65</f>
        <v>125870387.1075996</v>
      </c>
      <c r="G68" s="756">
        <f>F68*D68/1000</f>
        <v>14808.280836188187</v>
      </c>
      <c r="H68" s="34" t="s">
        <v>123</v>
      </c>
      <c r="I68" s="2108" t="s">
        <v>604</v>
      </c>
      <c r="J68"/>
      <c r="AW68" s="1712"/>
      <c r="AX68" s="1712"/>
    </row>
    <row r="69" spans="1:50" s="9" customFormat="1" ht="26" hidden="1" customHeight="1" outlineLevel="2">
      <c r="A69" s="465"/>
      <c r="B69" s="116" t="s">
        <v>44</v>
      </c>
      <c r="C69" s="753">
        <f>'3.2 - Déplacement entraînement'!D178</f>
        <v>1.7693291138859535E-2</v>
      </c>
      <c r="D69" s="466">
        <f>$C$183</f>
        <v>0.14000000000000001</v>
      </c>
      <c r="E69" s="757">
        <f>C69*$C$63*$C$64</f>
        <v>928507.30130449694</v>
      </c>
      <c r="F69" s="896">
        <f>E69*$C$65</f>
        <v>3095024.3376816567</v>
      </c>
      <c r="G69" s="756">
        <f t="shared" ref="G69:G71" si="6">F69*D69/1000</f>
        <v>433.30340727543194</v>
      </c>
      <c r="H69" s="34" t="s">
        <v>123</v>
      </c>
      <c r="I69" s="2109"/>
      <c r="J69"/>
      <c r="AW69" s="1712"/>
      <c r="AX69" s="1712"/>
    </row>
    <row r="70" spans="1:50" s="9" customFormat="1" ht="26" hidden="1" customHeight="1" outlineLevel="2">
      <c r="A70" s="465"/>
      <c r="B70" s="115" t="s">
        <v>476</v>
      </c>
      <c r="C70" s="753">
        <f>'3.2 - Déplacement entraînement'!D179</f>
        <v>1.4935094817859096E-2</v>
      </c>
      <c r="D70" s="466">
        <f>$C$188</f>
        <v>5.0299999999999997E-3</v>
      </c>
      <c r="E70" s="757">
        <f t="shared" ref="E70:E71" si="7">C70*$C$63*$C$64</f>
        <v>783762.86668343272</v>
      </c>
      <c r="F70" s="896">
        <f t="shared" ref="F70:F71" si="8">E70*$C$65</f>
        <v>2612542.8889447758</v>
      </c>
      <c r="G70" s="756">
        <f t="shared" si="6"/>
        <v>13.141090731392222</v>
      </c>
      <c r="H70" s="34" t="s">
        <v>123</v>
      </c>
      <c r="I70" s="2109"/>
      <c r="J70"/>
      <c r="AW70" s="1712"/>
      <c r="AX70" s="1712"/>
    </row>
    <row r="71" spans="1:50" s="9" customFormat="1" ht="26" hidden="1" customHeight="1" outlineLevel="2">
      <c r="A71" s="465"/>
      <c r="B71" s="116" t="s">
        <v>24</v>
      </c>
      <c r="C71" s="753">
        <f>'3.2 - Déplacement entraînement'!D180</f>
        <v>0.2478097748223648</v>
      </c>
      <c r="D71" s="466">
        <v>0</v>
      </c>
      <c r="E71" s="757">
        <f t="shared" si="7"/>
        <v>13004544.120784769</v>
      </c>
      <c r="F71" s="896">
        <f t="shared" si="8"/>
        <v>43348480.402615897</v>
      </c>
      <c r="G71" s="756">
        <f t="shared" si="6"/>
        <v>0</v>
      </c>
      <c r="H71" s="34" t="s">
        <v>123</v>
      </c>
      <c r="I71" s="2110"/>
      <c r="J71"/>
      <c r="AW71" s="1712"/>
      <c r="AX71" s="1712"/>
    </row>
    <row r="72" spans="1:50" s="9" customFormat="1" ht="26" hidden="1" customHeight="1" outlineLevel="2">
      <c r="B72" s="10"/>
      <c r="C72" s="10"/>
      <c r="D72" s="10"/>
      <c r="E72" s="10"/>
      <c r="F72" s="41" t="s">
        <v>139</v>
      </c>
      <c r="G72" s="122">
        <f>SUM(G68:G71)</f>
        <v>15254.725334195013</v>
      </c>
      <c r="H72" s="42" t="s">
        <v>123</v>
      </c>
      <c r="I72" s="10"/>
      <c r="AW72" s="1712"/>
      <c r="AX72" s="1712"/>
    </row>
    <row r="73" spans="1:50" s="9" customFormat="1" ht="26" hidden="1" customHeight="1" outlineLevel="2">
      <c r="B73" s="758"/>
      <c r="C73" s="65"/>
      <c r="D73" s="123"/>
      <c r="E73" s="121"/>
      <c r="AW73" s="1712"/>
      <c r="AX73" s="1712"/>
    </row>
    <row r="74" spans="1:50" s="9" customFormat="1" ht="26" hidden="1" customHeight="1" outlineLevel="1" collapsed="1">
      <c r="B74" s="758"/>
      <c r="C74" s="65"/>
      <c r="D74" s="123"/>
      <c r="E74" s="121"/>
      <c r="F74"/>
      <c r="G74"/>
      <c r="H74"/>
      <c r="AW74" s="1712"/>
      <c r="AX74" s="1712"/>
    </row>
    <row r="75" spans="1:50" s="9" customFormat="1" ht="22" hidden="1" customHeight="1" outlineLevel="1">
      <c r="B75" s="929" t="s">
        <v>1159</v>
      </c>
      <c r="C75" s="65"/>
      <c r="D75" s="123"/>
      <c r="E75" s="121"/>
      <c r="AW75" s="1712"/>
      <c r="AX75" s="1712"/>
    </row>
    <row r="76" spans="1:50" s="9" customFormat="1" ht="22" hidden="1" customHeight="1" outlineLevel="1">
      <c r="B76" s="65" t="s">
        <v>265</v>
      </c>
      <c r="C76" s="65"/>
      <c r="D76" s="123"/>
      <c r="E76" s="121"/>
      <c r="AW76" s="1712"/>
      <c r="AX76" s="1712"/>
    </row>
    <row r="77" spans="1:50" s="9" customFormat="1" ht="22" hidden="1" customHeight="1" outlineLevel="1">
      <c r="B77" s="10" t="s">
        <v>1428</v>
      </c>
      <c r="C77" s="65"/>
      <c r="D77" s="123"/>
      <c r="E77" s="121"/>
      <c r="AW77" s="1712"/>
      <c r="AX77" s="1712"/>
    </row>
    <row r="78" spans="1:50" s="9" customFormat="1" ht="22" hidden="1" customHeight="1" outlineLevel="1">
      <c r="B78" s="11"/>
      <c r="C78" s="65"/>
      <c r="D78" s="123"/>
      <c r="E78" s="121"/>
      <c r="AW78" s="1712"/>
      <c r="AX78" s="1712"/>
    </row>
    <row r="79" spans="1:50" s="9" customFormat="1" ht="22" hidden="1" customHeight="1" outlineLevel="1">
      <c r="B79" s="758" t="s">
        <v>608</v>
      </c>
      <c r="C79" s="65"/>
      <c r="D79" s="123"/>
      <c r="E79" s="121"/>
      <c r="AW79" s="1712"/>
      <c r="AX79" s="1712"/>
    </row>
    <row r="80" spans="1:50" s="9" customFormat="1" ht="22" hidden="1" customHeight="1" outlineLevel="2">
      <c r="B80" s="11"/>
      <c r="C80" s="65"/>
      <c r="D80" s="123"/>
      <c r="E80" s="121"/>
      <c r="AW80" s="1712"/>
      <c r="AX80" s="1712"/>
    </row>
    <row r="81" spans="2:50" s="9" customFormat="1" ht="22" hidden="1" customHeight="1" outlineLevel="2">
      <c r="B81" s="158" t="s">
        <v>605</v>
      </c>
      <c r="C81" s="65"/>
      <c r="D81" s="123"/>
      <c r="E81" s="121"/>
      <c r="AW81" s="1712"/>
      <c r="AX81" s="1712"/>
    </row>
    <row r="82" spans="2:50" s="9" customFormat="1" ht="31" hidden="1" customHeight="1" outlineLevel="2">
      <c r="B82" s="34" t="s">
        <v>216</v>
      </c>
      <c r="C82" s="99">
        <f>C315</f>
        <v>48824.96276177407</v>
      </c>
      <c r="D82" s="1140" t="s">
        <v>1151</v>
      </c>
      <c r="E82"/>
      <c r="F82"/>
      <c r="AW82" s="1712"/>
      <c r="AX82" s="1712"/>
    </row>
    <row r="83" spans="2:50" s="9" customFormat="1" ht="31" hidden="1" customHeight="1" outlineLevel="2">
      <c r="B83" s="56" t="s">
        <v>1096</v>
      </c>
      <c r="C83" s="1125">
        <f>D510*2</f>
        <v>800</v>
      </c>
      <c r="D83" s="92" t="s">
        <v>1814</v>
      </c>
      <c r="E83"/>
      <c r="F83"/>
      <c r="G83"/>
      <c r="H83"/>
      <c r="AW83" s="1712"/>
      <c r="AX83" s="1712"/>
    </row>
    <row r="84" spans="2:50" s="9" customFormat="1" ht="20" hidden="1" customHeight="1" outlineLevel="2">
      <c r="AW84" s="1712"/>
      <c r="AX84" s="1712"/>
    </row>
    <row r="85" spans="2:50" s="9" customFormat="1" ht="36" hidden="1" customHeight="1" outlineLevel="2">
      <c r="B85" s="113" t="s">
        <v>56</v>
      </c>
      <c r="C85" s="114" t="s">
        <v>57</v>
      </c>
      <c r="D85" s="47" t="s">
        <v>477</v>
      </c>
      <c r="E85" s="47" t="s">
        <v>671</v>
      </c>
      <c r="F85" s="47" t="s">
        <v>672</v>
      </c>
      <c r="G85" s="754" t="s">
        <v>82</v>
      </c>
      <c r="H85" s="114" t="s">
        <v>18</v>
      </c>
      <c r="I85" s="119" t="s">
        <v>112</v>
      </c>
      <c r="AW85" s="1712"/>
      <c r="AX85" s="1712"/>
    </row>
    <row r="86" spans="2:50" s="9" customFormat="1" ht="26" hidden="1" customHeight="1" outlineLevel="2">
      <c r="B86" s="120" t="s">
        <v>345</v>
      </c>
      <c r="C86" s="753">
        <f>D555</f>
        <v>0.5625</v>
      </c>
      <c r="D86" s="466">
        <f>$H$190</f>
        <v>8.1784386617100371E-2</v>
      </c>
      <c r="E86" s="757">
        <f>C86*$C$82*$C$83</f>
        <v>21971233.242798332</v>
      </c>
      <c r="F86" s="896">
        <f>E86*$C$266</f>
        <v>329568498.64197499</v>
      </c>
      <c r="G86" s="756">
        <f>F86*D86/1000</f>
        <v>26953.557509752602</v>
      </c>
      <c r="H86" s="34" t="s">
        <v>123</v>
      </c>
      <c r="I86" s="2117"/>
      <c r="J86" s="1409"/>
      <c r="AW86" s="1712"/>
      <c r="AX86" s="1712"/>
    </row>
    <row r="87" spans="2:50" s="9" customFormat="1" ht="26" hidden="1" customHeight="1" outlineLevel="2">
      <c r="B87" s="116" t="s">
        <v>1152</v>
      </c>
      <c r="C87" s="753">
        <f>E555</f>
        <v>0.42624999999999991</v>
      </c>
      <c r="D87" s="466">
        <f>$C$184</f>
        <v>0.03</v>
      </c>
      <c r="E87" s="757">
        <f t="shared" ref="E87:E89" si="9">C87*$C$82*$C$83</f>
        <v>16649312.301764954</v>
      </c>
      <c r="F87" s="896">
        <f>E87*$C$266</f>
        <v>249739684.5264743</v>
      </c>
      <c r="G87" s="756">
        <f t="shared" ref="G87:G89" si="10">F87*D87/1000</f>
        <v>7492.1905357942287</v>
      </c>
      <c r="H87" s="34" t="s">
        <v>123</v>
      </c>
      <c r="I87" s="2117"/>
      <c r="J87" s="1409"/>
      <c r="AW87" s="1712"/>
      <c r="AX87" s="1712"/>
    </row>
    <row r="88" spans="2:50" s="9" customFormat="1" ht="26" hidden="1" customHeight="1" outlineLevel="2">
      <c r="B88" s="115" t="s">
        <v>114</v>
      </c>
      <c r="C88" s="1416">
        <f>G555</f>
        <v>1.125E-2</v>
      </c>
      <c r="D88" s="466">
        <f>$C$187</f>
        <v>3.0000000000000001E-3</v>
      </c>
      <c r="E88" s="757">
        <f t="shared" si="9"/>
        <v>439424.66485596658</v>
      </c>
      <c r="F88" s="896">
        <f>E88*$C$266</f>
        <v>6591369.9728394989</v>
      </c>
      <c r="G88" s="756">
        <f>F88*D88/1000</f>
        <v>19.774109918518498</v>
      </c>
      <c r="H88" s="34" t="s">
        <v>123</v>
      </c>
      <c r="I88" s="2117"/>
      <c r="J88" s="1409"/>
      <c r="AW88" s="1712"/>
      <c r="AX88" s="1712"/>
    </row>
    <row r="89" spans="2:50" s="9" customFormat="1" ht="26" hidden="1" customHeight="1" outlineLevel="2">
      <c r="B89" s="116" t="s">
        <v>654</v>
      </c>
      <c r="C89" s="1416">
        <f>F555</f>
        <v>3.7499999999999999E-3</v>
      </c>
      <c r="D89" s="466">
        <f>$C$185</f>
        <v>0.26</v>
      </c>
      <c r="E89" s="757">
        <f t="shared" si="9"/>
        <v>146474.8882853222</v>
      </c>
      <c r="F89" s="896">
        <f>E89*$C$266</f>
        <v>2197123.3242798331</v>
      </c>
      <c r="G89" s="756">
        <f t="shared" si="10"/>
        <v>571.2520643127566</v>
      </c>
      <c r="H89" s="34" t="s">
        <v>123</v>
      </c>
      <c r="I89" s="2117"/>
      <c r="J89" s="1409"/>
      <c r="AW89" s="1712"/>
      <c r="AX89" s="1712"/>
    </row>
    <row r="90" spans="2:50" s="9" customFormat="1" ht="26" hidden="1" customHeight="1" outlineLevel="2">
      <c r="B90" s="10"/>
      <c r="C90" s="10"/>
      <c r="D90" s="10"/>
      <c r="F90" s="41" t="s">
        <v>139</v>
      </c>
      <c r="G90" s="122">
        <f>SUM(G86:G89)</f>
        <v>35036.774219778104</v>
      </c>
      <c r="H90" s="42" t="s">
        <v>123</v>
      </c>
      <c r="AW90" s="1712"/>
      <c r="AX90" s="1712"/>
    </row>
    <row r="91" spans="2:50" s="9" customFormat="1" ht="26" hidden="1" customHeight="1" outlineLevel="2">
      <c r="B91" s="158" t="s">
        <v>606</v>
      </c>
      <c r="C91" s="65"/>
      <c r="D91" s="123"/>
      <c r="E91" s="121"/>
      <c r="AW91" s="1712"/>
      <c r="AX91" s="1712"/>
    </row>
    <row r="92" spans="2:50" s="9" customFormat="1" ht="26" hidden="1" customHeight="1" outlineLevel="2">
      <c r="B92" s="34" t="s">
        <v>216</v>
      </c>
      <c r="C92" s="99">
        <f>D315</f>
        <v>251895.52499999999</v>
      </c>
      <c r="D92" s="1140" t="s">
        <v>1151</v>
      </c>
      <c r="E92"/>
      <c r="F92"/>
      <c r="AW92" s="1712"/>
      <c r="AX92" s="1712"/>
    </row>
    <row r="93" spans="2:50" s="9" customFormat="1" ht="26" hidden="1" customHeight="1" outlineLevel="2">
      <c r="B93" s="56" t="s">
        <v>1096</v>
      </c>
      <c r="C93" s="1116">
        <f>ROUND(D457*2,-1)</f>
        <v>230</v>
      </c>
      <c r="D93" s="92" t="s">
        <v>1814</v>
      </c>
      <c r="E93"/>
      <c r="F93"/>
      <c r="G93"/>
      <c r="AW93" s="1712"/>
      <c r="AX93" s="1712"/>
    </row>
    <row r="94" spans="2:50" s="9" customFormat="1" ht="26" hidden="1" customHeight="1" outlineLevel="2">
      <c r="J94"/>
      <c r="AW94" s="1712"/>
      <c r="AX94" s="1712"/>
    </row>
    <row r="95" spans="2:50" s="9" customFormat="1" ht="32" hidden="1" customHeight="1" outlineLevel="2">
      <c r="B95" s="113" t="s">
        <v>56</v>
      </c>
      <c r="C95" s="114" t="s">
        <v>57</v>
      </c>
      <c r="D95" s="47" t="s">
        <v>477</v>
      </c>
      <c r="E95" s="47" t="s">
        <v>671</v>
      </c>
      <c r="F95" s="47" t="s">
        <v>672</v>
      </c>
      <c r="G95" s="754" t="s">
        <v>82</v>
      </c>
      <c r="H95" s="114" t="s">
        <v>18</v>
      </c>
      <c r="I95" s="119" t="s">
        <v>112</v>
      </c>
      <c r="J95"/>
      <c r="AW95" s="1712"/>
      <c r="AX95" s="1712"/>
    </row>
    <row r="96" spans="2:50" s="9" customFormat="1" ht="26" hidden="1" customHeight="1" outlineLevel="2">
      <c r="B96" s="120" t="s">
        <v>345</v>
      </c>
      <c r="C96" s="753">
        <f>D561</f>
        <v>0.69</v>
      </c>
      <c r="D96" s="466">
        <f>$D$86</f>
        <v>8.1784386617100371E-2</v>
      </c>
      <c r="E96" s="757">
        <f>C96*$C$92*$C$93</f>
        <v>39975819.817499995</v>
      </c>
      <c r="F96" s="896">
        <f>E96*$C$274</f>
        <v>479709837.80999994</v>
      </c>
      <c r="G96" s="756">
        <f>F96*D96/1000</f>
        <v>39232.774839479549</v>
      </c>
      <c r="H96" s="34" t="s">
        <v>123</v>
      </c>
      <c r="I96" s="2138"/>
      <c r="J96"/>
      <c r="AW96" s="1712"/>
      <c r="AX96" s="1712"/>
    </row>
    <row r="97" spans="2:50" s="9" customFormat="1" ht="26" hidden="1" customHeight="1" outlineLevel="2">
      <c r="B97" s="116" t="s">
        <v>1152</v>
      </c>
      <c r="C97" s="753">
        <f>E561</f>
        <v>0.3</v>
      </c>
      <c r="D97" s="466">
        <f>$D$87</f>
        <v>0.03</v>
      </c>
      <c r="E97" s="757">
        <f t="shared" ref="E97:E98" si="11">C97*$C$92*$C$93</f>
        <v>17380791.225000001</v>
      </c>
      <c r="F97" s="896">
        <f>E97*$C$274</f>
        <v>208569494.70000002</v>
      </c>
      <c r="G97" s="756">
        <f t="shared" ref="G97" si="12">F97*D97/1000</f>
        <v>6257.0848409999999</v>
      </c>
      <c r="H97" s="34" t="s">
        <v>123</v>
      </c>
      <c r="I97" s="2139"/>
      <c r="J97"/>
      <c r="AW97" s="1712"/>
      <c r="AX97" s="1712"/>
    </row>
    <row r="98" spans="2:50" s="9" customFormat="1" ht="26" hidden="1" customHeight="1" outlineLevel="2">
      <c r="B98" s="115" t="s">
        <v>114</v>
      </c>
      <c r="C98" s="753">
        <f>F561</f>
        <v>0.01</v>
      </c>
      <c r="D98" s="466">
        <f>$D$88</f>
        <v>3.0000000000000001E-3</v>
      </c>
      <c r="E98" s="757">
        <f t="shared" si="11"/>
        <v>579359.70750000002</v>
      </c>
      <c r="F98" s="896">
        <f>E98*$C$274</f>
        <v>6952316.4900000002</v>
      </c>
      <c r="G98" s="756">
        <f>F98*D98/1000</f>
        <v>20.85694947</v>
      </c>
      <c r="H98" s="34" t="s">
        <v>123</v>
      </c>
      <c r="I98" s="2139"/>
      <c r="J98"/>
      <c r="AW98" s="1712"/>
      <c r="AX98" s="1712"/>
    </row>
    <row r="99" spans="2:50" s="9" customFormat="1" ht="26" hidden="1" customHeight="1" outlineLevel="2">
      <c r="B99" s="10"/>
      <c r="C99" s="10"/>
      <c r="D99" s="10"/>
      <c r="F99" s="41" t="s">
        <v>139</v>
      </c>
      <c r="G99" s="122">
        <f>SUM(G96:G98)</f>
        <v>45510.716629949551</v>
      </c>
      <c r="H99" s="42" t="s">
        <v>123</v>
      </c>
      <c r="I99"/>
      <c r="AW99" s="1712"/>
      <c r="AX99" s="1712"/>
    </row>
    <row r="100" spans="2:50" s="9" customFormat="1" ht="26" hidden="1" customHeight="1" outlineLevel="2">
      <c r="B100" s="158" t="s">
        <v>607</v>
      </c>
      <c r="C100" s="65"/>
      <c r="D100" s="123"/>
      <c r="E100" s="121"/>
      <c r="AW100" s="1712"/>
      <c r="AX100" s="1712"/>
    </row>
    <row r="101" spans="2:50" s="9" customFormat="1" ht="26" hidden="1" customHeight="1" outlineLevel="2">
      <c r="B101" s="34" t="s">
        <v>216</v>
      </c>
      <c r="C101" s="99">
        <f>E315</f>
        <v>1237641.3548092586</v>
      </c>
      <c r="D101" s="1140" t="s">
        <v>1151</v>
      </c>
      <c r="E101"/>
      <c r="F101"/>
      <c r="AW101" s="1712"/>
      <c r="AX101" s="1712"/>
    </row>
    <row r="102" spans="2:50" s="9" customFormat="1" ht="32" hidden="1" customHeight="1" outlineLevel="2">
      <c r="B102" s="56" t="s">
        <v>1097</v>
      </c>
      <c r="C102" s="1116">
        <f>ROUND(D393*2,-1)</f>
        <v>60</v>
      </c>
      <c r="D102" s="92" t="s">
        <v>1814</v>
      </c>
      <c r="E102"/>
      <c r="F102"/>
      <c r="AW102" s="1712"/>
      <c r="AX102" s="1712"/>
    </row>
    <row r="103" spans="2:50" s="9" customFormat="1" ht="26" hidden="1" customHeight="1" outlineLevel="2">
      <c r="AW103" s="1712"/>
      <c r="AX103" s="1712"/>
    </row>
    <row r="104" spans="2:50" s="9" customFormat="1" ht="32" hidden="1" customHeight="1" outlineLevel="2">
      <c r="B104" s="113" t="s">
        <v>56</v>
      </c>
      <c r="C104" s="114" t="s">
        <v>57</v>
      </c>
      <c r="D104" s="47" t="s">
        <v>477</v>
      </c>
      <c r="E104" s="47" t="s">
        <v>671</v>
      </c>
      <c r="F104" s="47" t="s">
        <v>672</v>
      </c>
      <c r="G104" s="754" t="s">
        <v>82</v>
      </c>
      <c r="H104" s="114" t="s">
        <v>18</v>
      </c>
      <c r="I104" s="119" t="s">
        <v>112</v>
      </c>
      <c r="J104"/>
      <c r="AW104" s="1712"/>
      <c r="AX104" s="1712"/>
    </row>
    <row r="105" spans="2:50" s="9" customFormat="1" ht="26" hidden="1" customHeight="1" outlineLevel="2">
      <c r="B105" s="120" t="s">
        <v>345</v>
      </c>
      <c r="C105" s="753">
        <f>D567</f>
        <v>0.93</v>
      </c>
      <c r="D105" s="466">
        <f>$D$96</f>
        <v>8.1784386617100371E-2</v>
      </c>
      <c r="E105" s="757">
        <f>C105*$C$101*$C$102</f>
        <v>69060387.598356634</v>
      </c>
      <c r="F105" s="896">
        <f>E105*$C$282</f>
        <v>828724651.18027961</v>
      </c>
      <c r="G105" s="756">
        <f>F105*D105/1000</f>
        <v>67776.737271249644</v>
      </c>
      <c r="H105" s="34" t="s">
        <v>123</v>
      </c>
      <c r="I105" s="2118" t="s">
        <v>1815</v>
      </c>
      <c r="J105"/>
      <c r="AW105" s="1712"/>
      <c r="AX105" s="1712"/>
    </row>
    <row r="106" spans="2:50" s="9" customFormat="1" ht="26" hidden="1" customHeight="1" outlineLevel="2">
      <c r="B106" s="116" t="s">
        <v>1152</v>
      </c>
      <c r="C106" s="753">
        <f>E567</f>
        <v>7.0000000000000007E-2</v>
      </c>
      <c r="D106" s="466">
        <f>$D$97</f>
        <v>0.03</v>
      </c>
      <c r="E106" s="757">
        <f t="shared" ref="E106:E107" si="13">C106*$C$101*$C$102</f>
        <v>5198093.6901988862</v>
      </c>
      <c r="F106" s="896">
        <f>E106*$C$282</f>
        <v>62377124.282386631</v>
      </c>
      <c r="G106" s="756">
        <f>F106*D106/1000</f>
        <v>1871.3137284715988</v>
      </c>
      <c r="H106" s="34" t="s">
        <v>123</v>
      </c>
      <c r="I106" s="2119"/>
      <c r="J106"/>
      <c r="AW106" s="1712"/>
      <c r="AX106" s="1712"/>
    </row>
    <row r="107" spans="2:50" s="9" customFormat="1" ht="26" hidden="1" customHeight="1" outlineLevel="2">
      <c r="B107" s="115" t="s">
        <v>114</v>
      </c>
      <c r="C107" s="753">
        <f>F567</f>
        <v>0</v>
      </c>
      <c r="D107" s="466">
        <f>$D$98</f>
        <v>3.0000000000000001E-3</v>
      </c>
      <c r="E107" s="757">
        <f t="shared" si="13"/>
        <v>0</v>
      </c>
      <c r="F107" s="896">
        <f>E107*$C$282</f>
        <v>0</v>
      </c>
      <c r="G107" s="756">
        <f>F107*D107/1000</f>
        <v>0</v>
      </c>
      <c r="H107" s="34" t="s">
        <v>123</v>
      </c>
      <c r="I107" s="2119"/>
      <c r="J107"/>
      <c r="AW107" s="1712"/>
      <c r="AX107" s="1712"/>
    </row>
    <row r="108" spans="2:50" s="9" customFormat="1" ht="26" hidden="1" customHeight="1" outlineLevel="2">
      <c r="B108" s="10"/>
      <c r="C108" s="10"/>
      <c r="D108" s="10"/>
      <c r="F108" s="41" t="s">
        <v>139</v>
      </c>
      <c r="G108" s="122">
        <f>SUM(G105:G107)</f>
        <v>69648.050999721236</v>
      </c>
      <c r="H108" s="42" t="s">
        <v>123</v>
      </c>
      <c r="J108"/>
      <c r="N108" s="1423"/>
      <c r="AW108" s="1712"/>
      <c r="AX108" s="1712"/>
    </row>
    <row r="109" spans="2:50" s="9" customFormat="1" ht="26" hidden="1" customHeight="1" outlineLevel="2">
      <c r="C109" s="65"/>
      <c r="D109" s="123"/>
      <c r="E109" s="121"/>
      <c r="J109"/>
      <c r="N109" s="898"/>
      <c r="AW109" s="1712"/>
      <c r="AX109" s="1712"/>
    </row>
    <row r="110" spans="2:50" s="9" customFormat="1" ht="26" hidden="1" customHeight="1" outlineLevel="1" collapsed="1">
      <c r="B110" s="758" t="s">
        <v>673</v>
      </c>
      <c r="C110" s="65"/>
      <c r="D110" s="123"/>
      <c r="E110" s="121"/>
      <c r="AW110" s="1712"/>
      <c r="AX110" s="1712"/>
    </row>
    <row r="111" spans="2:50" s="9" customFormat="1" ht="26" hidden="1" customHeight="1" outlineLevel="3">
      <c r="B111" s="121" t="s">
        <v>426</v>
      </c>
      <c r="C111" s="65"/>
      <c r="D111" s="123"/>
      <c r="E111" s="121"/>
      <c r="AW111" s="1712"/>
      <c r="AX111" s="1712"/>
    </row>
    <row r="112" spans="2:50" s="9" customFormat="1" ht="26" hidden="1" customHeight="1" outlineLevel="3">
      <c r="B112" s="1012" t="s">
        <v>712</v>
      </c>
      <c r="C112" s="65"/>
      <c r="D112" s="123"/>
      <c r="E112" s="121"/>
      <c r="AW112" s="1712"/>
      <c r="AX112" s="1712"/>
    </row>
    <row r="113" spans="1:50" s="9" customFormat="1" ht="26" hidden="1" customHeight="1" outlineLevel="3">
      <c r="B113" s="1012"/>
      <c r="C113" s="65"/>
      <c r="D113" s="123"/>
      <c r="E113" s="121"/>
      <c r="AW113" s="1712"/>
      <c r="AX113" s="1712"/>
    </row>
    <row r="114" spans="1:50" s="9" customFormat="1" ht="26" hidden="1" customHeight="1" outlineLevel="3">
      <c r="B114" s="158" t="s">
        <v>605</v>
      </c>
      <c r="C114" s="65"/>
      <c r="D114" s="123"/>
      <c r="E114" s="121"/>
      <c r="AW114" s="1712"/>
      <c r="AX114" s="1712"/>
    </row>
    <row r="115" spans="1:50" s="9" customFormat="1" ht="26" hidden="1" customHeight="1" outlineLevel="3">
      <c r="B115" s="34" t="s">
        <v>215</v>
      </c>
      <c r="C115" s="99">
        <f>C82</f>
        <v>48824.96276177407</v>
      </c>
      <c r="D115" s="2123" t="s">
        <v>1151</v>
      </c>
      <c r="E115" s="2124"/>
      <c r="F115" s="2125"/>
      <c r="AW115" s="1712"/>
      <c r="AX115" s="1712"/>
    </row>
    <row r="116" spans="1:50" s="9" customFormat="1" ht="32" hidden="1" customHeight="1" outlineLevel="3">
      <c r="B116" s="56" t="s">
        <v>217</v>
      </c>
      <c r="C116" s="1116">
        <f>C83</f>
        <v>800</v>
      </c>
      <c r="D116" s="1911" t="s">
        <v>1074</v>
      </c>
      <c r="E116" s="1911"/>
      <c r="F116" s="1911"/>
      <c r="G116" s="868"/>
      <c r="AW116" s="1712"/>
      <c r="AX116" s="1712"/>
    </row>
    <row r="117" spans="1:50" s="9" customFormat="1" ht="44" hidden="1" customHeight="1" outlineLevel="3">
      <c r="B117" s="56" t="s">
        <v>1102</v>
      </c>
      <c r="C117" s="1116">
        <f>10*2/3</f>
        <v>6.666666666666667</v>
      </c>
      <c r="D117" s="2112" t="str">
        <f>$B$541</f>
        <v>HX : D'après FFF et Utopies, il y en moyenne 10 rencontres hors championnat par saison. On considère ce chiffre comme équivalent pour le rugby. On fait l'hypothèse qu'environ 2/3 des rencontres hors championnat ont lieu sur un terrain à l'extérieur.</v>
      </c>
      <c r="E117" s="2113"/>
      <c r="F117" s="2114"/>
      <c r="G117" s="427"/>
      <c r="AW117" s="1712"/>
      <c r="AX117" s="1712"/>
    </row>
    <row r="118" spans="1:50" s="9" customFormat="1" ht="26" hidden="1" customHeight="1" outlineLevel="3">
      <c r="A118"/>
      <c r="B118"/>
      <c r="C118"/>
      <c r="D118"/>
      <c r="E118"/>
      <c r="F118"/>
      <c r="G118"/>
      <c r="AW118" s="1712"/>
      <c r="AX118" s="1712"/>
    </row>
    <row r="119" spans="1:50" s="9" customFormat="1" ht="26" hidden="1" customHeight="1" outlineLevel="3">
      <c r="B119" s="113" t="s">
        <v>56</v>
      </c>
      <c r="C119" s="114" t="s">
        <v>57</v>
      </c>
      <c r="D119" s="47" t="s">
        <v>477</v>
      </c>
      <c r="E119" s="47" t="s">
        <v>671</v>
      </c>
      <c r="F119" s="47" t="s">
        <v>672</v>
      </c>
      <c r="G119" s="754" t="s">
        <v>82</v>
      </c>
      <c r="H119" s="114" t="s">
        <v>18</v>
      </c>
      <c r="I119" s="119" t="s">
        <v>112</v>
      </c>
      <c r="AW119" s="1712"/>
      <c r="AX119" s="1712"/>
    </row>
    <row r="120" spans="1:50" s="9" customFormat="1" ht="26" hidden="1" customHeight="1" outlineLevel="3">
      <c r="B120" s="120" t="s">
        <v>345</v>
      </c>
      <c r="C120" s="753">
        <f>C86</f>
        <v>0.5625</v>
      </c>
      <c r="D120" s="466">
        <f>$H$190</f>
        <v>8.1784386617100371E-2</v>
      </c>
      <c r="E120" s="757">
        <f>C120*$C$115*$C$116</f>
        <v>21971233.242798332</v>
      </c>
      <c r="F120" s="896">
        <f>E120*$C$117</f>
        <v>146474888.28532222</v>
      </c>
      <c r="G120" s="756">
        <f>F120*D120/1000</f>
        <v>11979.35889322338</v>
      </c>
      <c r="H120" s="34" t="s">
        <v>123</v>
      </c>
      <c r="I120" s="2117" t="s">
        <v>674</v>
      </c>
      <c r="J120"/>
      <c r="AW120" s="1712"/>
      <c r="AX120" s="1712"/>
    </row>
    <row r="121" spans="1:50" s="9" customFormat="1" ht="26" hidden="1" customHeight="1" outlineLevel="3">
      <c r="B121" s="116" t="s">
        <v>653</v>
      </c>
      <c r="C121" s="753">
        <f t="shared" ref="C121:C123" si="14">C87</f>
        <v>0.42624999999999991</v>
      </c>
      <c r="D121" s="466">
        <f>$C$184</f>
        <v>0.03</v>
      </c>
      <c r="E121" s="757">
        <f t="shared" ref="E121:E123" si="15">C121*$C$115*$C$116</f>
        <v>16649312.301764954</v>
      </c>
      <c r="F121" s="896">
        <f>E121*$C$266</f>
        <v>249739684.5264743</v>
      </c>
      <c r="G121" s="756">
        <f t="shared" ref="G121" si="16">F121*D121/1000</f>
        <v>7492.1905357942287</v>
      </c>
      <c r="H121" s="34" t="s">
        <v>123</v>
      </c>
      <c r="I121" s="2117"/>
      <c r="J121"/>
      <c r="AW121" s="1712"/>
      <c r="AX121" s="1712"/>
    </row>
    <row r="122" spans="1:50" s="9" customFormat="1" ht="26" hidden="1" customHeight="1" outlineLevel="3">
      <c r="B122" s="115" t="s">
        <v>114</v>
      </c>
      <c r="C122" s="753">
        <f t="shared" si="14"/>
        <v>1.125E-2</v>
      </c>
      <c r="D122" s="466">
        <f>$C$187</f>
        <v>3.0000000000000001E-3</v>
      </c>
      <c r="E122" s="757">
        <f t="shared" si="15"/>
        <v>439424.66485596658</v>
      </c>
      <c r="F122" s="896">
        <f>E122*$C$266</f>
        <v>6591369.9728394989</v>
      </c>
      <c r="G122" s="756">
        <f>F122*D122/1000</f>
        <v>19.774109918518498</v>
      </c>
      <c r="H122" s="34" t="s">
        <v>123</v>
      </c>
      <c r="I122" s="2117"/>
      <c r="J122"/>
      <c r="AW122" s="1712"/>
      <c r="AX122" s="1712"/>
    </row>
    <row r="123" spans="1:50" s="9" customFormat="1" ht="26" hidden="1" customHeight="1" outlineLevel="3">
      <c r="B123" s="116" t="s">
        <v>654</v>
      </c>
      <c r="C123" s="753">
        <f t="shared" si="14"/>
        <v>3.7499999999999999E-3</v>
      </c>
      <c r="D123" s="466">
        <f>$C$185</f>
        <v>0.26</v>
      </c>
      <c r="E123" s="757">
        <f t="shared" si="15"/>
        <v>146474.8882853222</v>
      </c>
      <c r="F123" s="896">
        <f>E123*$C$266</f>
        <v>2197123.3242798331</v>
      </c>
      <c r="G123" s="756">
        <f t="shared" ref="G123" si="17">F123*D123/1000</f>
        <v>571.2520643127566</v>
      </c>
      <c r="H123" s="34" t="s">
        <v>123</v>
      </c>
      <c r="I123" s="2117"/>
      <c r="J123"/>
      <c r="AW123" s="1712"/>
      <c r="AX123" s="1712"/>
    </row>
    <row r="124" spans="1:50" s="9" customFormat="1" ht="26" hidden="1" customHeight="1" outlineLevel="3">
      <c r="B124" s="10"/>
      <c r="C124" s="10"/>
      <c r="D124" s="10"/>
      <c r="E124" s="10"/>
      <c r="F124" s="41" t="s">
        <v>139</v>
      </c>
      <c r="G124" s="122">
        <f>SUM(G120:G123)</f>
        <v>20062.575603248883</v>
      </c>
      <c r="H124" s="42" t="s">
        <v>123</v>
      </c>
      <c r="J124"/>
      <c r="AW124" s="1712"/>
      <c r="AX124" s="1712"/>
    </row>
    <row r="125" spans="1:50" s="9" customFormat="1" ht="26" hidden="1" customHeight="1" outlineLevel="3">
      <c r="B125" s="158" t="s">
        <v>606</v>
      </c>
      <c r="C125" s="65"/>
      <c r="D125" s="123"/>
      <c r="E125" s="123"/>
      <c r="J125"/>
      <c r="AW125" s="1712"/>
      <c r="AX125" s="1712"/>
    </row>
    <row r="126" spans="1:50" s="9" customFormat="1" ht="26" hidden="1" customHeight="1" outlineLevel="3">
      <c r="B126" s="34" t="s">
        <v>215</v>
      </c>
      <c r="C126" s="99">
        <f>C92</f>
        <v>251895.52499999999</v>
      </c>
      <c r="D126" s="2123" t="s">
        <v>1151</v>
      </c>
      <c r="E126" s="2124"/>
      <c r="F126" s="2125"/>
      <c r="J126"/>
      <c r="AW126" s="1712"/>
      <c r="AX126" s="1712"/>
    </row>
    <row r="127" spans="1:50" s="9" customFormat="1" ht="26" hidden="1" customHeight="1" outlineLevel="3">
      <c r="B127" s="56" t="s">
        <v>217</v>
      </c>
      <c r="C127" s="1116">
        <f>C93</f>
        <v>230</v>
      </c>
      <c r="D127" s="1911" t="s">
        <v>1074</v>
      </c>
      <c r="E127" s="1911"/>
      <c r="F127" s="1911"/>
      <c r="J127"/>
      <c r="AW127" s="1712"/>
      <c r="AX127" s="1712"/>
    </row>
    <row r="128" spans="1:50" s="9" customFormat="1" ht="44" hidden="1" customHeight="1" outlineLevel="3">
      <c r="B128" s="56" t="s">
        <v>1102</v>
      </c>
      <c r="C128" s="1116">
        <f>10*2/3</f>
        <v>6.666666666666667</v>
      </c>
      <c r="D128" s="2112" t="str">
        <f>$B$541</f>
        <v>HX : D'après FFF et Utopies, il y en moyenne 10 rencontres hors championnat par saison. On considère ce chiffre comme équivalent pour le rugby. On fait l'hypothèse qu'environ 2/3 des rencontres hors championnat ont lieu sur un terrain à l'extérieur.</v>
      </c>
      <c r="E128" s="2113"/>
      <c r="F128" s="2114"/>
      <c r="G128" s="427"/>
      <c r="J128"/>
      <c r="AW128" s="1712"/>
      <c r="AX128" s="1712"/>
    </row>
    <row r="129" spans="2:50" s="9" customFormat="1" ht="26" hidden="1" customHeight="1" outlineLevel="3">
      <c r="J129"/>
      <c r="AW129" s="1712"/>
      <c r="AX129" s="1712"/>
    </row>
    <row r="130" spans="2:50" s="9" customFormat="1" ht="26" hidden="1" customHeight="1" outlineLevel="3">
      <c r="B130" s="113" t="s">
        <v>56</v>
      </c>
      <c r="C130" s="229" t="s">
        <v>57</v>
      </c>
      <c r="D130" s="47" t="s">
        <v>477</v>
      </c>
      <c r="E130" s="47" t="s">
        <v>671</v>
      </c>
      <c r="F130" s="47" t="s">
        <v>672</v>
      </c>
      <c r="G130" s="754" t="s">
        <v>82</v>
      </c>
      <c r="H130" s="114" t="s">
        <v>18</v>
      </c>
      <c r="I130" s="119" t="s">
        <v>112</v>
      </c>
      <c r="J130"/>
      <c r="AW130" s="1712"/>
      <c r="AX130" s="1712"/>
    </row>
    <row r="131" spans="2:50" s="9" customFormat="1" ht="26" hidden="1" customHeight="1" outlineLevel="3">
      <c r="B131" s="120" t="s">
        <v>345</v>
      </c>
      <c r="C131" s="753">
        <f>C96</f>
        <v>0.69</v>
      </c>
      <c r="D131" s="466">
        <f>$D$86</f>
        <v>8.1784386617100371E-2</v>
      </c>
      <c r="E131" s="757">
        <f>C131*$C$126*$C$127</f>
        <v>39975819.817499995</v>
      </c>
      <c r="F131" s="896">
        <f>E131*$C$128</f>
        <v>266505465.44999999</v>
      </c>
      <c r="G131" s="756">
        <f>F131*D131/1000</f>
        <v>21795.986021933088</v>
      </c>
      <c r="H131" s="34" t="s">
        <v>123</v>
      </c>
      <c r="I131" s="2140" t="s">
        <v>674</v>
      </c>
      <c r="J131"/>
      <c r="AW131" s="1712"/>
      <c r="AX131" s="1712"/>
    </row>
    <row r="132" spans="2:50" s="9" customFormat="1" ht="26" hidden="1" customHeight="1" outlineLevel="3">
      <c r="B132" s="116" t="s">
        <v>653</v>
      </c>
      <c r="C132" s="753">
        <f t="shared" ref="C132:C133" si="18">C97</f>
        <v>0.3</v>
      </c>
      <c r="D132" s="466">
        <f>$D$87</f>
        <v>0.03</v>
      </c>
      <c r="E132" s="757">
        <f>C132*$C$126*$C$127</f>
        <v>17380791.225000001</v>
      </c>
      <c r="F132" s="896">
        <f t="shared" ref="F132" si="19">E132*$C$128</f>
        <v>115871941.50000001</v>
      </c>
      <c r="G132" s="756">
        <f t="shared" ref="G132" si="20">F132*D132/1000</f>
        <v>3476.1582450000001</v>
      </c>
      <c r="H132" s="34" t="s">
        <v>123</v>
      </c>
      <c r="I132" s="2141"/>
      <c r="J132"/>
      <c r="AW132" s="1712"/>
      <c r="AX132" s="1712"/>
    </row>
    <row r="133" spans="2:50" s="9" customFormat="1" ht="26" hidden="1" customHeight="1" outlineLevel="3">
      <c r="B133" s="115" t="s">
        <v>114</v>
      </c>
      <c r="C133" s="753">
        <f t="shared" si="18"/>
        <v>0.01</v>
      </c>
      <c r="D133" s="466">
        <f>$D$88</f>
        <v>3.0000000000000001E-3</v>
      </c>
      <c r="E133" s="757">
        <f t="shared" ref="E133" si="21">C133*$C$126*$C$127</f>
        <v>579359.70750000002</v>
      </c>
      <c r="F133" s="896">
        <f>E133*$C$128</f>
        <v>3862398.0500000003</v>
      </c>
      <c r="G133" s="756">
        <f>F133*D133/1000</f>
        <v>11.587194150000002</v>
      </c>
      <c r="H133" s="34" t="s">
        <v>123</v>
      </c>
      <c r="I133" s="2141"/>
      <c r="J133"/>
      <c r="AW133" s="1712"/>
      <c r="AX133" s="1712"/>
    </row>
    <row r="134" spans="2:50" s="9" customFormat="1" ht="26" hidden="1" customHeight="1" outlineLevel="3">
      <c r="B134" s="10"/>
      <c r="C134" s="10"/>
      <c r="D134" s="10"/>
      <c r="E134" s="10"/>
      <c r="F134" s="41" t="s">
        <v>139</v>
      </c>
      <c r="G134" s="122">
        <f>SUM(G131:G133)</f>
        <v>25283.731461083087</v>
      </c>
      <c r="H134" s="42" t="s">
        <v>123</v>
      </c>
      <c r="I134"/>
      <c r="J134"/>
      <c r="AW134" s="1712"/>
      <c r="AX134" s="1712"/>
    </row>
    <row r="135" spans="2:50" s="9" customFormat="1" ht="26" hidden="1" customHeight="1" outlineLevel="3">
      <c r="B135" s="158" t="s">
        <v>607</v>
      </c>
      <c r="C135" s="65"/>
      <c r="D135" s="123"/>
      <c r="E135" s="123"/>
      <c r="J135"/>
      <c r="AW135" s="1712"/>
      <c r="AX135" s="1712"/>
    </row>
    <row r="136" spans="2:50" s="9" customFormat="1" ht="26" hidden="1" customHeight="1" outlineLevel="3">
      <c r="B136" s="34" t="s">
        <v>215</v>
      </c>
      <c r="C136" s="99">
        <f>C101</f>
        <v>1237641.3548092586</v>
      </c>
      <c r="D136" s="2123" t="s">
        <v>1151</v>
      </c>
      <c r="E136" s="2124"/>
      <c r="F136" s="2125"/>
      <c r="J136"/>
      <c r="AW136" s="1712"/>
      <c r="AX136" s="1712"/>
    </row>
    <row r="137" spans="2:50" s="9" customFormat="1" ht="26" hidden="1" customHeight="1" outlineLevel="3">
      <c r="B137" s="56" t="s">
        <v>217</v>
      </c>
      <c r="C137" s="1116">
        <f>C102</f>
        <v>60</v>
      </c>
      <c r="D137" s="1911" t="s">
        <v>1074</v>
      </c>
      <c r="E137" s="1911"/>
      <c r="F137" s="1911"/>
      <c r="J137"/>
      <c r="AW137" s="1712"/>
      <c r="AX137" s="1712"/>
    </row>
    <row r="138" spans="2:50" s="9" customFormat="1" ht="46" hidden="1" customHeight="1" outlineLevel="3">
      <c r="B138" s="56" t="s">
        <v>1102</v>
      </c>
      <c r="C138" s="1116">
        <f>10*2/3</f>
        <v>6.666666666666667</v>
      </c>
      <c r="D138" s="2112" t="str">
        <f>$B$541</f>
        <v>HX : D'après FFF et Utopies, il y en moyenne 10 rencontres hors championnat par saison. On considère ce chiffre comme équivalent pour le rugby. On fait l'hypothèse qu'environ 2/3 des rencontres hors championnat ont lieu sur un terrain à l'extérieur.</v>
      </c>
      <c r="E138" s="2113"/>
      <c r="F138" s="2114"/>
      <c r="G138" s="427"/>
      <c r="J138"/>
      <c r="AW138" s="1712"/>
      <c r="AX138" s="1712"/>
    </row>
    <row r="139" spans="2:50" customFormat="1" ht="26" hidden="1" customHeight="1" outlineLevel="3">
      <c r="AW139" s="1640"/>
      <c r="AX139" s="1640"/>
    </row>
    <row r="140" spans="2:50" s="9" customFormat="1" ht="26" hidden="1" customHeight="1" outlineLevel="3">
      <c r="B140" s="113" t="s">
        <v>56</v>
      </c>
      <c r="C140" s="229" t="s">
        <v>57</v>
      </c>
      <c r="D140" s="47" t="s">
        <v>477</v>
      </c>
      <c r="E140" s="47" t="s">
        <v>671</v>
      </c>
      <c r="F140" s="47" t="s">
        <v>672</v>
      </c>
      <c r="G140" s="754" t="s">
        <v>82</v>
      </c>
      <c r="H140" s="114" t="s">
        <v>18</v>
      </c>
      <c r="I140" s="119" t="s">
        <v>112</v>
      </c>
      <c r="J140"/>
      <c r="AW140" s="1712"/>
      <c r="AX140" s="1712"/>
    </row>
    <row r="141" spans="2:50" s="9" customFormat="1" ht="26" hidden="1" customHeight="1" outlineLevel="3">
      <c r="B141" s="120" t="s">
        <v>345</v>
      </c>
      <c r="C141" s="753">
        <f>C105</f>
        <v>0.93</v>
      </c>
      <c r="D141" s="466">
        <f>$D$96</f>
        <v>8.1784386617100371E-2</v>
      </c>
      <c r="E141" s="757">
        <f>C141*$C$136*$C$137</f>
        <v>69060387.598356634</v>
      </c>
      <c r="F141" s="896">
        <f>E141*$C$138</f>
        <v>460402583.98904425</v>
      </c>
      <c r="G141" s="756">
        <f>F141*D141/1000</f>
        <v>37653.74292847202</v>
      </c>
      <c r="H141" s="34" t="s">
        <v>123</v>
      </c>
      <c r="I141" s="2118" t="str">
        <f>I105</f>
        <v>H4 : Pour les parts modales, on utilise celles issues de (2) et on les modifie en attribuant la part de mobilité douce au car (pas de mobilité douce car ici visiteurs). On corrige à la marge en réatribuant 5 points de pourcentage suite aux retours des consultations post RI.</v>
      </c>
      <c r="J141"/>
      <c r="AW141" s="1712"/>
      <c r="AX141" s="1712"/>
    </row>
    <row r="142" spans="2:50" s="9" customFormat="1" ht="26" hidden="1" customHeight="1" outlineLevel="3">
      <c r="B142" s="116" t="s">
        <v>653</v>
      </c>
      <c r="C142" s="753">
        <f t="shared" ref="C142:C143" si="22">C106</f>
        <v>7.0000000000000007E-2</v>
      </c>
      <c r="D142" s="466">
        <f>$D$97</f>
        <v>0.03</v>
      </c>
      <c r="E142" s="757">
        <f t="shared" ref="E142" si="23">C142*$C$136*$C$137</f>
        <v>5198093.6901988862</v>
      </c>
      <c r="F142" s="896">
        <f t="shared" ref="F142:F143" si="24">E142*$C$138</f>
        <v>34653957.934659243</v>
      </c>
      <c r="G142" s="756">
        <f>F142*D142/1000</f>
        <v>1039.6187380397773</v>
      </c>
      <c r="H142" s="34" t="s">
        <v>123</v>
      </c>
      <c r="I142" s="2119"/>
      <c r="J142"/>
      <c r="AW142" s="1712"/>
      <c r="AX142" s="1712"/>
    </row>
    <row r="143" spans="2:50" s="9" customFormat="1" ht="26" hidden="1" customHeight="1" outlineLevel="3">
      <c r="B143" s="115" t="s">
        <v>114</v>
      </c>
      <c r="C143" s="753">
        <f t="shared" si="22"/>
        <v>0</v>
      </c>
      <c r="D143" s="466">
        <f>$D$98</f>
        <v>3.0000000000000001E-3</v>
      </c>
      <c r="E143" s="757">
        <f>C143*$C$136*$C$137</f>
        <v>0</v>
      </c>
      <c r="F143" s="896">
        <f t="shared" si="24"/>
        <v>0</v>
      </c>
      <c r="G143" s="756">
        <f>F143*D143/1000</f>
        <v>0</v>
      </c>
      <c r="H143" s="34" t="s">
        <v>123</v>
      </c>
      <c r="I143" s="2119"/>
      <c r="J143"/>
      <c r="AW143" s="1712"/>
      <c r="AX143" s="1712"/>
    </row>
    <row r="144" spans="2:50" s="9" customFormat="1" ht="26" hidden="1" customHeight="1" outlineLevel="3">
      <c r="B144" s="1012"/>
      <c r="C144" s="65"/>
      <c r="D144" s="123"/>
      <c r="E144" s="121"/>
      <c r="F144" s="41" t="s">
        <v>139</v>
      </c>
      <c r="G144" s="122">
        <f>SUM(G141:G143)</f>
        <v>38693.361666511795</v>
      </c>
      <c r="H144" s="42" t="s">
        <v>123</v>
      </c>
      <c r="AW144" s="1712"/>
      <c r="AX144" s="1712"/>
    </row>
    <row r="145" spans="2:50" s="9" customFormat="1" ht="26" hidden="1" customHeight="1" outlineLevel="1" collapsed="1">
      <c r="C145" s="65"/>
      <c r="D145" s="123"/>
      <c r="E145" s="121"/>
      <c r="H145" s="10"/>
      <c r="AW145" s="1712"/>
      <c r="AX145" s="1712"/>
    </row>
    <row r="146" spans="2:50" s="9" customFormat="1" ht="26" customHeight="1" collapsed="1">
      <c r="C146" s="65"/>
      <c r="D146" s="123"/>
      <c r="E146" s="121"/>
      <c r="H146" s="10"/>
      <c r="AW146" s="1712"/>
      <c r="AX146" s="1712"/>
    </row>
    <row r="147" spans="2:50" s="9" customFormat="1" ht="26" customHeight="1">
      <c r="B147" s="927" t="s">
        <v>1342</v>
      </c>
      <c r="C147" s="5"/>
      <c r="D147" s="5"/>
      <c r="E147" s="5"/>
      <c r="F147" s="5"/>
      <c r="G147" s="5"/>
      <c r="H147" s="10"/>
      <c r="AW147" s="1712"/>
      <c r="AX147" s="1712"/>
    </row>
    <row r="148" spans="2:50" s="9" customFormat="1" ht="26" customHeight="1" thickBot="1">
      <c r="B148" s="427"/>
      <c r="C148" s="5"/>
      <c r="D148"/>
      <c r="E148"/>
      <c r="F148"/>
      <c r="G148"/>
      <c r="H148" s="10"/>
      <c r="AW148" s="1712"/>
      <c r="AX148" s="1712"/>
    </row>
    <row r="149" spans="2:50" s="9" customFormat="1" ht="26" customHeight="1" thickBot="1">
      <c r="B149" s="930"/>
      <c r="C149" s="931"/>
      <c r="D149" s="2115" t="s">
        <v>692</v>
      </c>
      <c r="E149" s="2116"/>
      <c r="F149" s="2115" t="s">
        <v>710</v>
      </c>
      <c r="G149" s="2116"/>
      <c r="H149" s="2115" t="s">
        <v>711</v>
      </c>
      <c r="I149" s="2116"/>
      <c r="J149" s="930"/>
      <c r="AW149" s="1712"/>
      <c r="AX149" s="1712"/>
    </row>
    <row r="150" spans="2:50" s="9" customFormat="1" ht="26" customHeight="1" thickBot="1">
      <c r="B150" s="930"/>
      <c r="C150" s="932"/>
      <c r="D150" s="932" t="s">
        <v>667</v>
      </c>
      <c r="E150" s="933" t="s">
        <v>668</v>
      </c>
      <c r="F150" s="932" t="s">
        <v>667</v>
      </c>
      <c r="G150" s="933" t="s">
        <v>668</v>
      </c>
      <c r="H150" s="932" t="s">
        <v>667</v>
      </c>
      <c r="I150" s="934" t="s">
        <v>668</v>
      </c>
      <c r="J150" s="935" t="s">
        <v>26</v>
      </c>
      <c r="AW150" s="1712"/>
      <c r="AX150" s="1712"/>
    </row>
    <row r="151" spans="2:50" s="9" customFormat="1" ht="34" customHeight="1" thickBot="1">
      <c r="B151" s="936" t="s">
        <v>343</v>
      </c>
      <c r="C151" s="937" t="s">
        <v>1285</v>
      </c>
      <c r="D151" s="938">
        <f>C38</f>
        <v>308824.96276177408</v>
      </c>
      <c r="E151" s="939">
        <f>C82</f>
        <v>48824.96276177407</v>
      </c>
      <c r="F151" s="940">
        <f>D314</f>
        <v>380121.12950000004</v>
      </c>
      <c r="G151" s="941">
        <f>C92</f>
        <v>251895.52499999999</v>
      </c>
      <c r="H151" s="940">
        <f>E314</f>
        <v>1877804.9670077153</v>
      </c>
      <c r="I151" s="942">
        <f>C101</f>
        <v>1237641.3548092586</v>
      </c>
      <c r="J151" s="999"/>
      <c r="AW151" s="1712"/>
      <c r="AX151" s="1712"/>
    </row>
    <row r="152" spans="2:50" s="9" customFormat="1" ht="35" customHeight="1">
      <c r="B152" s="2132" t="s">
        <v>344</v>
      </c>
      <c r="C152" s="943" t="s">
        <v>1103</v>
      </c>
      <c r="D152" s="944">
        <f>C266+C65</f>
        <v>18.333333333333332</v>
      </c>
      <c r="E152" s="1148">
        <f>$C$117+$C$266</f>
        <v>21.666666666666668</v>
      </c>
      <c r="F152" s="997">
        <f>C274+C65</f>
        <v>15.333333333333334</v>
      </c>
      <c r="G152" s="1148">
        <f>$C$128+$C$274</f>
        <v>18.666666666666668</v>
      </c>
      <c r="H152" s="945">
        <f>C282+C65</f>
        <v>15.333333333333334</v>
      </c>
      <c r="I152" s="1148">
        <f>$C$138+$C$282</f>
        <v>18.666666666666668</v>
      </c>
      <c r="J152" s="1000"/>
      <c r="AW152" s="1712"/>
      <c r="AX152" s="1712"/>
    </row>
    <row r="153" spans="2:50" s="9" customFormat="1" ht="26" customHeight="1" thickBot="1">
      <c r="B153" s="2133"/>
      <c r="C153" s="946" t="s">
        <v>1098</v>
      </c>
      <c r="D153" s="947">
        <f>$C$39</f>
        <v>20.445274671860105</v>
      </c>
      <c r="E153" s="948">
        <f>$C$83</f>
        <v>800</v>
      </c>
      <c r="F153" s="947">
        <f>$C$39</f>
        <v>20.445274671860105</v>
      </c>
      <c r="G153" s="949">
        <f>$C$93</f>
        <v>230</v>
      </c>
      <c r="H153" s="947">
        <f>$C$39</f>
        <v>20.445274671860105</v>
      </c>
      <c r="I153" s="950">
        <f>$C$102</f>
        <v>60</v>
      </c>
      <c r="J153" s="1001"/>
      <c r="AW153" s="1712"/>
      <c r="AX153" s="1712"/>
    </row>
    <row r="154" spans="2:50" s="9" customFormat="1" ht="26" customHeight="1">
      <c r="B154" s="2132" t="s">
        <v>57</v>
      </c>
      <c r="C154" s="951" t="s">
        <v>694</v>
      </c>
      <c r="D154" s="952">
        <f>C43</f>
        <v>0.71956183922091654</v>
      </c>
      <c r="E154" s="953">
        <f>C86</f>
        <v>0.5625</v>
      </c>
      <c r="F154" s="954">
        <f>D154</f>
        <v>0.71956183922091654</v>
      </c>
      <c r="G154" s="955">
        <f>C96</f>
        <v>0.69</v>
      </c>
      <c r="H154" s="954">
        <f>F154</f>
        <v>0.71956183922091654</v>
      </c>
      <c r="I154" s="956">
        <f>C105</f>
        <v>0.93</v>
      </c>
      <c r="J154" s="1002"/>
      <c r="AW154" s="1712"/>
      <c r="AX154" s="1712"/>
    </row>
    <row r="155" spans="2:50" s="9" customFormat="1" ht="26" customHeight="1">
      <c r="B155" s="2134"/>
      <c r="C155" s="957" t="s">
        <v>695</v>
      </c>
      <c r="D155" s="958">
        <f>C46</f>
        <v>0.2478097748223648</v>
      </c>
      <c r="E155" s="959"/>
      <c r="F155" s="960">
        <f>D155</f>
        <v>0.2478097748223648</v>
      </c>
      <c r="G155" s="961"/>
      <c r="H155" s="960">
        <f>F155</f>
        <v>0.2478097748223648</v>
      </c>
      <c r="I155" s="962"/>
      <c r="J155" s="1003"/>
      <c r="AW155" s="1712"/>
      <c r="AX155" s="1712"/>
    </row>
    <row r="156" spans="2:50" s="9" customFormat="1" ht="26" customHeight="1">
      <c r="B156" s="2134"/>
      <c r="C156" s="957" t="s">
        <v>696</v>
      </c>
      <c r="D156" s="958">
        <f>C44</f>
        <v>1.7693291138859535E-2</v>
      </c>
      <c r="E156" s="959"/>
      <c r="F156" s="960">
        <f t="shared" ref="F156:F157" si="25">D156</f>
        <v>1.7693291138859535E-2</v>
      </c>
      <c r="G156" s="963"/>
      <c r="H156" s="960">
        <f t="shared" ref="H156:H157" si="26">F156</f>
        <v>1.7693291138859535E-2</v>
      </c>
      <c r="I156" s="962"/>
      <c r="J156" s="1003"/>
      <c r="AW156" s="1712"/>
      <c r="AX156" s="1712"/>
    </row>
    <row r="157" spans="2:50" s="9" customFormat="1" ht="26" customHeight="1">
      <c r="B157" s="2134"/>
      <c r="C157" s="957" t="s">
        <v>697</v>
      </c>
      <c r="D157" s="958">
        <f>C45</f>
        <v>1.4935094817859096E-2</v>
      </c>
      <c r="E157" s="959"/>
      <c r="F157" s="960">
        <f t="shared" si="25"/>
        <v>1.4935094817859096E-2</v>
      </c>
      <c r="G157" s="963"/>
      <c r="H157" s="960">
        <f t="shared" si="26"/>
        <v>1.4935094817859096E-2</v>
      </c>
      <c r="I157" s="962"/>
      <c r="J157" s="1003"/>
      <c r="AW157" s="1712"/>
      <c r="AX157" s="1712"/>
    </row>
    <row r="158" spans="2:50" s="9" customFormat="1" ht="26" customHeight="1">
      <c r="B158" s="2134"/>
      <c r="C158" s="957" t="s">
        <v>698</v>
      </c>
      <c r="D158" s="958"/>
      <c r="E158" s="1428">
        <f>C88</f>
        <v>1.125E-2</v>
      </c>
      <c r="F158" s="960"/>
      <c r="G158" s="1443">
        <f>C98</f>
        <v>0.01</v>
      </c>
      <c r="H158" s="960"/>
      <c r="I158" s="962">
        <v>0</v>
      </c>
      <c r="J158" s="1003"/>
      <c r="AW158" s="1712"/>
      <c r="AX158" s="1712"/>
    </row>
    <row r="159" spans="2:50" s="9" customFormat="1" ht="26" customHeight="1">
      <c r="B159" s="2134"/>
      <c r="C159" s="957" t="s">
        <v>699</v>
      </c>
      <c r="D159" s="958"/>
      <c r="E159" s="964">
        <f>C87</f>
        <v>0.42624999999999991</v>
      </c>
      <c r="F159" s="960"/>
      <c r="G159" s="965">
        <f>C97</f>
        <v>0.3</v>
      </c>
      <c r="H159" s="966"/>
      <c r="I159" s="996">
        <f>C106</f>
        <v>7.0000000000000007E-2</v>
      </c>
      <c r="J159" s="1003"/>
      <c r="AW159" s="1712"/>
      <c r="AX159" s="1712"/>
    </row>
    <row r="160" spans="2:50" s="9" customFormat="1" ht="26" customHeight="1" thickBot="1">
      <c r="B160" s="2133"/>
      <c r="C160" s="967" t="s">
        <v>700</v>
      </c>
      <c r="D160" s="968"/>
      <c r="E160" s="1429">
        <f>C89</f>
        <v>3.7499999999999999E-3</v>
      </c>
      <c r="F160" s="969"/>
      <c r="G160" s="970"/>
      <c r="H160" s="971"/>
      <c r="I160" s="972"/>
      <c r="J160" s="1004"/>
      <c r="AW160" s="1712"/>
      <c r="AX160" s="1712"/>
    </row>
    <row r="161" spans="2:50" s="9" customFormat="1" ht="30" customHeight="1">
      <c r="B161" s="2132" t="s">
        <v>346</v>
      </c>
      <c r="C161" s="1005" t="s">
        <v>701</v>
      </c>
      <c r="D161" s="973">
        <f>D43</f>
        <v>0.11764705882352941</v>
      </c>
      <c r="E161" s="974"/>
      <c r="F161" s="975">
        <f>D161</f>
        <v>0.11764705882352941</v>
      </c>
      <c r="G161" s="976"/>
      <c r="H161" s="975">
        <f>D161</f>
        <v>0.11764705882352941</v>
      </c>
      <c r="I161" s="977"/>
      <c r="J161" s="1002"/>
      <c r="AW161" s="1712"/>
      <c r="AX161" s="1712"/>
    </row>
    <row r="162" spans="2:50" s="9" customFormat="1" ht="30" customHeight="1">
      <c r="B162" s="2134"/>
      <c r="C162" s="1006" t="s">
        <v>702</v>
      </c>
      <c r="D162" s="978"/>
      <c r="E162" s="979">
        <f>D86</f>
        <v>8.1784386617100371E-2</v>
      </c>
      <c r="F162" s="980"/>
      <c r="G162" s="981">
        <f>E162</f>
        <v>8.1784386617100371E-2</v>
      </c>
      <c r="H162" s="980"/>
      <c r="I162" s="982">
        <f>G162</f>
        <v>8.1784386617100371E-2</v>
      </c>
      <c r="J162" s="1003"/>
      <c r="AW162" s="1712"/>
      <c r="AX162" s="1712"/>
    </row>
    <row r="163" spans="2:50" s="9" customFormat="1" ht="30" customHeight="1">
      <c r="B163" s="2134"/>
      <c r="C163" s="1006" t="s">
        <v>703</v>
      </c>
      <c r="D163" s="978">
        <v>0</v>
      </c>
      <c r="E163" s="983"/>
      <c r="F163" s="980">
        <f>D163</f>
        <v>0</v>
      </c>
      <c r="G163" s="981"/>
      <c r="H163" s="980">
        <f>D163</f>
        <v>0</v>
      </c>
      <c r="I163" s="982"/>
      <c r="J163" s="1003"/>
      <c r="AW163" s="1712"/>
      <c r="AX163" s="1712"/>
    </row>
    <row r="164" spans="2:50" s="9" customFormat="1" ht="30" customHeight="1">
      <c r="B164" s="2134"/>
      <c r="C164" s="1006" t="s">
        <v>704</v>
      </c>
      <c r="D164" s="978">
        <f>D44</f>
        <v>0.14000000000000001</v>
      </c>
      <c r="E164" s="983"/>
      <c r="F164" s="980">
        <f t="shared" ref="F164:F165" si="27">D164</f>
        <v>0.14000000000000001</v>
      </c>
      <c r="G164" s="981"/>
      <c r="H164" s="980">
        <f t="shared" ref="H164:H165" si="28">D164</f>
        <v>0.14000000000000001</v>
      </c>
      <c r="I164" s="982"/>
      <c r="J164" s="1003"/>
      <c r="AW164" s="1712"/>
      <c r="AX164" s="1712"/>
    </row>
    <row r="165" spans="2:50" s="9" customFormat="1" ht="30" customHeight="1">
      <c r="B165" s="2134"/>
      <c r="C165" s="1006" t="s">
        <v>705</v>
      </c>
      <c r="D165" s="978">
        <f>D45</f>
        <v>5.0299999999999997E-3</v>
      </c>
      <c r="E165" s="979"/>
      <c r="F165" s="980">
        <f t="shared" si="27"/>
        <v>5.0299999999999997E-3</v>
      </c>
      <c r="G165" s="981"/>
      <c r="H165" s="980">
        <f t="shared" si="28"/>
        <v>5.0299999999999997E-3</v>
      </c>
      <c r="I165" s="982"/>
      <c r="J165" s="1003"/>
      <c r="AW165" s="1712"/>
      <c r="AX165" s="1712"/>
    </row>
    <row r="166" spans="2:50" s="9" customFormat="1" ht="30" customHeight="1">
      <c r="B166" s="2134"/>
      <c r="C166" s="1006" t="s">
        <v>706</v>
      </c>
      <c r="D166" s="978"/>
      <c r="E166" s="985">
        <f>D88</f>
        <v>3.0000000000000001E-3</v>
      </c>
      <c r="F166" s="984"/>
      <c r="G166" s="998">
        <f t="shared" ref="G166:G168" si="29">E166</f>
        <v>3.0000000000000001E-3</v>
      </c>
      <c r="H166" s="980"/>
      <c r="I166" s="982">
        <f>G166</f>
        <v>3.0000000000000001E-3</v>
      </c>
      <c r="J166" s="1003"/>
      <c r="AW166" s="1712"/>
      <c r="AX166" s="1712"/>
    </row>
    <row r="167" spans="2:50" ht="30" customHeight="1">
      <c r="B167" s="2134"/>
      <c r="C167" s="1006" t="s">
        <v>707</v>
      </c>
      <c r="D167" s="978"/>
      <c r="E167" s="979">
        <f>D87</f>
        <v>0.03</v>
      </c>
      <c r="F167" s="984"/>
      <c r="G167" s="981">
        <f t="shared" si="29"/>
        <v>0.03</v>
      </c>
      <c r="H167" s="980"/>
      <c r="I167" s="982">
        <f t="shared" ref="I167:I168" si="30">G167</f>
        <v>0.03</v>
      </c>
      <c r="J167" s="1003"/>
    </row>
    <row r="168" spans="2:50" ht="30" customHeight="1" thickBot="1">
      <c r="B168" s="2133"/>
      <c r="C168" s="1007" t="s">
        <v>708</v>
      </c>
      <c r="D168" s="986"/>
      <c r="E168" s="987">
        <f>D89</f>
        <v>0.26</v>
      </c>
      <c r="F168" s="988"/>
      <c r="G168" s="981">
        <f t="shared" si="29"/>
        <v>0.26</v>
      </c>
      <c r="H168" s="989"/>
      <c r="I168" s="982">
        <f t="shared" si="30"/>
        <v>0.26</v>
      </c>
      <c r="J168" s="1008"/>
    </row>
    <row r="169" spans="2:50" ht="30" customHeight="1" thickBot="1">
      <c r="B169" s="930"/>
      <c r="C169" s="990" t="s">
        <v>347</v>
      </c>
      <c r="D169" s="991">
        <f>D151*D152*D153*(D154*D161+SUMPRODUCT(D155:D158,D163:D166))/10^3</f>
        <v>10094.753760569438</v>
      </c>
      <c r="E169" s="992">
        <f>E151*E152*E153*(E154*E162+SUMPRODUCT(E158:E160,E166:E168))/10^3</f>
        <v>50608.67387301282</v>
      </c>
      <c r="F169" s="991">
        <f>F151*F152*F153*(F154*F161+SUMPRODUCT(F155:F158,F163:F166))/10^3</f>
        <v>10392.032236708328</v>
      </c>
      <c r="G169" s="992">
        <f>G151*G152*G153*(G154*G162+SUMPRODUCT(G158:G160,G166:G168))/10^3</f>
        <v>70794.448091032638</v>
      </c>
      <c r="H169" s="991">
        <f>H151*H152*H153*(H154*H161+SUMPRODUCT(H155:H158,H163:H166))/10^3</f>
        <v>51336.819337203393</v>
      </c>
      <c r="I169" s="992">
        <f>I151*I152*I153*(I154*I162+SUMPRODUCT(I158:I160,I166:I168))/10^3</f>
        <v>108341.41266623305</v>
      </c>
      <c r="J169" s="1009"/>
    </row>
    <row r="170" spans="2:50" ht="30" customHeight="1" thickBot="1">
      <c r="B170" s="32"/>
      <c r="C170" s="993" t="s">
        <v>709</v>
      </c>
      <c r="D170" s="994">
        <f>SUM(D169:I169)</f>
        <v>301568.1399647597</v>
      </c>
      <c r="E170" s="995"/>
      <c r="F170" s="32"/>
      <c r="G170" s="32"/>
      <c r="H170" s="32"/>
      <c r="I170" s="32"/>
      <c r="J170" s="930"/>
    </row>
    <row r="171" spans="2:50" customFormat="1" ht="20" customHeight="1">
      <c r="AW171" s="1640"/>
      <c r="AX171" s="1640"/>
    </row>
    <row r="172" spans="2:50" customFormat="1" ht="20" customHeight="1">
      <c r="AW172" s="1640"/>
      <c r="AX172" s="1640"/>
    </row>
    <row r="173" spans="2:50" customFormat="1" ht="20" customHeight="1">
      <c r="AW173" s="1640"/>
      <c r="AX173" s="1640"/>
    </row>
    <row r="174" spans="2:50" customFormat="1" ht="20" customHeight="1">
      <c r="AW174" s="1640"/>
      <c r="AX174" s="1640"/>
    </row>
    <row r="175" spans="2:50" customFormat="1" ht="20" customHeight="1">
      <c r="AW175" s="1640"/>
      <c r="AX175" s="1640"/>
    </row>
    <row r="176" spans="2:50" ht="20" customHeight="1">
      <c r="B176" s="378" t="s">
        <v>1160</v>
      </c>
      <c r="F176" s="375"/>
      <c r="G176" s="375"/>
    </row>
    <row r="177" spans="2:12" ht="20" customHeight="1"/>
    <row r="178" spans="2:12" ht="20" customHeight="1">
      <c r="B178" s="383" t="s">
        <v>432</v>
      </c>
    </row>
    <row r="179" spans="2:12" ht="20" customHeight="1"/>
    <row r="180" spans="2:12" ht="22" customHeight="1">
      <c r="B180" s="159" t="s">
        <v>16</v>
      </c>
      <c r="C180" s="159" t="s">
        <v>17</v>
      </c>
      <c r="D180" s="159" t="s">
        <v>18</v>
      </c>
      <c r="E180" s="159" t="s">
        <v>19</v>
      </c>
      <c r="G180" s="81" t="s">
        <v>59</v>
      </c>
      <c r="H180" s="163"/>
      <c r="I180" s="163"/>
      <c r="J180" s="163"/>
    </row>
    <row r="181" spans="2:12" ht="22" customHeight="1">
      <c r="B181" s="160" t="s">
        <v>264</v>
      </c>
      <c r="C181" s="161">
        <f>H184</f>
        <v>0.11764705882352941</v>
      </c>
      <c r="D181" s="160" t="s">
        <v>61</v>
      </c>
      <c r="E181" s="160" t="s">
        <v>62</v>
      </c>
      <c r="G181" s="160"/>
      <c r="H181" s="159" t="s">
        <v>63</v>
      </c>
      <c r="I181" s="159" t="s">
        <v>64</v>
      </c>
      <c r="J181" s="2121" t="s">
        <v>26</v>
      </c>
      <c r="K181" s="2121"/>
      <c r="L181" s="2121"/>
    </row>
    <row r="182" spans="2:12" ht="22" customHeight="1">
      <c r="B182" s="160" t="s">
        <v>263</v>
      </c>
      <c r="C182" s="162">
        <f>H190</f>
        <v>8.1784386617100371E-2</v>
      </c>
      <c r="D182" s="160" t="s">
        <v>61</v>
      </c>
      <c r="E182" s="160" t="s">
        <v>65</v>
      </c>
      <c r="G182" s="160" t="s">
        <v>66</v>
      </c>
      <c r="H182" s="160">
        <v>0.22</v>
      </c>
      <c r="I182" s="160" t="s">
        <v>67</v>
      </c>
      <c r="J182" s="2122"/>
      <c r="K182" s="2122"/>
      <c r="L182" s="2122"/>
    </row>
    <row r="183" spans="2:12" ht="22" customHeight="1">
      <c r="B183" s="160" t="s">
        <v>71</v>
      </c>
      <c r="C183" s="162">
        <v>0.14000000000000001</v>
      </c>
      <c r="D183" s="160" t="s">
        <v>61</v>
      </c>
      <c r="E183" s="160" t="s">
        <v>49</v>
      </c>
      <c r="G183" s="160" t="s">
        <v>69</v>
      </c>
      <c r="H183" s="1677">
        <v>1.87</v>
      </c>
      <c r="I183" s="1196" t="s">
        <v>70</v>
      </c>
      <c r="J183" s="2126" t="s">
        <v>1816</v>
      </c>
      <c r="K183" s="2126"/>
      <c r="L183" s="2126"/>
    </row>
    <row r="184" spans="2:12" ht="22" customHeight="1">
      <c r="B184" s="160" t="s">
        <v>74</v>
      </c>
      <c r="C184" s="162">
        <v>0.03</v>
      </c>
      <c r="D184" s="160" t="s">
        <v>61</v>
      </c>
      <c r="E184" s="160" t="s">
        <v>49</v>
      </c>
      <c r="F184" s="889"/>
      <c r="G184" s="160" t="s">
        <v>72</v>
      </c>
      <c r="H184" s="161">
        <f>H182/H183</f>
        <v>0.11764705882352941</v>
      </c>
      <c r="I184" s="160"/>
      <c r="J184" s="2122"/>
      <c r="K184" s="2122"/>
      <c r="L184" s="2122"/>
    </row>
    <row r="185" spans="2:12" ht="22" customHeight="1">
      <c r="B185" s="160" t="s">
        <v>75</v>
      </c>
      <c r="C185" s="162">
        <v>0.26</v>
      </c>
      <c r="D185" s="160" t="s">
        <v>61</v>
      </c>
      <c r="E185" s="160" t="s">
        <v>49</v>
      </c>
      <c r="F185" s="889"/>
      <c r="G185" s="889"/>
      <c r="H185" s="889"/>
      <c r="I185" s="889"/>
      <c r="J185" s="889"/>
      <c r="K185" s="65"/>
    </row>
    <row r="186" spans="2:12" ht="22" customHeight="1">
      <c r="B186" s="160" t="s">
        <v>58</v>
      </c>
      <c r="C186" s="162">
        <v>0.03</v>
      </c>
      <c r="D186" s="160" t="s">
        <v>61</v>
      </c>
      <c r="E186" s="160" t="s">
        <v>49</v>
      </c>
      <c r="F186" s="889"/>
      <c r="G186" s="81" t="s">
        <v>269</v>
      </c>
      <c r="H186" s="163"/>
      <c r="I186" s="163"/>
      <c r="J186" s="163"/>
    </row>
    <row r="187" spans="2:12" ht="22" customHeight="1">
      <c r="B187" s="160" t="s">
        <v>78</v>
      </c>
      <c r="C187" s="162">
        <v>3.0000000000000001E-3</v>
      </c>
      <c r="D187" s="160" t="s">
        <v>61</v>
      </c>
      <c r="E187" s="160" t="s">
        <v>49</v>
      </c>
      <c r="F187" s="889"/>
      <c r="G187" s="160"/>
      <c r="H187" s="159" t="s">
        <v>63</v>
      </c>
      <c r="I187" s="159" t="s">
        <v>64</v>
      </c>
      <c r="J187" s="2121" t="s">
        <v>26</v>
      </c>
      <c r="K187" s="2121"/>
      <c r="L187" s="2121"/>
    </row>
    <row r="188" spans="2:12" ht="22" customHeight="1">
      <c r="B188" s="160" t="s">
        <v>676</v>
      </c>
      <c r="C188" s="1678">
        <v>5.0299999999999997E-3</v>
      </c>
      <c r="D188" s="160" t="s">
        <v>61</v>
      </c>
      <c r="E188" s="899" t="s">
        <v>675</v>
      </c>
      <c r="F188" s="889"/>
      <c r="G188" s="160" t="s">
        <v>66</v>
      </c>
      <c r="H188" s="160">
        <v>0.22</v>
      </c>
      <c r="I188" s="160" t="s">
        <v>67</v>
      </c>
      <c r="J188" s="2122"/>
      <c r="K188" s="2122"/>
      <c r="L188" s="2122"/>
    </row>
    <row r="189" spans="2:12" ht="22" customHeight="1">
      <c r="F189" s="889"/>
      <c r="G189" s="160" t="s">
        <v>69</v>
      </c>
      <c r="H189" s="1563">
        <v>2.69</v>
      </c>
      <c r="I189" s="1562" t="s">
        <v>70</v>
      </c>
      <c r="J189" s="2126" t="s">
        <v>1817</v>
      </c>
      <c r="K189" s="2126"/>
      <c r="L189" s="2126"/>
    </row>
    <row r="190" spans="2:12" ht="22" customHeight="1">
      <c r="F190" s="889"/>
      <c r="G190" s="160" t="s">
        <v>72</v>
      </c>
      <c r="H190" s="161">
        <f>H188/H189</f>
        <v>8.1784386617100371E-2</v>
      </c>
      <c r="I190" s="160"/>
      <c r="J190" s="2122"/>
      <c r="K190" s="2122"/>
      <c r="L190" s="2122"/>
    </row>
    <row r="191" spans="2:12" ht="20">
      <c r="B191" s="383" t="s">
        <v>690</v>
      </c>
      <c r="F191" s="889"/>
      <c r="G191" s="889"/>
      <c r="H191" s="889"/>
      <c r="I191" s="889"/>
      <c r="J191" s="889"/>
    </row>
    <row r="192" spans="2:12" ht="16">
      <c r="F192" s="889"/>
      <c r="G192" s="889"/>
      <c r="H192" s="889"/>
      <c r="I192" s="889"/>
      <c r="J192" s="889"/>
      <c r="K192" s="889"/>
    </row>
    <row r="193" spans="6:11" ht="16">
      <c r="F193" s="889"/>
      <c r="G193" s="889"/>
      <c r="H193" s="889"/>
      <c r="I193" s="889"/>
      <c r="J193" s="889"/>
      <c r="K193" s="889"/>
    </row>
    <row r="194" spans="6:11" ht="16">
      <c r="F194" s="889"/>
      <c r="G194" s="889"/>
      <c r="H194" s="889"/>
      <c r="I194" s="889"/>
      <c r="J194" s="889"/>
      <c r="K194" s="889"/>
    </row>
    <row r="201" spans="6:11">
      <c r="F201"/>
    </row>
    <row r="202" spans="6:11">
      <c r="F202"/>
    </row>
    <row r="203" spans="6:11">
      <c r="F203"/>
    </row>
    <row r="204" spans="6:11">
      <c r="F204"/>
    </row>
    <row r="205" spans="6:11">
      <c r="F205"/>
    </row>
    <row r="206" spans="6:11">
      <c r="F206"/>
    </row>
    <row r="207" spans="6:11">
      <c r="F207"/>
    </row>
    <row r="208" spans="6:11">
      <c r="F208"/>
    </row>
    <row r="209" spans="6:6">
      <c r="F209"/>
    </row>
    <row r="210" spans="6:6">
      <c r="F210"/>
    </row>
    <row r="211" spans="6:6">
      <c r="F211"/>
    </row>
    <row r="212" spans="6:6">
      <c r="F212"/>
    </row>
    <row r="215" spans="6:6">
      <c r="F215"/>
    </row>
    <row r="216" spans="6:6">
      <c r="F216"/>
    </row>
    <row r="217" spans="6:6">
      <c r="F217"/>
    </row>
    <row r="218" spans="6:6">
      <c r="F218"/>
    </row>
    <row r="219" spans="6:6">
      <c r="F219"/>
    </row>
    <row r="220" spans="6:6">
      <c r="F220"/>
    </row>
    <row r="221" spans="6:6">
      <c r="F221"/>
    </row>
    <row r="228" spans="1:13" ht="22" customHeight="1">
      <c r="B228" s="383" t="s">
        <v>1099</v>
      </c>
    </row>
    <row r="229" spans="1:13" ht="22" hidden="1" customHeight="1" outlineLevel="1">
      <c r="B229" s="65"/>
    </row>
    <row r="230" spans="1:13" ht="22" hidden="1" customHeight="1" outlineLevel="1">
      <c r="B230" s="893" t="s">
        <v>660</v>
      </c>
    </row>
    <row r="231" spans="1:13" ht="57" hidden="1" customHeight="1" outlineLevel="1">
      <c r="B231" s="2106" t="s">
        <v>1447</v>
      </c>
      <c r="C231" s="2106"/>
      <c r="D231" s="2106"/>
      <c r="E231" s="2106"/>
      <c r="F231" s="30"/>
      <c r="G231" s="427"/>
    </row>
    <row r="232" spans="1:13" ht="63" hidden="1" customHeight="1" outlineLevel="1">
      <c r="B232" s="2106" t="s">
        <v>1408</v>
      </c>
      <c r="C232" s="2106"/>
      <c r="D232" s="2106"/>
      <c r="E232" s="2106"/>
      <c r="F232" s="30"/>
      <c r="G232" s="427"/>
    </row>
    <row r="233" spans="1:13" ht="23" hidden="1" customHeight="1" outlineLevel="1">
      <c r="B233" s="2142" t="s">
        <v>1403</v>
      </c>
      <c r="C233" s="2142"/>
      <c r="D233" s="2142"/>
      <c r="E233" s="2142"/>
    </row>
    <row r="234" spans="1:13" ht="22" hidden="1" customHeight="1" outlineLevel="1">
      <c r="B234" s="2047" t="s">
        <v>651</v>
      </c>
      <c r="C234" s="2049"/>
      <c r="D234" s="1957" t="s">
        <v>652</v>
      </c>
      <c r="E234" s="1957"/>
    </row>
    <row r="235" spans="1:13" ht="131" hidden="1" customHeight="1" outlineLevel="1">
      <c r="A235" s="425"/>
      <c r="B235" s="886" t="s">
        <v>1407</v>
      </c>
      <c r="C235" s="887" t="s">
        <v>658</v>
      </c>
      <c r="D235" s="886" t="s">
        <v>1406</v>
      </c>
      <c r="E235" s="887" t="s">
        <v>1405</v>
      </c>
      <c r="F235" s="1636"/>
      <c r="G235" s="898"/>
      <c r="H235" s="898"/>
      <c r="I235" s="2120"/>
      <c r="J235" s="2120"/>
      <c r="K235" s="2120"/>
      <c r="L235" s="2120"/>
      <c r="M235" s="2120"/>
    </row>
    <row r="236" spans="1:13" ht="28" hidden="1" customHeight="1" outlineLevel="1">
      <c r="B236" s="1530" t="s">
        <v>657</v>
      </c>
      <c r="C236" s="1531">
        <f>250*20+200*20+40*20</f>
        <v>9800</v>
      </c>
      <c r="D236" s="42" t="s">
        <v>0</v>
      </c>
      <c r="E236" s="888">
        <f>310*25+240*25</f>
        <v>13750</v>
      </c>
      <c r="G236" s="1118"/>
      <c r="H236" s="1118"/>
      <c r="I236" s="1118"/>
      <c r="J236" s="1118"/>
      <c r="K236" s="1118"/>
    </row>
    <row r="237" spans="1:13" ht="28" hidden="1" customHeight="1" outlineLevel="1">
      <c r="B237" s="892" t="s">
        <v>1404</v>
      </c>
      <c r="C237" s="1532">
        <f>C236/$C$252</f>
        <v>5.2499006268809916E-3</v>
      </c>
      <c r="D237" s="892" t="s">
        <v>1404</v>
      </c>
      <c r="E237" s="1524">
        <f>E236/$C$253</f>
        <v>5.2991413464058335E-2</v>
      </c>
      <c r="G237" s="1118"/>
      <c r="H237" s="1118"/>
      <c r="I237" s="1118"/>
      <c r="J237" s="1118"/>
      <c r="K237" s="1118"/>
    </row>
    <row r="238" spans="1:13" ht="28" hidden="1" customHeight="1" outlineLevel="1">
      <c r="B238"/>
      <c r="C238"/>
      <c r="D238" s="1118"/>
      <c r="E238" s="1118"/>
      <c r="F238" s="1118"/>
      <c r="G238" s="1118"/>
      <c r="H238" s="1118"/>
      <c r="I238" s="1118"/>
      <c r="J238" s="1118"/>
      <c r="K238" s="1118"/>
    </row>
    <row r="239" spans="1:13" ht="23" hidden="1" customHeight="1" outlineLevel="1">
      <c r="B239" s="10" t="s">
        <v>659</v>
      </c>
      <c r="D239" s="1118"/>
      <c r="E239" s="1118"/>
      <c r="F239" s="1118"/>
      <c r="G239" s="1118"/>
      <c r="H239" s="1118"/>
      <c r="I239" s="1118"/>
      <c r="J239" s="1118"/>
      <c r="K239" s="1118"/>
    </row>
    <row r="240" spans="1:13" ht="23" hidden="1" customHeight="1" outlineLevel="1">
      <c r="B240" s="880" t="s">
        <v>1809</v>
      </c>
      <c r="C240" s="880"/>
      <c r="D240" s="880"/>
      <c r="E240" s="430"/>
      <c r="G240" s="1118"/>
      <c r="H240" s="1118"/>
      <c r="I240" s="1118"/>
      <c r="J240" s="1118"/>
      <c r="K240" s="1118"/>
    </row>
    <row r="241" spans="2:15" ht="23" hidden="1" customHeight="1" outlineLevel="1">
      <c r="B241" s="880" t="s">
        <v>1818</v>
      </c>
      <c r="C241" s="880"/>
      <c r="D241" s="880"/>
      <c r="E241" s="430"/>
      <c r="G241" s="1118"/>
      <c r="H241" s="1118"/>
      <c r="I241" s="1118"/>
      <c r="J241" s="1118"/>
      <c r="K241" s="1118"/>
    </row>
    <row r="242" spans="2:15" ht="23" hidden="1" customHeight="1" outlineLevel="1">
      <c r="B242" s="57" t="s">
        <v>1701</v>
      </c>
      <c r="C242" s="880"/>
      <c r="D242" s="880"/>
      <c r="E242" s="430"/>
      <c r="G242" s="1118"/>
      <c r="H242" s="1118"/>
      <c r="I242" s="1118"/>
      <c r="J242" s="1118"/>
      <c r="K242" s="1118"/>
    </row>
    <row r="243" spans="2:15" ht="23" hidden="1" customHeight="1" outlineLevel="1" thickBot="1">
      <c r="B243" s="57" t="s">
        <v>1409</v>
      </c>
      <c r="C243" s="880"/>
      <c r="D243" s="880"/>
      <c r="E243" s="430"/>
      <c r="G243" s="1118"/>
      <c r="H243" s="1118"/>
      <c r="I243" s="1118"/>
      <c r="J243" s="1118"/>
      <c r="K243" s="1118"/>
    </row>
    <row r="244" spans="2:15" ht="23" hidden="1" customHeight="1" outlineLevel="1" thickBot="1">
      <c r="B244" s="880"/>
      <c r="C244" s="1519" t="s">
        <v>155</v>
      </c>
      <c r="D244" s="1520" t="s">
        <v>140</v>
      </c>
      <c r="E244" s="430"/>
    </row>
    <row r="245" spans="2:15" ht="23" hidden="1" customHeight="1" outlineLevel="1">
      <c r="B245" s="1516" t="s">
        <v>663</v>
      </c>
      <c r="C245" s="1521">
        <f>100%-C246-C247</f>
        <v>0.85475009937311897</v>
      </c>
      <c r="D245" s="1823">
        <v>0.6</v>
      </c>
      <c r="E245" s="427"/>
    </row>
    <row r="246" spans="2:15" ht="23" hidden="1" customHeight="1" outlineLevel="1">
      <c r="B246" s="1517" t="s">
        <v>665</v>
      </c>
      <c r="C246" s="1522">
        <v>0.14000000000000001</v>
      </c>
      <c r="D246" s="1525">
        <v>0.35</v>
      </c>
      <c r="E246" s="427"/>
    </row>
    <row r="247" spans="2:15" ht="23" hidden="1" customHeight="1" outlineLevel="1" thickBot="1">
      <c r="B247" s="1518" t="s">
        <v>664</v>
      </c>
      <c r="C247" s="1523">
        <f>C237</f>
        <v>5.2499006268809916E-3</v>
      </c>
      <c r="D247" s="1526">
        <f>E237</f>
        <v>5.2991413464058335E-2</v>
      </c>
      <c r="E247" s="427"/>
    </row>
    <row r="248" spans="2:15" ht="23" hidden="1" customHeight="1" outlineLevel="1">
      <c r="B248" s="1527"/>
      <c r="C248" s="1528"/>
      <c r="D248" s="1529"/>
      <c r="E248" s="427"/>
    </row>
    <row r="249" spans="2:15" ht="19" hidden="1" customHeight="1" outlineLevel="1">
      <c r="J249"/>
      <c r="K249"/>
      <c r="L249"/>
    </row>
    <row r="250" spans="2:15" ht="19" hidden="1" customHeight="1" outlineLevel="1">
      <c r="B250" s="893" t="s">
        <v>660</v>
      </c>
      <c r="C250" s="891"/>
      <c r="J250"/>
      <c r="K250"/>
      <c r="L250"/>
    </row>
    <row r="251" spans="2:15" ht="22" hidden="1" customHeight="1" outlineLevel="1">
      <c r="B251" s="10" t="s">
        <v>1153</v>
      </c>
      <c r="J251"/>
      <c r="K251"/>
      <c r="L251"/>
    </row>
    <row r="252" spans="2:15" ht="22" hidden="1" customHeight="1" outlineLevel="1">
      <c r="B252" s="34" t="s">
        <v>1400</v>
      </c>
      <c r="C252" s="110">
        <f>'Fiche d''identité'!$C$7</f>
        <v>1866702</v>
      </c>
      <c r="D252" s="2143" t="s">
        <v>662</v>
      </c>
      <c r="F252" s="67"/>
      <c r="J252"/>
      <c r="K252"/>
      <c r="L252"/>
    </row>
    <row r="253" spans="2:15" ht="22" hidden="1" customHeight="1" outlineLevel="1">
      <c r="B253" s="34" t="s">
        <v>1401</v>
      </c>
      <c r="C253" s="110">
        <f>'Fiche d''identité'!$C$9</f>
        <v>259476</v>
      </c>
      <c r="D253" s="2144"/>
      <c r="J253"/>
      <c r="K253"/>
      <c r="L253"/>
    </row>
    <row r="254" spans="2:15" ht="45" hidden="1" outlineLevel="1">
      <c r="B254" s="56" t="str">
        <f>'Fiche d''identité'!B44</f>
        <v>Nombre de personnes mobilisés (hors pratiquants) les jours de match (bénévoles, dirigeants, arbitres, etc..) pour le football</v>
      </c>
      <c r="C254" s="110">
        <f>'Fiche d''identité'!C44</f>
        <v>629098</v>
      </c>
      <c r="D254" s="2144"/>
      <c r="J254"/>
      <c r="K254"/>
      <c r="L254"/>
    </row>
    <row r="255" spans="2:15" ht="45" hidden="1" outlineLevel="1">
      <c r="B255" s="56" t="str">
        <f>'Fiche d''identité'!B45</f>
        <v>Nombre de personnes mobilisés (hors pratiquants) les jours de match (bénévoles, dirigeants, arbitres, etc..) pour le rugby</v>
      </c>
      <c r="C255" s="110">
        <f>'Fiche d''identité'!C45</f>
        <v>109399.29999999999</v>
      </c>
      <c r="D255" s="2145"/>
      <c r="J255"/>
      <c r="K255"/>
      <c r="L255"/>
    </row>
    <row r="256" spans="2:15" ht="19" hidden="1" customHeight="1" outlineLevel="1">
      <c r="B256" s="71"/>
      <c r="C256" s="885"/>
      <c r="D256" s="30"/>
      <c r="J256"/>
      <c r="K256"/>
      <c r="L256"/>
      <c r="M256"/>
      <c r="N256"/>
      <c r="O256"/>
    </row>
    <row r="257" spans="2:15" ht="31" hidden="1" customHeight="1" outlineLevel="1">
      <c r="B257" s="10" t="s">
        <v>1411</v>
      </c>
      <c r="J257"/>
      <c r="K257"/>
      <c r="L257"/>
      <c r="M257"/>
      <c r="N257"/>
      <c r="O257"/>
    </row>
    <row r="258" spans="2:15" ht="31" hidden="1" customHeight="1" outlineLevel="1">
      <c r="B258" s="1924" t="s">
        <v>1410</v>
      </c>
      <c r="C258" s="1924"/>
      <c r="D258" s="1924"/>
      <c r="E258" s="1924"/>
      <c r="F258" s="1924"/>
      <c r="J258"/>
      <c r="K258"/>
      <c r="L258"/>
      <c r="M258"/>
      <c r="N258"/>
      <c r="O258"/>
    </row>
    <row r="259" spans="2:15" ht="23" hidden="1" customHeight="1" outlineLevel="1">
      <c r="B259" s="1924" t="s">
        <v>650</v>
      </c>
      <c r="C259" s="1924"/>
      <c r="D259" s="1924"/>
      <c r="E259" s="1924"/>
      <c r="F259" s="1924"/>
      <c r="J259"/>
      <c r="K259"/>
      <c r="L259"/>
      <c r="M259"/>
      <c r="N259"/>
      <c r="O259"/>
    </row>
    <row r="260" spans="2:15" ht="23" hidden="1" customHeight="1" outlineLevel="1">
      <c r="B260" s="42" t="s">
        <v>16</v>
      </c>
      <c r="C260" s="41" t="s">
        <v>17</v>
      </c>
      <c r="D260" s="1929" t="s">
        <v>268</v>
      </c>
      <c r="E260" s="1929"/>
      <c r="F260" s="1929"/>
      <c r="J260"/>
      <c r="K260"/>
      <c r="L260"/>
      <c r="M260"/>
      <c r="N260"/>
      <c r="O260"/>
    </row>
    <row r="261" spans="2:15" ht="23" hidden="1" customHeight="1" outlineLevel="1">
      <c r="B261" s="34" t="s">
        <v>1078</v>
      </c>
      <c r="C261" s="179">
        <f>$C$252*C247</f>
        <v>9800</v>
      </c>
      <c r="D261" s="1921"/>
      <c r="E261" s="1913"/>
      <c r="F261" s="1913"/>
      <c r="G261" s="67"/>
      <c r="J261"/>
      <c r="K261"/>
      <c r="L261"/>
      <c r="M261"/>
      <c r="N261"/>
      <c r="O261"/>
    </row>
    <row r="262" spans="2:15" ht="37" hidden="1" customHeight="1" outlineLevel="1">
      <c r="B262" s="56" t="s">
        <v>1079</v>
      </c>
      <c r="C262" s="179">
        <f>$C$254*C247</f>
        <v>3302.7019845695781</v>
      </c>
      <c r="D262" s="1921" t="s">
        <v>1819</v>
      </c>
      <c r="E262" s="1913"/>
      <c r="F262" s="1913"/>
      <c r="G262"/>
      <c r="J262"/>
      <c r="K262"/>
      <c r="L262"/>
      <c r="M262"/>
      <c r="N262"/>
      <c r="O262"/>
    </row>
    <row r="263" spans="2:15" ht="36" hidden="1" customHeight="1" outlineLevel="1">
      <c r="B263" s="17" t="s">
        <v>1076</v>
      </c>
      <c r="C263" s="110">
        <f>500/32*C261*90%</f>
        <v>137812.5</v>
      </c>
      <c r="D263" s="1911" t="s">
        <v>1820</v>
      </c>
      <c r="E263" s="1911"/>
      <c r="F263" s="1911"/>
      <c r="G263" s="1704"/>
      <c r="H263" s="427"/>
      <c r="J263"/>
      <c r="K263"/>
      <c r="L263"/>
      <c r="M263"/>
      <c r="N263"/>
      <c r="O263"/>
    </row>
    <row r="264" spans="2:15" ht="36" hidden="1" customHeight="1" outlineLevel="1">
      <c r="B264" s="17" t="s">
        <v>1077</v>
      </c>
      <c r="C264" s="110">
        <f>500/32*C261*10%</f>
        <v>15312.5</v>
      </c>
      <c r="D264" s="1911"/>
      <c r="E264" s="1911"/>
      <c r="F264" s="1911"/>
      <c r="G264" s="1704"/>
      <c r="H264" s="427"/>
      <c r="J264"/>
      <c r="K264"/>
      <c r="L264"/>
      <c r="M264"/>
      <c r="N264"/>
      <c r="O264"/>
    </row>
    <row r="265" spans="2:15" ht="23" hidden="1" customHeight="1" outlineLevel="1">
      <c r="B265" s="34" t="s">
        <v>208</v>
      </c>
      <c r="C265" s="110">
        <v>30</v>
      </c>
      <c r="D265" s="1911" t="s">
        <v>1821</v>
      </c>
      <c r="E265" s="1911"/>
      <c r="F265" s="1911"/>
      <c r="G265" s="1704"/>
      <c r="H265" s="427"/>
      <c r="J265"/>
      <c r="K265"/>
      <c r="L265"/>
      <c r="M265"/>
      <c r="N265"/>
      <c r="O265"/>
    </row>
    <row r="266" spans="2:15" ht="23" hidden="1" customHeight="1" outlineLevel="1">
      <c r="B266" s="1705" t="s">
        <v>270</v>
      </c>
      <c r="C266" s="1706">
        <f>C265/2</f>
        <v>15</v>
      </c>
      <c r="D266" s="1911"/>
      <c r="E266" s="1911"/>
      <c r="F266" s="1911"/>
      <c r="G266" s="1704"/>
      <c r="H266" s="427"/>
      <c r="J266"/>
      <c r="K266"/>
      <c r="L266"/>
      <c r="M266"/>
      <c r="N266"/>
      <c r="O266"/>
    </row>
    <row r="267" spans="2:15" ht="23" hidden="1" customHeight="1" outlineLevel="1">
      <c r="B267" s="1924" t="s">
        <v>655</v>
      </c>
      <c r="C267" s="1924"/>
      <c r="D267" s="1924"/>
      <c r="E267" s="1924"/>
      <c r="F267" s="1924"/>
      <c r="J267"/>
      <c r="K267"/>
      <c r="L267"/>
      <c r="M267"/>
      <c r="N267"/>
      <c r="O267"/>
    </row>
    <row r="268" spans="2:15" ht="23" hidden="1" customHeight="1" outlineLevel="1">
      <c r="B268" s="42" t="s">
        <v>16</v>
      </c>
      <c r="C268" s="41" t="s">
        <v>17</v>
      </c>
      <c r="D268" s="1929" t="s">
        <v>268</v>
      </c>
      <c r="E268" s="1929"/>
      <c r="F268" s="1929"/>
      <c r="J268"/>
      <c r="K268"/>
      <c r="L268"/>
      <c r="M268"/>
      <c r="N268"/>
      <c r="O268"/>
    </row>
    <row r="269" spans="2:15" ht="23" hidden="1" customHeight="1" outlineLevel="1">
      <c r="B269" s="34" t="s">
        <v>1078</v>
      </c>
      <c r="C269" s="179">
        <f>$C$252*C246</f>
        <v>261338.28000000003</v>
      </c>
      <c r="D269" s="2099"/>
      <c r="E269" s="1945"/>
      <c r="F269" s="1945"/>
      <c r="J269"/>
      <c r="K269"/>
      <c r="L269"/>
      <c r="M269"/>
      <c r="N269"/>
      <c r="O269"/>
    </row>
    <row r="270" spans="2:15" ht="32" hidden="1" customHeight="1" outlineLevel="1">
      <c r="B270" s="56" t="s">
        <v>1079</v>
      </c>
      <c r="C270" s="179">
        <f>$C$254*C246</f>
        <v>88073.72</v>
      </c>
      <c r="D270" s="1921" t="str">
        <f>D262</f>
        <v>H8 : On considère que le nombre de personnes mobilisées hors spectateurs et joueurs (staff, arbitres, bénévoles, dirigeants) est de la même proportion que le nombre de licenciés à ce niveau de compétition.</v>
      </c>
      <c r="E270" s="1913"/>
      <c r="F270" s="1913"/>
      <c r="J270"/>
      <c r="K270"/>
      <c r="L270"/>
      <c r="M270"/>
      <c r="N270"/>
      <c r="O270"/>
    </row>
    <row r="271" spans="2:15" ht="28" hidden="1" customHeight="1" outlineLevel="1">
      <c r="B271" s="17" t="s">
        <v>1076</v>
      </c>
      <c r="C271" s="110">
        <f>0.5*C269*4/5</f>
        <v>104535.31200000001</v>
      </c>
      <c r="D271" s="1911" t="s">
        <v>1822</v>
      </c>
      <c r="E271" s="1911"/>
      <c r="F271" s="1911"/>
      <c r="G271" s="427"/>
      <c r="J271"/>
      <c r="K271"/>
      <c r="L271"/>
      <c r="M271"/>
      <c r="N271"/>
      <c r="O271"/>
    </row>
    <row r="272" spans="2:15" ht="28" hidden="1" customHeight="1" outlineLevel="1">
      <c r="B272" s="17" t="s">
        <v>1077</v>
      </c>
      <c r="C272" s="110">
        <f>0.5*C270*1/5</f>
        <v>8807.3719999999994</v>
      </c>
      <c r="D272" s="1911"/>
      <c r="E272" s="1911"/>
      <c r="F272" s="1911"/>
      <c r="G272" s="427"/>
      <c r="K272"/>
      <c r="L272"/>
      <c r="M272"/>
      <c r="N272"/>
      <c r="O272"/>
    </row>
    <row r="273" spans="2:15" ht="23" hidden="1" customHeight="1" outlineLevel="1">
      <c r="B273" s="34" t="s">
        <v>208</v>
      </c>
      <c r="C273" s="110">
        <v>24</v>
      </c>
      <c r="D273" s="1911" t="s">
        <v>1823</v>
      </c>
      <c r="E273" s="1911"/>
      <c r="F273" s="1911"/>
      <c r="K273"/>
      <c r="L273"/>
      <c r="M273"/>
      <c r="N273"/>
      <c r="O273"/>
    </row>
    <row r="274" spans="2:15" ht="23" hidden="1" customHeight="1" outlineLevel="1">
      <c r="B274" s="1705" t="s">
        <v>270</v>
      </c>
      <c r="C274" s="1706">
        <f>C273/2</f>
        <v>12</v>
      </c>
      <c r="D274" s="1911"/>
      <c r="E274" s="1911"/>
      <c r="F274" s="1911"/>
      <c r="K274"/>
      <c r="L274"/>
      <c r="M274"/>
      <c r="N274"/>
      <c r="O274"/>
    </row>
    <row r="275" spans="2:15" ht="23" hidden="1" customHeight="1" outlineLevel="1">
      <c r="B275" s="1924" t="s">
        <v>656</v>
      </c>
      <c r="C275" s="1924"/>
      <c r="D275" s="1924"/>
      <c r="E275" s="1924"/>
      <c r="F275" s="1924"/>
      <c r="K275"/>
      <c r="L275"/>
      <c r="M275"/>
      <c r="N275"/>
      <c r="O275"/>
    </row>
    <row r="276" spans="2:15" ht="23" hidden="1" customHeight="1" outlineLevel="1">
      <c r="B276" s="42" t="s">
        <v>16</v>
      </c>
      <c r="C276" s="41" t="s">
        <v>17</v>
      </c>
      <c r="D276" s="1929" t="s">
        <v>268</v>
      </c>
      <c r="E276" s="1929"/>
      <c r="F276" s="1929"/>
    </row>
    <row r="277" spans="2:15" ht="23" hidden="1" customHeight="1" outlineLevel="1">
      <c r="B277" s="34" t="s">
        <v>1078</v>
      </c>
      <c r="C277" s="179">
        <f>$C$252*C245</f>
        <v>1595563.72</v>
      </c>
      <c r="D277" s="2099"/>
      <c r="E277" s="1945"/>
      <c r="F277" s="1945"/>
    </row>
    <row r="278" spans="2:15" ht="30" hidden="1" customHeight="1" outlineLevel="1">
      <c r="B278" s="56" t="s">
        <v>1079</v>
      </c>
      <c r="C278" s="179">
        <f>$C$254*C245</f>
        <v>537721.57801543036</v>
      </c>
      <c r="D278" s="1921" t="str">
        <f>D270</f>
        <v>H8 : On considère que le nombre de personnes mobilisées hors spectateurs et joueurs (staff, arbitres, bénévoles, dirigeants) est de la même proportion que le nombre de licenciés à ce niveau de compétition.</v>
      </c>
      <c r="E278" s="1913"/>
      <c r="F278" s="1913"/>
    </row>
    <row r="279" spans="2:15" ht="23" hidden="1" customHeight="1" outlineLevel="1">
      <c r="B279" s="17" t="s">
        <v>1076</v>
      </c>
      <c r="C279" s="110">
        <f>0.5*C277*4/5</f>
        <v>638225.48800000001</v>
      </c>
      <c r="D279" s="1911" t="str">
        <f>D271</f>
        <v>H11 : On considère que pour un match, il y a en moyenne 1 personne pour 2 sportifs qui vient voir le match en tant que spectateur (famille, amis, supporters, etc.) dont 1/5 sont des visiteurs. D'après source (2), ce chiffre est d'environ 1/4. Suite à des retours lors de la publication intermédiaire nous avons décidé de revoir à la baisse cette part à 1/5.</v>
      </c>
      <c r="E279" s="1911"/>
      <c r="F279" s="1911"/>
      <c r="G279" s="427"/>
    </row>
    <row r="280" spans="2:15" ht="23" hidden="1" customHeight="1" outlineLevel="1">
      <c r="B280" s="17" t="s">
        <v>1077</v>
      </c>
      <c r="C280" s="110">
        <f>0.5*C278*1/5</f>
        <v>53772.157801543035</v>
      </c>
      <c r="D280" s="1911"/>
      <c r="E280" s="1911"/>
      <c r="F280" s="1911"/>
      <c r="G280" s="427"/>
    </row>
    <row r="281" spans="2:15" ht="23" hidden="1" customHeight="1" outlineLevel="1">
      <c r="B281" s="34" t="s">
        <v>208</v>
      </c>
      <c r="C281" s="110">
        <f>C273</f>
        <v>24</v>
      </c>
      <c r="D281" s="1911" t="str">
        <f>D273</f>
        <v xml:space="preserve">H12 : On considère 24 rencontres annuelles dont 12 à l'extérieur (source : FFF et Utopies, qui donne un chiffre compris entre 12 et 15). </v>
      </c>
      <c r="E281" s="1911"/>
      <c r="F281" s="1911"/>
    </row>
    <row r="282" spans="2:15" ht="23" hidden="1" customHeight="1" outlineLevel="1">
      <c r="B282" s="1705" t="s">
        <v>270</v>
      </c>
      <c r="C282" s="1706">
        <f>C281/2</f>
        <v>12</v>
      </c>
      <c r="D282" s="1911"/>
      <c r="E282" s="1911"/>
      <c r="F282" s="1911"/>
      <c r="G282" s="427"/>
    </row>
    <row r="283" spans="2:15" ht="23" hidden="1" customHeight="1" outlineLevel="1">
      <c r="B283" s="1533"/>
      <c r="C283" s="1534"/>
      <c r="D283" s="877"/>
      <c r="E283" s="877"/>
      <c r="F283" s="877"/>
      <c r="G283" s="427"/>
    </row>
    <row r="284" spans="2:15" ht="23" hidden="1" customHeight="1" outlineLevel="1">
      <c r="B284" s="10" t="s">
        <v>1413</v>
      </c>
      <c r="C284" s="1534"/>
      <c r="D284" s="877"/>
      <c r="E284" s="877"/>
      <c r="F284" s="877"/>
      <c r="G284" s="427"/>
    </row>
    <row r="285" spans="2:15" ht="23" hidden="1" customHeight="1" outlineLevel="1">
      <c r="B285" s="1924" t="s">
        <v>1412</v>
      </c>
      <c r="C285" s="1924"/>
      <c r="D285" s="1924"/>
      <c r="E285" s="1924"/>
      <c r="F285" s="1924"/>
      <c r="G285" s="427"/>
    </row>
    <row r="286" spans="2:15" ht="23" hidden="1" customHeight="1" outlineLevel="1">
      <c r="B286" s="1924" t="s">
        <v>650</v>
      </c>
      <c r="C286" s="1924"/>
      <c r="D286" s="1924"/>
      <c r="E286" s="1924"/>
      <c r="F286" s="1924"/>
      <c r="G286" s="427"/>
    </row>
    <row r="287" spans="2:15" ht="23" hidden="1" customHeight="1" outlineLevel="1">
      <c r="B287" s="42" t="s">
        <v>16</v>
      </c>
      <c r="C287" s="41" t="s">
        <v>17</v>
      </c>
      <c r="D287" s="1929" t="s">
        <v>268</v>
      </c>
      <c r="E287" s="1929"/>
      <c r="F287" s="1929"/>
      <c r="G287" s="427"/>
    </row>
    <row r="288" spans="2:15" ht="23" hidden="1" customHeight="1" outlineLevel="1">
      <c r="B288" s="34" t="s">
        <v>1078</v>
      </c>
      <c r="C288" s="179">
        <f>$C$253*D247</f>
        <v>13750</v>
      </c>
      <c r="D288" s="1921"/>
      <c r="E288" s="1913"/>
      <c r="F288" s="1913"/>
      <c r="G288" s="427"/>
    </row>
    <row r="289" spans="2:7" ht="35" hidden="1" customHeight="1" outlineLevel="1">
      <c r="B289" s="56" t="s">
        <v>1079</v>
      </c>
      <c r="C289" s="179">
        <f>$C$255*D247</f>
        <v>5797.2235389785565</v>
      </c>
      <c r="D289" s="2367" t="s">
        <v>1819</v>
      </c>
      <c r="E289" s="2368"/>
      <c r="F289" s="2369"/>
      <c r="G289" s="427"/>
    </row>
    <row r="290" spans="2:7" ht="35" hidden="1" customHeight="1" outlineLevel="1">
      <c r="B290" s="17" t="s">
        <v>1076</v>
      </c>
      <c r="C290" s="110">
        <f>500/40*C288*90%</f>
        <v>154687.5</v>
      </c>
      <c r="D290" s="1911" t="s">
        <v>1824</v>
      </c>
      <c r="E290" s="1911"/>
      <c r="F290" s="1911"/>
      <c r="G290" s="427"/>
    </row>
    <row r="291" spans="2:7" ht="35" hidden="1" customHeight="1" outlineLevel="1">
      <c r="B291" s="17" t="s">
        <v>1077</v>
      </c>
      <c r="C291" s="110">
        <f>500/40*C288*10%</f>
        <v>17187.5</v>
      </c>
      <c r="D291" s="1911"/>
      <c r="E291" s="1911"/>
      <c r="F291" s="1911"/>
      <c r="G291" s="427"/>
    </row>
    <row r="292" spans="2:7" ht="23" hidden="1" customHeight="1" outlineLevel="1">
      <c r="B292" s="34" t="s">
        <v>208</v>
      </c>
      <c r="C292" s="110">
        <v>30</v>
      </c>
      <c r="D292" s="1911" t="s">
        <v>1821</v>
      </c>
      <c r="E292" s="1911"/>
      <c r="F292" s="1911"/>
      <c r="G292" s="427"/>
    </row>
    <row r="293" spans="2:7" ht="23" hidden="1" customHeight="1" outlineLevel="1">
      <c r="B293" s="1705" t="s">
        <v>270</v>
      </c>
      <c r="C293" s="1706">
        <f>C292/2</f>
        <v>15</v>
      </c>
      <c r="D293" s="1911"/>
      <c r="E293" s="1911"/>
      <c r="F293" s="1911"/>
      <c r="G293" s="427"/>
    </row>
    <row r="294" spans="2:7" ht="23" hidden="1" customHeight="1" outlineLevel="1">
      <c r="B294" s="1924" t="s">
        <v>655</v>
      </c>
      <c r="C294" s="1924"/>
      <c r="D294" s="1924"/>
      <c r="E294" s="1924"/>
      <c r="F294" s="1924"/>
      <c r="G294" s="427"/>
    </row>
    <row r="295" spans="2:7" ht="23" hidden="1" customHeight="1" outlineLevel="1">
      <c r="B295" s="42" t="s">
        <v>16</v>
      </c>
      <c r="C295" s="41" t="s">
        <v>17</v>
      </c>
      <c r="D295" s="1929" t="s">
        <v>268</v>
      </c>
      <c r="E295" s="1929"/>
      <c r="F295" s="1929"/>
      <c r="G295" s="427"/>
    </row>
    <row r="296" spans="2:7" ht="23" hidden="1" customHeight="1" outlineLevel="1">
      <c r="B296" s="34" t="s">
        <v>1078</v>
      </c>
      <c r="C296" s="179">
        <f>$C$253*D246</f>
        <v>90816.599999999991</v>
      </c>
      <c r="D296" s="2099"/>
      <c r="E296" s="1945"/>
      <c r="F296" s="1945"/>
      <c r="G296" s="427"/>
    </row>
    <row r="297" spans="2:7" ht="29" hidden="1" customHeight="1" outlineLevel="1">
      <c r="B297" s="56" t="s">
        <v>1079</v>
      </c>
      <c r="C297" s="179">
        <f>$C$255*D246</f>
        <v>38289.75499999999</v>
      </c>
      <c r="D297" s="1921" t="str">
        <f>D289</f>
        <v>H8 : On considère que le nombre de personnes mobilisées hors spectateurs et joueurs (staff, arbitres, bénévoles, dirigeants) est de la même proportion que le nombre de licenciés à ce niveau de compétition.</v>
      </c>
      <c r="E297" s="1913"/>
      <c r="F297" s="1913"/>
      <c r="G297" s="427"/>
    </row>
    <row r="298" spans="2:7" ht="23" hidden="1" customHeight="1" outlineLevel="1">
      <c r="B298" s="17" t="s">
        <v>1076</v>
      </c>
      <c r="C298" s="110">
        <f>0.5*C296*4/5</f>
        <v>36326.639999999999</v>
      </c>
      <c r="D298" s="1911" t="s">
        <v>1822</v>
      </c>
      <c r="E298" s="1911"/>
      <c r="F298" s="1911"/>
      <c r="G298" s="427"/>
    </row>
    <row r="299" spans="2:7" ht="23" hidden="1" customHeight="1" outlineLevel="1">
      <c r="B299" s="17" t="s">
        <v>1077</v>
      </c>
      <c r="C299" s="110">
        <f>0.5*C297*1/5</f>
        <v>3828.9754999999991</v>
      </c>
      <c r="D299" s="1911"/>
      <c r="E299" s="1911"/>
      <c r="F299" s="1911"/>
      <c r="G299" s="427"/>
    </row>
    <row r="300" spans="2:7" ht="23" hidden="1" customHeight="1" outlineLevel="1">
      <c r="B300" s="34" t="s">
        <v>208</v>
      </c>
      <c r="C300" s="110">
        <v>24</v>
      </c>
      <c r="D300" s="1911" t="s">
        <v>1823</v>
      </c>
      <c r="E300" s="1911"/>
      <c r="F300" s="1911"/>
      <c r="G300" s="427"/>
    </row>
    <row r="301" spans="2:7" ht="23" hidden="1" customHeight="1" outlineLevel="1">
      <c r="B301" s="1705" t="s">
        <v>270</v>
      </c>
      <c r="C301" s="1706">
        <f>C300/2</f>
        <v>12</v>
      </c>
      <c r="D301" s="1911"/>
      <c r="E301" s="1911"/>
      <c r="F301" s="1911"/>
      <c r="G301" s="427"/>
    </row>
    <row r="302" spans="2:7" ht="23" hidden="1" customHeight="1" outlineLevel="1">
      <c r="B302" s="1924" t="s">
        <v>656</v>
      </c>
      <c r="C302" s="1924"/>
      <c r="D302" s="1924"/>
      <c r="E302" s="1924"/>
      <c r="F302" s="1924"/>
      <c r="G302" s="427"/>
    </row>
    <row r="303" spans="2:7" ht="23" hidden="1" customHeight="1" outlineLevel="1">
      <c r="B303" s="42" t="s">
        <v>16</v>
      </c>
      <c r="C303" s="41" t="s">
        <v>17</v>
      </c>
      <c r="D303" s="1929" t="s">
        <v>268</v>
      </c>
      <c r="E303" s="1929"/>
      <c r="F303" s="1929"/>
      <c r="G303" s="427"/>
    </row>
    <row r="304" spans="2:7" ht="23" hidden="1" customHeight="1" outlineLevel="1">
      <c r="B304" s="34" t="s">
        <v>1078</v>
      </c>
      <c r="C304" s="179">
        <f>$C$253*D245</f>
        <v>155685.6</v>
      </c>
      <c r="D304" s="2099"/>
      <c r="E304" s="1945"/>
      <c r="F304" s="1945"/>
      <c r="G304" s="427"/>
    </row>
    <row r="305" spans="2:8" ht="23" hidden="1" customHeight="1" outlineLevel="1">
      <c r="B305" s="56" t="s">
        <v>1079</v>
      </c>
      <c r="C305" s="179">
        <f>$D$245*C255</f>
        <v>65639.579999999987</v>
      </c>
      <c r="D305" s="1921" t="str">
        <f>D297</f>
        <v>H8 : On considère que le nombre de personnes mobilisées hors spectateurs et joueurs (staff, arbitres, bénévoles, dirigeants) est de la même proportion que le nombre de licenciés à ce niveau de compétition.</v>
      </c>
      <c r="E305" s="1913"/>
      <c r="F305" s="1913"/>
      <c r="G305" s="427"/>
    </row>
    <row r="306" spans="2:8" ht="23" hidden="1" customHeight="1" outlineLevel="1">
      <c r="B306" s="17" t="s">
        <v>1076</v>
      </c>
      <c r="C306" s="110">
        <f>0.5*C304*4/5</f>
        <v>62274.240000000005</v>
      </c>
      <c r="D306" s="1911" t="str">
        <f>D298</f>
        <v>H11 : On considère que pour un match, il y a en moyenne 1 personne pour 2 sportifs qui vient voir le match en tant que spectateur (famille, amis, supporters, etc.) dont 1/5 sont des visiteurs. D'après source (2), ce chiffre est d'environ 1/4. Suite à des retours lors de la publication intermédiaire nous avons décidé de revoir à la baisse cette part à 1/5.</v>
      </c>
      <c r="E306" s="1911"/>
      <c r="F306" s="1911"/>
      <c r="G306" s="427"/>
    </row>
    <row r="307" spans="2:8" ht="23" hidden="1" customHeight="1" outlineLevel="1">
      <c r="B307" s="17" t="s">
        <v>1077</v>
      </c>
      <c r="C307" s="110">
        <f>0.5*C305*1/5</f>
        <v>6563.9579999999987</v>
      </c>
      <c r="D307" s="1911"/>
      <c r="E307" s="1911"/>
      <c r="F307" s="1911"/>
      <c r="G307" s="427"/>
    </row>
    <row r="308" spans="2:8" ht="23" hidden="1" customHeight="1" outlineLevel="1">
      <c r="B308" s="34" t="s">
        <v>208</v>
      </c>
      <c r="C308" s="110">
        <f>C300</f>
        <v>24</v>
      </c>
      <c r="D308" s="1911" t="str">
        <f>D300</f>
        <v xml:space="preserve">H12 : On considère 24 rencontres annuelles dont 12 à l'extérieur (source : FFF et Utopies, qui donne un chiffre compris entre 12 et 15). </v>
      </c>
      <c r="E308" s="1911"/>
      <c r="F308" s="1911"/>
      <c r="G308" s="427"/>
    </row>
    <row r="309" spans="2:8" ht="23" hidden="1" customHeight="1" outlineLevel="1">
      <c r="B309" s="1705" t="s">
        <v>270</v>
      </c>
      <c r="C309" s="1706">
        <f>C308/2</f>
        <v>12</v>
      </c>
      <c r="D309" s="1911"/>
      <c r="E309" s="1911"/>
      <c r="F309" s="1911"/>
      <c r="G309" s="427"/>
    </row>
    <row r="310" spans="2:8" ht="23" hidden="1" customHeight="1" outlineLevel="1">
      <c r="B310" s="1533"/>
      <c r="C310" s="1534"/>
      <c r="D310" s="877"/>
      <c r="E310" s="877"/>
      <c r="F310" s="877"/>
      <c r="G310" s="427"/>
    </row>
    <row r="311" spans="2:8" ht="23" hidden="1" customHeight="1" outlineLevel="1">
      <c r="B311" s="893" t="s">
        <v>660</v>
      </c>
      <c r="C311" s="1534"/>
      <c r="D311" s="877"/>
      <c r="E311" s="877"/>
      <c r="F311" s="877"/>
      <c r="G311" s="427"/>
    </row>
    <row r="312" spans="2:8" ht="22" hidden="1" customHeight="1" outlineLevel="1" thickBot="1">
      <c r="B312" s="10" t="s">
        <v>1081</v>
      </c>
      <c r="F312"/>
      <c r="G312"/>
      <c r="H312"/>
    </row>
    <row r="313" spans="2:8" ht="22" hidden="1" customHeight="1" outlineLevel="1" thickBot="1">
      <c r="B313" s="1539" t="s">
        <v>1080</v>
      </c>
      <c r="C313" s="783" t="s">
        <v>666</v>
      </c>
      <c r="D313" s="1538" t="s">
        <v>669</v>
      </c>
      <c r="E313" s="782" t="s">
        <v>670</v>
      </c>
      <c r="F313"/>
      <c r="G313"/>
      <c r="H313"/>
    </row>
    <row r="314" spans="2:8" ht="22" hidden="1" customHeight="1" outlineLevel="1">
      <c r="B314" s="1535" t="s">
        <v>667</v>
      </c>
      <c r="C314" s="1536">
        <f>(C288+C289)/2+C290+(C261+C262)/2+C263</f>
        <v>308824.96276177408</v>
      </c>
      <c r="D314" s="1540">
        <f>(C296+C297)/2+C298+(C269+C270)/2+C271</f>
        <v>380121.12950000004</v>
      </c>
      <c r="E314" s="1537">
        <f>(C277+C278)/2+C279+(C304+C305)/2+C306</f>
        <v>1877804.9670077153</v>
      </c>
      <c r="F314"/>
      <c r="G314"/>
      <c r="H314"/>
    </row>
    <row r="315" spans="2:8" ht="22" hidden="1" customHeight="1" outlineLevel="1" thickBot="1">
      <c r="B315" s="1541" t="s">
        <v>668</v>
      </c>
      <c r="C315" s="1542">
        <f>(C288+C289)/2+C291+(C261+C262)/2+C264</f>
        <v>48824.96276177407</v>
      </c>
      <c r="D315" s="1543">
        <f>(C296+C297)/2+C299+(C269+C270)/2+C272</f>
        <v>251895.52499999999</v>
      </c>
      <c r="E315" s="1544">
        <f>(C277+C278)/2+C280+(C304+C305)/2+C307</f>
        <v>1237641.3548092586</v>
      </c>
      <c r="F315"/>
      <c r="G315"/>
      <c r="H315"/>
    </row>
    <row r="316" spans="2:8" ht="22" hidden="1" customHeight="1" outlineLevel="1" thickBot="1">
      <c r="B316" s="1545" t="s">
        <v>139</v>
      </c>
      <c r="C316" s="1549">
        <f>SUM(C314:C315)</f>
        <v>357649.92552354815</v>
      </c>
      <c r="D316" s="1546">
        <f t="shared" ref="D316:E316" si="31">SUM(D314:D315)</f>
        <v>632016.65450000006</v>
      </c>
      <c r="E316" s="1550">
        <f t="shared" si="31"/>
        <v>3115446.3218169739</v>
      </c>
      <c r="F316"/>
      <c r="G316"/>
      <c r="H316"/>
    </row>
    <row r="317" spans="2:8" ht="22" hidden="1" customHeight="1" outlineLevel="1">
      <c r="F317"/>
      <c r="G317"/>
      <c r="H317"/>
    </row>
    <row r="318" spans="2:8" ht="22" customHeight="1" collapsed="1"/>
    <row r="319" spans="2:8" ht="20">
      <c r="B319" s="383" t="s">
        <v>1416</v>
      </c>
      <c r="D319"/>
    </row>
    <row r="321" spans="2:8" ht="22" customHeight="1">
      <c r="B321" s="11" t="s">
        <v>1306</v>
      </c>
    </row>
    <row r="322" spans="2:8" ht="17" customHeight="1">
      <c r="B322" s="158" t="s">
        <v>916</v>
      </c>
    </row>
    <row r="323" spans="2:8" ht="17" hidden="1" customHeight="1" outlineLevel="1">
      <c r="B323" s="65" t="s">
        <v>265</v>
      </c>
    </row>
    <row r="324" spans="2:8" ht="17" hidden="1" customHeight="1" outlineLevel="1">
      <c r="B324" s="1940" t="s">
        <v>1083</v>
      </c>
      <c r="C324" s="1940"/>
      <c r="D324" s="1940"/>
      <c r="E324" s="1940"/>
    </row>
    <row r="325" spans="2:8" ht="17" hidden="1" customHeight="1" outlineLevel="1">
      <c r="B325" s="1940"/>
      <c r="C325" s="1940"/>
      <c r="D325" s="1940"/>
      <c r="E325" s="1940"/>
    </row>
    <row r="326" spans="2:8" ht="17" hidden="1" customHeight="1" outlineLevel="1">
      <c r="B326"/>
      <c r="C326"/>
      <c r="D326"/>
      <c r="F326"/>
      <c r="G326"/>
      <c r="H326"/>
    </row>
    <row r="327" spans="2:8" ht="17" hidden="1" customHeight="1" outlineLevel="1">
      <c r="B327" s="41" t="s">
        <v>1084</v>
      </c>
      <c r="C327" s="1129" t="s">
        <v>831</v>
      </c>
      <c r="D327" s="1129" t="s">
        <v>832</v>
      </c>
      <c r="F327"/>
      <c r="G327"/>
      <c r="H327"/>
    </row>
    <row r="328" spans="2:8" ht="17" hidden="1" customHeight="1" outlineLevel="1">
      <c r="B328" s="2103" t="s">
        <v>1085</v>
      </c>
      <c r="C328" s="1119" t="s">
        <v>795</v>
      </c>
      <c r="D328" s="1119" t="s">
        <v>833</v>
      </c>
    </row>
    <row r="329" spans="2:8" ht="17" hidden="1" customHeight="1" outlineLevel="1">
      <c r="B329" s="2104"/>
      <c r="C329" s="1119" t="s">
        <v>796</v>
      </c>
      <c r="D329" s="1119" t="s">
        <v>834</v>
      </c>
    </row>
    <row r="330" spans="2:8" ht="17" hidden="1" customHeight="1" outlineLevel="1">
      <c r="B330" s="2104"/>
      <c r="C330" s="1119" t="s">
        <v>797</v>
      </c>
      <c r="D330" s="1119" t="s">
        <v>835</v>
      </c>
    </row>
    <row r="331" spans="2:8" ht="17" hidden="1" customHeight="1" outlineLevel="1">
      <c r="B331" s="2104"/>
      <c r="C331" s="1119" t="s">
        <v>798</v>
      </c>
      <c r="D331" s="1119" t="s">
        <v>836</v>
      </c>
    </row>
    <row r="332" spans="2:8" ht="17" hidden="1" customHeight="1" outlineLevel="1">
      <c r="B332" s="2104"/>
      <c r="C332" s="1119" t="s">
        <v>799</v>
      </c>
      <c r="D332" s="1119" t="s">
        <v>837</v>
      </c>
    </row>
    <row r="333" spans="2:8" ht="17" hidden="1" customHeight="1" outlineLevel="1">
      <c r="B333" s="2104"/>
      <c r="C333" s="1119" t="s">
        <v>800</v>
      </c>
      <c r="D333" s="1119" t="s">
        <v>838</v>
      </c>
    </row>
    <row r="334" spans="2:8" ht="17" hidden="1" customHeight="1" outlineLevel="1">
      <c r="B334" s="2104"/>
      <c r="C334" s="1119" t="s">
        <v>801</v>
      </c>
      <c r="D334" s="1119" t="s">
        <v>839</v>
      </c>
    </row>
    <row r="335" spans="2:8" ht="17" hidden="1" customHeight="1" outlineLevel="1">
      <c r="B335" s="2104"/>
      <c r="C335" s="1119" t="s">
        <v>802</v>
      </c>
      <c r="D335" s="1119" t="s">
        <v>840</v>
      </c>
    </row>
    <row r="336" spans="2:8" ht="17" hidden="1" customHeight="1" outlineLevel="1">
      <c r="B336" s="2104"/>
      <c r="C336" s="1119" t="s">
        <v>803</v>
      </c>
      <c r="D336" s="1119" t="s">
        <v>841</v>
      </c>
    </row>
    <row r="337" spans="2:16" ht="17" hidden="1" customHeight="1" outlineLevel="1">
      <c r="B337" s="2104"/>
      <c r="C337" s="1119" t="s">
        <v>804</v>
      </c>
      <c r="D337" s="1119" t="s">
        <v>842</v>
      </c>
    </row>
    <row r="338" spans="2:16" ht="17" hidden="1" customHeight="1" outlineLevel="1">
      <c r="B338" s="2104"/>
      <c r="C338" s="1119" t="s">
        <v>805</v>
      </c>
      <c r="D338" s="1119" t="s">
        <v>837</v>
      </c>
    </row>
    <row r="339" spans="2:16" ht="17" hidden="1" customHeight="1" outlineLevel="1">
      <c r="B339" s="2105"/>
      <c r="C339" s="1119" t="s">
        <v>806</v>
      </c>
      <c r="D339" s="1119" t="s">
        <v>843</v>
      </c>
      <c r="F339"/>
      <c r="G339"/>
      <c r="H339"/>
    </row>
    <row r="340" spans="2:16" ht="17" hidden="1" customHeight="1" outlineLevel="1">
      <c r="B340" s="1126"/>
      <c r="C340" s="117" t="s">
        <v>1082</v>
      </c>
      <c r="D340" s="117">
        <v>20.36</v>
      </c>
      <c r="F340"/>
      <c r="G340"/>
      <c r="H340"/>
    </row>
    <row r="341" spans="2:16" ht="17" hidden="1" customHeight="1" outlineLevel="1">
      <c r="B341" s="2103" t="s">
        <v>1086</v>
      </c>
      <c r="C341" s="1119" t="s">
        <v>868</v>
      </c>
      <c r="D341" s="1119" t="s">
        <v>893</v>
      </c>
      <c r="E341"/>
      <c r="F341"/>
      <c r="G341"/>
      <c r="H341"/>
      <c r="I341"/>
      <c r="J341"/>
      <c r="K341"/>
      <c r="L341"/>
      <c r="M341"/>
      <c r="N341"/>
      <c r="O341"/>
      <c r="P341"/>
    </row>
    <row r="342" spans="2:16" ht="17" hidden="1" customHeight="1" outlineLevel="1">
      <c r="B342" s="2104"/>
      <c r="C342" s="1119" t="s">
        <v>869</v>
      </c>
      <c r="D342" s="1119" t="s">
        <v>894</v>
      </c>
      <c r="E342"/>
      <c r="F342"/>
      <c r="G342"/>
      <c r="H342"/>
      <c r="I342"/>
      <c r="J342"/>
      <c r="K342"/>
      <c r="L342"/>
      <c r="M342"/>
      <c r="N342"/>
      <c r="O342"/>
      <c r="P342"/>
    </row>
    <row r="343" spans="2:16" ht="17" hidden="1" customHeight="1" outlineLevel="1">
      <c r="B343" s="2104"/>
      <c r="C343" s="1119" t="s">
        <v>870</v>
      </c>
      <c r="D343" s="1119" t="s">
        <v>895</v>
      </c>
      <c r="E343"/>
      <c r="I343"/>
      <c r="J343"/>
      <c r="K343"/>
      <c r="L343"/>
      <c r="M343"/>
      <c r="N343"/>
      <c r="O343"/>
      <c r="P343"/>
    </row>
    <row r="344" spans="2:16" ht="17" hidden="1" customHeight="1" outlineLevel="1">
      <c r="B344" s="2104"/>
      <c r="C344" s="1119" t="s">
        <v>871</v>
      </c>
      <c r="D344" s="1119" t="s">
        <v>896</v>
      </c>
      <c r="E344"/>
      <c r="I344"/>
      <c r="J344"/>
      <c r="K344"/>
      <c r="L344"/>
      <c r="M344"/>
      <c r="N344"/>
      <c r="O344"/>
      <c r="P344"/>
    </row>
    <row r="345" spans="2:16" ht="17" hidden="1" customHeight="1" outlineLevel="1">
      <c r="B345" s="2104"/>
      <c r="C345" s="1119" t="s">
        <v>872</v>
      </c>
      <c r="D345" s="1119" t="s">
        <v>897</v>
      </c>
      <c r="E345"/>
      <c r="I345"/>
      <c r="J345"/>
      <c r="K345"/>
      <c r="L345"/>
      <c r="M345"/>
      <c r="N345"/>
      <c r="O345"/>
      <c r="P345"/>
    </row>
    <row r="346" spans="2:16" ht="17" hidden="1" customHeight="1" outlineLevel="1">
      <c r="B346" s="2104"/>
      <c r="C346" s="1119" t="s">
        <v>873</v>
      </c>
      <c r="D346" s="1119" t="s">
        <v>898</v>
      </c>
      <c r="E346"/>
      <c r="I346"/>
      <c r="J346"/>
      <c r="K346"/>
      <c r="L346"/>
      <c r="M346"/>
      <c r="N346"/>
      <c r="O346"/>
      <c r="P346"/>
    </row>
    <row r="347" spans="2:16" ht="17" hidden="1" customHeight="1" outlineLevel="1">
      <c r="B347" s="2104"/>
      <c r="C347" s="1119" t="s">
        <v>874</v>
      </c>
      <c r="D347" s="1119" t="s">
        <v>899</v>
      </c>
      <c r="E347"/>
      <c r="I347"/>
      <c r="J347"/>
      <c r="K347"/>
      <c r="L347"/>
      <c r="M347"/>
      <c r="N347"/>
      <c r="O347"/>
      <c r="P347"/>
    </row>
    <row r="348" spans="2:16" ht="17" hidden="1" customHeight="1" outlineLevel="1">
      <c r="B348" s="2104"/>
      <c r="C348" s="1119" t="s">
        <v>875</v>
      </c>
      <c r="D348" s="1119" t="s">
        <v>900</v>
      </c>
      <c r="E348"/>
      <c r="I348"/>
      <c r="J348"/>
      <c r="K348"/>
      <c r="L348"/>
      <c r="M348"/>
      <c r="N348"/>
      <c r="O348"/>
      <c r="P348"/>
    </row>
    <row r="349" spans="2:16" ht="17" hidden="1" customHeight="1" outlineLevel="1">
      <c r="B349" s="2104"/>
      <c r="C349" s="1119" t="s">
        <v>876</v>
      </c>
      <c r="D349" s="1119" t="s">
        <v>901</v>
      </c>
      <c r="E349"/>
      <c r="I349"/>
      <c r="J349"/>
      <c r="K349"/>
      <c r="L349"/>
      <c r="M349"/>
      <c r="N349"/>
      <c r="O349"/>
      <c r="P349"/>
    </row>
    <row r="350" spans="2:16" ht="17" hidden="1" customHeight="1" outlineLevel="1">
      <c r="B350" s="2104"/>
      <c r="C350" s="1119" t="s">
        <v>877</v>
      </c>
      <c r="D350" s="1119" t="s">
        <v>902</v>
      </c>
      <c r="E350"/>
      <c r="I350"/>
      <c r="J350"/>
      <c r="K350"/>
      <c r="L350"/>
      <c r="M350"/>
      <c r="N350"/>
      <c r="O350"/>
      <c r="P350"/>
    </row>
    <row r="351" spans="2:16" ht="17" hidden="1" customHeight="1" outlineLevel="1">
      <c r="B351" s="2104"/>
      <c r="C351" s="1119" t="s">
        <v>878</v>
      </c>
      <c r="D351" s="1119" t="s">
        <v>903</v>
      </c>
      <c r="I351"/>
      <c r="J351"/>
      <c r="K351"/>
      <c r="L351"/>
      <c r="M351"/>
      <c r="N351"/>
      <c r="O351"/>
      <c r="P351"/>
    </row>
    <row r="352" spans="2:16" ht="17" hidden="1" customHeight="1" outlineLevel="1">
      <c r="B352" s="2105"/>
      <c r="C352" s="1119" t="s">
        <v>879</v>
      </c>
      <c r="D352" s="1119" t="s">
        <v>904</v>
      </c>
      <c r="I352"/>
      <c r="J352"/>
      <c r="K352"/>
      <c r="L352"/>
      <c r="M352"/>
      <c r="N352"/>
      <c r="O352"/>
      <c r="P352"/>
    </row>
    <row r="353" spans="2:16" ht="17" hidden="1" customHeight="1" outlineLevel="1">
      <c r="B353" s="1126"/>
      <c r="C353" s="117" t="s">
        <v>1082</v>
      </c>
      <c r="D353" s="117">
        <v>25.85</v>
      </c>
      <c r="I353"/>
      <c r="J353"/>
      <c r="K353"/>
      <c r="L353"/>
      <c r="M353"/>
      <c r="N353"/>
      <c r="O353"/>
      <c r="P353"/>
    </row>
    <row r="354" spans="2:16" ht="17" hidden="1" customHeight="1" outlineLevel="1">
      <c r="B354" s="2103" t="s">
        <v>1087</v>
      </c>
      <c r="C354" s="1119" t="s">
        <v>880</v>
      </c>
      <c r="D354" s="1119" t="s">
        <v>905</v>
      </c>
      <c r="E354"/>
      <c r="I354"/>
      <c r="J354"/>
      <c r="K354"/>
      <c r="L354"/>
      <c r="M354"/>
      <c r="N354"/>
      <c r="O354"/>
      <c r="P354"/>
    </row>
    <row r="355" spans="2:16" ht="17" hidden="1" customHeight="1" outlineLevel="1">
      <c r="B355" s="2104"/>
      <c r="C355" s="1119" t="s">
        <v>881</v>
      </c>
      <c r="D355" s="1119" t="s">
        <v>906</v>
      </c>
      <c r="E355"/>
      <c r="I355"/>
      <c r="J355"/>
      <c r="K355"/>
      <c r="L355"/>
      <c r="M355"/>
      <c r="N355"/>
      <c r="O355"/>
      <c r="P355"/>
    </row>
    <row r="356" spans="2:16" ht="17" hidden="1" customHeight="1" outlineLevel="1">
      <c r="B356" s="2104"/>
      <c r="C356" s="1119" t="s">
        <v>882</v>
      </c>
      <c r="D356" s="1119" t="s">
        <v>907</v>
      </c>
      <c r="E356"/>
      <c r="I356"/>
      <c r="J356"/>
      <c r="K356"/>
      <c r="L356"/>
      <c r="M356"/>
      <c r="N356"/>
      <c r="O356"/>
      <c r="P356"/>
    </row>
    <row r="357" spans="2:16" ht="17" hidden="1" customHeight="1" outlineLevel="1">
      <c r="B357" s="2104"/>
      <c r="C357" s="1119" t="s">
        <v>883</v>
      </c>
      <c r="D357" s="1119" t="s">
        <v>908</v>
      </c>
      <c r="E357"/>
      <c r="F357"/>
      <c r="G357"/>
      <c r="H357"/>
      <c r="I357"/>
      <c r="J357"/>
      <c r="K357"/>
      <c r="L357"/>
      <c r="M357"/>
      <c r="N357"/>
      <c r="O357"/>
      <c r="P357"/>
    </row>
    <row r="358" spans="2:16" ht="17" hidden="1" customHeight="1" outlineLevel="1">
      <c r="B358" s="2104"/>
      <c r="C358" s="1119" t="s">
        <v>884</v>
      </c>
      <c r="D358" s="1119" t="s">
        <v>909</v>
      </c>
      <c r="E358"/>
      <c r="I358"/>
      <c r="J358"/>
      <c r="K358"/>
      <c r="L358"/>
      <c r="M358"/>
      <c r="N358"/>
      <c r="O358"/>
      <c r="P358"/>
    </row>
    <row r="359" spans="2:16" ht="17" hidden="1" customHeight="1" outlineLevel="1">
      <c r="B359" s="2104"/>
      <c r="C359" s="1119" t="s">
        <v>885</v>
      </c>
      <c r="D359" s="1119" t="s">
        <v>910</v>
      </c>
      <c r="E359"/>
      <c r="F359" s="454"/>
      <c r="G359"/>
      <c r="H359"/>
      <c r="I359"/>
      <c r="J359"/>
      <c r="K359"/>
      <c r="L359"/>
      <c r="M359"/>
      <c r="N359"/>
      <c r="O359"/>
      <c r="P359"/>
    </row>
    <row r="360" spans="2:16" ht="17" hidden="1" customHeight="1" outlineLevel="1">
      <c r="B360" s="2104"/>
      <c r="C360" s="1119" t="s">
        <v>886</v>
      </c>
      <c r="D360" s="1119" t="s">
        <v>911</v>
      </c>
      <c r="E360"/>
      <c r="H360"/>
      <c r="I360"/>
      <c r="J360"/>
      <c r="K360"/>
      <c r="L360"/>
      <c r="M360"/>
      <c r="N360"/>
      <c r="O360"/>
      <c r="P360"/>
    </row>
    <row r="361" spans="2:16" ht="17" hidden="1" customHeight="1" outlineLevel="1">
      <c r="B361" s="2104"/>
      <c r="C361" s="1119" t="s">
        <v>887</v>
      </c>
      <c r="D361" s="1119" t="s">
        <v>912</v>
      </c>
      <c r="E361"/>
      <c r="H361"/>
      <c r="I361"/>
      <c r="J361"/>
      <c r="K361"/>
      <c r="L361"/>
      <c r="M361"/>
      <c r="N361"/>
      <c r="O361"/>
      <c r="P361"/>
    </row>
    <row r="362" spans="2:16" ht="17" hidden="1" customHeight="1" outlineLevel="1">
      <c r="B362" s="2104"/>
      <c r="C362" s="1119" t="s">
        <v>888</v>
      </c>
      <c r="D362" s="1119" t="s">
        <v>913</v>
      </c>
      <c r="E362"/>
      <c r="H362"/>
      <c r="I362"/>
      <c r="J362"/>
      <c r="K362"/>
      <c r="L362"/>
      <c r="M362"/>
      <c r="N362"/>
      <c r="O362"/>
      <c r="P362"/>
    </row>
    <row r="363" spans="2:16" ht="17" hidden="1" customHeight="1" outlineLevel="1">
      <c r="B363" s="2104"/>
      <c r="C363" s="1119" t="s">
        <v>889</v>
      </c>
      <c r="D363" s="1119" t="s">
        <v>914</v>
      </c>
      <c r="E363"/>
      <c r="H363"/>
      <c r="I363"/>
      <c r="J363"/>
      <c r="K363"/>
      <c r="L363"/>
      <c r="M363"/>
      <c r="N363"/>
      <c r="O363"/>
      <c r="P363"/>
    </row>
    <row r="364" spans="2:16" ht="17" hidden="1" customHeight="1" outlineLevel="1">
      <c r="B364" s="2104"/>
      <c r="C364" s="1119" t="s">
        <v>890</v>
      </c>
      <c r="D364" s="1119" t="s">
        <v>915</v>
      </c>
      <c r="E364"/>
      <c r="H364"/>
      <c r="I364"/>
      <c r="J364"/>
      <c r="K364"/>
      <c r="L364"/>
      <c r="M364"/>
      <c r="N364"/>
      <c r="O364"/>
      <c r="P364"/>
    </row>
    <row r="365" spans="2:16" ht="17" hidden="1" customHeight="1" outlineLevel="1">
      <c r="B365" s="2105"/>
      <c r="C365" s="1119" t="s">
        <v>891</v>
      </c>
      <c r="D365" s="1119" t="s">
        <v>913</v>
      </c>
      <c r="E365"/>
      <c r="H365"/>
      <c r="I365"/>
      <c r="J365"/>
      <c r="K365"/>
      <c r="L365"/>
      <c r="M365"/>
      <c r="N365"/>
      <c r="O365"/>
      <c r="P365"/>
    </row>
    <row r="366" spans="2:16" ht="17" hidden="1" customHeight="1" outlineLevel="1">
      <c r="B366" s="1126"/>
      <c r="C366" s="117" t="s">
        <v>1082</v>
      </c>
      <c r="D366" s="117">
        <v>23.25</v>
      </c>
      <c r="E366"/>
      <c r="F366" s="454"/>
      <c r="G366" s="1128"/>
      <c r="H366"/>
      <c r="I366"/>
      <c r="J366"/>
      <c r="K366"/>
      <c r="L366"/>
      <c r="M366"/>
      <c r="N366"/>
      <c r="O366"/>
      <c r="P366"/>
    </row>
    <row r="367" spans="2:16" ht="17" hidden="1" customHeight="1" outlineLevel="1">
      <c r="B367" s="2103" t="s">
        <v>1088</v>
      </c>
      <c r="C367" s="1119" t="s">
        <v>807</v>
      </c>
      <c r="D367" s="1119" t="s">
        <v>844</v>
      </c>
      <c r="E367"/>
      <c r="F367"/>
      <c r="G367"/>
      <c r="H367"/>
      <c r="I367"/>
      <c r="J367"/>
      <c r="K367"/>
      <c r="L367"/>
      <c r="M367"/>
      <c r="N367"/>
      <c r="O367"/>
      <c r="P367"/>
    </row>
    <row r="368" spans="2:16" ht="17" hidden="1" customHeight="1" outlineLevel="1">
      <c r="B368" s="2104"/>
      <c r="C368" s="1119" t="s">
        <v>808</v>
      </c>
      <c r="D368" s="1119" t="s">
        <v>845</v>
      </c>
      <c r="E368"/>
      <c r="F368"/>
      <c r="G368"/>
      <c r="H368"/>
      <c r="I368"/>
      <c r="J368"/>
      <c r="K368"/>
      <c r="L368"/>
      <c r="M368"/>
      <c r="N368"/>
      <c r="O368"/>
      <c r="P368"/>
    </row>
    <row r="369" spans="2:16" ht="17" hidden="1" customHeight="1" outlineLevel="1">
      <c r="B369" s="2104"/>
      <c r="C369" s="1119" t="s">
        <v>809</v>
      </c>
      <c r="D369" s="1119" t="s">
        <v>846</v>
      </c>
      <c r="E369"/>
      <c r="F369"/>
      <c r="G369"/>
      <c r="H369"/>
      <c r="I369"/>
      <c r="J369"/>
      <c r="K369"/>
      <c r="L369"/>
      <c r="M369"/>
      <c r="N369"/>
      <c r="O369"/>
      <c r="P369"/>
    </row>
    <row r="370" spans="2:16" ht="17" hidden="1" customHeight="1" outlineLevel="1">
      <c r="B370" s="2104"/>
      <c r="C370" s="1119" t="s">
        <v>810</v>
      </c>
      <c r="D370" s="1119" t="s">
        <v>847</v>
      </c>
      <c r="E370"/>
      <c r="F370"/>
      <c r="G370"/>
      <c r="H370"/>
      <c r="I370"/>
      <c r="J370"/>
      <c r="K370"/>
      <c r="L370"/>
      <c r="M370"/>
      <c r="N370"/>
      <c r="O370"/>
      <c r="P370"/>
    </row>
    <row r="371" spans="2:16" ht="17" hidden="1" customHeight="1" outlineLevel="1">
      <c r="B371" s="2104"/>
      <c r="C371" s="1119" t="s">
        <v>811</v>
      </c>
      <c r="D371" s="1119" t="s">
        <v>848</v>
      </c>
      <c r="E371"/>
      <c r="F371"/>
      <c r="G371"/>
      <c r="H371"/>
      <c r="I371"/>
      <c r="J371"/>
      <c r="K371"/>
      <c r="L371"/>
      <c r="M371"/>
      <c r="N371"/>
      <c r="O371"/>
      <c r="P371"/>
    </row>
    <row r="372" spans="2:16" ht="17" hidden="1" customHeight="1" outlineLevel="1">
      <c r="B372" s="2104"/>
      <c r="C372" s="1119" t="s">
        <v>812</v>
      </c>
      <c r="D372" s="1119" t="s">
        <v>849</v>
      </c>
      <c r="E372"/>
      <c r="F372"/>
      <c r="G372"/>
      <c r="H372"/>
      <c r="I372"/>
      <c r="J372"/>
      <c r="K372"/>
      <c r="L372"/>
      <c r="M372"/>
      <c r="N372"/>
      <c r="O372"/>
      <c r="P372"/>
    </row>
    <row r="373" spans="2:16" ht="17" hidden="1" customHeight="1" outlineLevel="1">
      <c r="B373" s="2104"/>
      <c r="C373" s="1119" t="s">
        <v>813</v>
      </c>
      <c r="D373" s="1119" t="s">
        <v>850</v>
      </c>
      <c r="E373"/>
      <c r="F373"/>
      <c r="G373"/>
      <c r="H373"/>
      <c r="I373"/>
      <c r="J373"/>
      <c r="K373"/>
      <c r="L373"/>
      <c r="M373"/>
      <c r="N373"/>
      <c r="O373"/>
      <c r="P373"/>
    </row>
    <row r="374" spans="2:16" ht="17" hidden="1" customHeight="1" outlineLevel="1">
      <c r="B374" s="2104"/>
      <c r="C374" s="1119" t="s">
        <v>814</v>
      </c>
      <c r="D374" s="1119" t="s">
        <v>851</v>
      </c>
      <c r="E374"/>
      <c r="F374"/>
      <c r="G374"/>
      <c r="H374"/>
      <c r="I374"/>
      <c r="J374"/>
      <c r="K374"/>
      <c r="L374"/>
      <c r="M374"/>
      <c r="N374"/>
      <c r="O374"/>
      <c r="P374"/>
    </row>
    <row r="375" spans="2:16" ht="17" hidden="1" customHeight="1" outlineLevel="1">
      <c r="B375" s="2104"/>
      <c r="C375" s="1119" t="s">
        <v>815</v>
      </c>
      <c r="D375" s="1119" t="s">
        <v>852</v>
      </c>
      <c r="E375"/>
      <c r="F375"/>
      <c r="G375"/>
      <c r="H375"/>
      <c r="I375"/>
      <c r="J375"/>
      <c r="K375"/>
      <c r="L375"/>
      <c r="M375"/>
      <c r="N375"/>
      <c r="O375"/>
      <c r="P375"/>
    </row>
    <row r="376" spans="2:16" ht="17" hidden="1" customHeight="1" outlineLevel="1">
      <c r="B376" s="2104"/>
      <c r="C376" s="1119" t="s">
        <v>816</v>
      </c>
      <c r="D376" s="1119" t="s">
        <v>853</v>
      </c>
      <c r="E376"/>
      <c r="F376"/>
      <c r="G376"/>
      <c r="H376"/>
      <c r="I376"/>
      <c r="J376"/>
      <c r="K376"/>
      <c r="L376"/>
      <c r="M376"/>
      <c r="N376"/>
      <c r="O376"/>
      <c r="P376"/>
    </row>
    <row r="377" spans="2:16" ht="17" hidden="1" customHeight="1" outlineLevel="1">
      <c r="B377" s="2104"/>
      <c r="C377" s="1119" t="s">
        <v>817</v>
      </c>
      <c r="D377" s="1119" t="s">
        <v>854</v>
      </c>
      <c r="E377"/>
      <c r="F377"/>
      <c r="G377"/>
      <c r="H377"/>
      <c r="I377"/>
      <c r="J377"/>
      <c r="K377"/>
      <c r="L377"/>
      <c r="M377"/>
      <c r="N377"/>
      <c r="O377"/>
      <c r="P377"/>
    </row>
    <row r="378" spans="2:16" ht="17" hidden="1" customHeight="1" outlineLevel="1">
      <c r="B378" s="2105"/>
      <c r="C378" s="1119" t="s">
        <v>818</v>
      </c>
      <c r="D378" s="1119" t="s">
        <v>855</v>
      </c>
      <c r="E378"/>
      <c r="F378"/>
      <c r="G378"/>
      <c r="H378"/>
      <c r="I378"/>
      <c r="J378"/>
      <c r="K378"/>
      <c r="L378"/>
      <c r="M378"/>
      <c r="N378"/>
      <c r="O378"/>
      <c r="P378"/>
    </row>
    <row r="379" spans="2:16" ht="17" hidden="1" customHeight="1" outlineLevel="1">
      <c r="B379" s="1126"/>
      <c r="C379" s="117" t="s">
        <v>1082</v>
      </c>
      <c r="D379" s="117">
        <v>40.479999999999997</v>
      </c>
      <c r="E379"/>
      <c r="F379"/>
      <c r="G379"/>
      <c r="H379"/>
      <c r="I379"/>
      <c r="J379"/>
      <c r="K379"/>
      <c r="L379"/>
      <c r="M379"/>
      <c r="N379"/>
      <c r="O379"/>
      <c r="P379"/>
    </row>
    <row r="380" spans="2:16" ht="17" hidden="1" customHeight="1" outlineLevel="1">
      <c r="B380" s="2103" t="s">
        <v>1089</v>
      </c>
      <c r="C380" s="1119" t="s">
        <v>819</v>
      </c>
      <c r="D380" s="1119" t="s">
        <v>856</v>
      </c>
      <c r="E380"/>
      <c r="F380"/>
      <c r="G380"/>
      <c r="H380"/>
      <c r="I380"/>
      <c r="J380"/>
      <c r="K380"/>
      <c r="L380"/>
      <c r="M380"/>
      <c r="N380"/>
      <c r="O380"/>
      <c r="P380"/>
    </row>
    <row r="381" spans="2:16" ht="17" hidden="1" customHeight="1" outlineLevel="1">
      <c r="B381" s="2104"/>
      <c r="C381" s="1119" t="s">
        <v>820</v>
      </c>
      <c r="D381" s="1119" t="s">
        <v>857</v>
      </c>
      <c r="E381"/>
      <c r="F381"/>
      <c r="G381"/>
      <c r="H381"/>
      <c r="I381"/>
      <c r="J381"/>
      <c r="K381"/>
      <c r="L381"/>
      <c r="M381"/>
      <c r="N381"/>
      <c r="O381"/>
      <c r="P381"/>
    </row>
    <row r="382" spans="2:16" ht="17" hidden="1" customHeight="1" outlineLevel="1">
      <c r="B382" s="2104"/>
      <c r="C382" s="1119" t="s">
        <v>821</v>
      </c>
      <c r="D382" s="1119" t="s">
        <v>858</v>
      </c>
      <c r="E382"/>
      <c r="F382"/>
      <c r="G382"/>
      <c r="H382"/>
      <c r="I382"/>
      <c r="J382"/>
      <c r="K382"/>
      <c r="L382"/>
      <c r="M382"/>
      <c r="N382"/>
      <c r="O382"/>
      <c r="P382"/>
    </row>
    <row r="383" spans="2:16" ht="17" hidden="1" customHeight="1" outlineLevel="1">
      <c r="B383" s="2104"/>
      <c r="C383" s="1119" t="s">
        <v>822</v>
      </c>
      <c r="D383" s="1119" t="s">
        <v>859</v>
      </c>
      <c r="E383"/>
      <c r="F383"/>
      <c r="G383"/>
      <c r="H383"/>
      <c r="I383"/>
      <c r="J383"/>
      <c r="K383"/>
      <c r="L383"/>
      <c r="M383"/>
      <c r="N383"/>
      <c r="O383"/>
      <c r="P383"/>
    </row>
    <row r="384" spans="2:16" ht="17" hidden="1" customHeight="1" outlineLevel="1">
      <c r="B384" s="2104"/>
      <c r="C384" s="1119" t="s">
        <v>823</v>
      </c>
      <c r="D384" s="1119" t="s">
        <v>860</v>
      </c>
      <c r="E384"/>
      <c r="F384"/>
      <c r="G384"/>
      <c r="H384"/>
      <c r="I384"/>
      <c r="J384"/>
      <c r="K384"/>
      <c r="L384"/>
      <c r="M384"/>
      <c r="N384"/>
      <c r="O384"/>
      <c r="P384"/>
    </row>
    <row r="385" spans="2:16" ht="17" hidden="1" customHeight="1" outlineLevel="1">
      <c r="B385" s="2104"/>
      <c r="C385" s="1119" t="s">
        <v>824</v>
      </c>
      <c r="D385" s="1119" t="s">
        <v>861</v>
      </c>
      <c r="E385"/>
      <c r="F385"/>
      <c r="G385"/>
      <c r="H385"/>
      <c r="I385"/>
      <c r="J385"/>
      <c r="K385"/>
      <c r="L385"/>
      <c r="M385"/>
      <c r="N385"/>
      <c r="O385"/>
      <c r="P385"/>
    </row>
    <row r="386" spans="2:16" ht="17" hidden="1" customHeight="1" outlineLevel="1">
      <c r="B386" s="2104"/>
      <c r="C386" s="1119" t="s">
        <v>825</v>
      </c>
      <c r="D386" s="1119" t="s">
        <v>862</v>
      </c>
      <c r="E386"/>
      <c r="F386"/>
      <c r="G386"/>
      <c r="H386"/>
      <c r="I386"/>
      <c r="J386"/>
      <c r="K386"/>
      <c r="L386"/>
      <c r="M386"/>
      <c r="N386"/>
      <c r="O386"/>
      <c r="P386"/>
    </row>
    <row r="387" spans="2:16" ht="17" hidden="1" customHeight="1" outlineLevel="1">
      <c r="B387" s="2104"/>
      <c r="C387" s="1119" t="s">
        <v>826</v>
      </c>
      <c r="D387" s="1119" t="s">
        <v>863</v>
      </c>
      <c r="E387"/>
      <c r="F387"/>
      <c r="G387"/>
      <c r="H387"/>
      <c r="I387"/>
      <c r="J387"/>
      <c r="K387"/>
      <c r="L387"/>
      <c r="M387"/>
      <c r="N387"/>
      <c r="O387"/>
      <c r="P387"/>
    </row>
    <row r="388" spans="2:16" ht="17" hidden="1" customHeight="1" outlineLevel="1">
      <c r="B388" s="2104"/>
      <c r="C388" s="1119" t="s">
        <v>827</v>
      </c>
      <c r="D388" s="1119" t="s">
        <v>864</v>
      </c>
      <c r="E388"/>
      <c r="F388"/>
      <c r="G388"/>
      <c r="H388"/>
      <c r="I388"/>
      <c r="J388"/>
      <c r="K388"/>
      <c r="L388"/>
      <c r="M388"/>
      <c r="N388"/>
      <c r="O388"/>
      <c r="P388"/>
    </row>
    <row r="389" spans="2:16" ht="17" hidden="1" customHeight="1" outlineLevel="1">
      <c r="B389" s="2104"/>
      <c r="C389" s="1119" t="s">
        <v>828</v>
      </c>
      <c r="D389" s="1119" t="s">
        <v>865</v>
      </c>
      <c r="E389"/>
      <c r="F389"/>
      <c r="G389"/>
      <c r="H389"/>
      <c r="I389"/>
      <c r="J389"/>
      <c r="K389"/>
      <c r="L389"/>
      <c r="M389"/>
      <c r="N389"/>
      <c r="O389"/>
      <c r="P389"/>
    </row>
    <row r="390" spans="2:16" ht="17" hidden="1" customHeight="1" outlineLevel="1">
      <c r="B390" s="2104"/>
      <c r="C390" s="1119" t="s">
        <v>829</v>
      </c>
      <c r="D390" s="1119" t="s">
        <v>866</v>
      </c>
      <c r="E390"/>
      <c r="F390"/>
      <c r="G390"/>
      <c r="H390"/>
      <c r="I390"/>
      <c r="J390"/>
      <c r="K390"/>
      <c r="L390"/>
      <c r="M390"/>
      <c r="N390"/>
      <c r="O390"/>
      <c r="P390"/>
    </row>
    <row r="391" spans="2:16" ht="17" hidden="1" customHeight="1" outlineLevel="1">
      <c r="B391" s="2105"/>
      <c r="C391" s="1119" t="s">
        <v>830</v>
      </c>
      <c r="D391" s="1119" t="s">
        <v>867</v>
      </c>
      <c r="E391"/>
      <c r="F391"/>
      <c r="G391"/>
      <c r="H391"/>
      <c r="I391"/>
      <c r="J391"/>
      <c r="K391"/>
      <c r="L391"/>
      <c r="M391"/>
      <c r="N391"/>
      <c r="O391"/>
      <c r="P391"/>
    </row>
    <row r="392" spans="2:16" ht="17" hidden="1" customHeight="1" outlineLevel="1">
      <c r="C392" s="117" t="s">
        <v>1082</v>
      </c>
      <c r="D392" s="117">
        <v>30.94</v>
      </c>
      <c r="E392"/>
      <c r="F392"/>
      <c r="G392"/>
      <c r="H392"/>
      <c r="I392"/>
      <c r="J392"/>
      <c r="K392"/>
      <c r="L392"/>
      <c r="M392"/>
      <c r="N392"/>
      <c r="O392"/>
      <c r="P392"/>
    </row>
    <row r="393" spans="2:16" ht="17" hidden="1" customHeight="1" outlineLevel="1">
      <c r="C393" s="117" t="s">
        <v>157</v>
      </c>
      <c r="D393" s="1130">
        <f>AVERAGE(D392,D379,D366,D353,D340)</f>
        <v>28.175999999999998</v>
      </c>
      <c r="E393"/>
      <c r="F393"/>
      <c r="G393"/>
      <c r="H393"/>
      <c r="I393"/>
      <c r="J393"/>
      <c r="K393"/>
      <c r="L393"/>
      <c r="M393"/>
      <c r="N393"/>
      <c r="O393"/>
      <c r="P393"/>
    </row>
    <row r="394" spans="2:16" ht="17" hidden="1" customHeight="1" outlineLevel="1">
      <c r="D394"/>
      <c r="E394"/>
      <c r="F394"/>
      <c r="G394"/>
      <c r="H394"/>
      <c r="I394"/>
      <c r="J394"/>
      <c r="K394"/>
      <c r="L394"/>
      <c r="M394"/>
      <c r="N394"/>
      <c r="O394"/>
      <c r="P394"/>
    </row>
    <row r="395" spans="2:16" ht="17" customHeight="1" collapsed="1">
      <c r="B395" s="158" t="s">
        <v>917</v>
      </c>
      <c r="E395" s="1132"/>
      <c r="F395" s="1132"/>
      <c r="G395" s="1132"/>
      <c r="H395" s="1115"/>
      <c r="I395" s="1115"/>
      <c r="J395" s="1115"/>
      <c r="K395" s="1115"/>
      <c r="L395" s="1115"/>
      <c r="M395" s="1115"/>
      <c r="N395"/>
      <c r="O395"/>
      <c r="P395"/>
    </row>
    <row r="396" spans="2:16" ht="17" hidden="1" customHeight="1" outlineLevel="1">
      <c r="B396" s="65" t="s">
        <v>265</v>
      </c>
      <c r="F396" s="1132"/>
      <c r="G396" s="1132"/>
      <c r="H396" s="1115"/>
      <c r="I396" s="1115"/>
      <c r="J396" s="1115"/>
      <c r="K396" s="1115"/>
      <c r="L396" s="1115"/>
      <c r="M396" s="1115"/>
      <c r="N396"/>
      <c r="O396"/>
      <c r="P396"/>
    </row>
    <row r="397" spans="2:16" ht="17" hidden="1" customHeight="1" outlineLevel="1">
      <c r="B397" s="2106" t="s">
        <v>1083</v>
      </c>
      <c r="C397" s="2106"/>
      <c r="D397" s="2106"/>
      <c r="E397" s="2106"/>
      <c r="F397" s="1132"/>
      <c r="G397" s="1132"/>
      <c r="H397" s="1115"/>
      <c r="I397" s="1115"/>
      <c r="J397" s="1115"/>
      <c r="K397" s="1115"/>
      <c r="L397" s="1115"/>
      <c r="M397" s="1115"/>
      <c r="N397"/>
      <c r="O397"/>
      <c r="P397"/>
    </row>
    <row r="398" spans="2:16" ht="17" hidden="1" customHeight="1" outlineLevel="1">
      <c r="B398" s="177"/>
      <c r="C398" s="177"/>
      <c r="D398" s="177"/>
      <c r="E398" s="177"/>
      <c r="F398" s="1132"/>
      <c r="G398" s="1132"/>
      <c r="H398" s="1115"/>
      <c r="I398" s="1115"/>
      <c r="J398" s="1115"/>
      <c r="K398" s="1115"/>
      <c r="L398" s="1115"/>
      <c r="M398" s="1115"/>
      <c r="N398"/>
      <c r="O398"/>
      <c r="P398"/>
    </row>
    <row r="399" spans="2:16" ht="17" hidden="1" customHeight="1" outlineLevel="1">
      <c r="B399" s="1131" t="s">
        <v>918</v>
      </c>
      <c r="C399" s="1129" t="s">
        <v>892</v>
      </c>
      <c r="D399" s="1129" t="s">
        <v>832</v>
      </c>
      <c r="E399" s="1132"/>
      <c r="F399"/>
      <c r="G399"/>
      <c r="H399" s="1115"/>
      <c r="I399" s="1115"/>
      <c r="J399" s="1115"/>
      <c r="K399" s="1115"/>
      <c r="L399" s="1115"/>
      <c r="M399" s="1115"/>
      <c r="N399"/>
      <c r="O399"/>
      <c r="P399"/>
    </row>
    <row r="400" spans="2:16" ht="17" hidden="1" customHeight="1" outlineLevel="1">
      <c r="B400" s="2103" t="s">
        <v>1090</v>
      </c>
      <c r="C400" s="1119" t="s">
        <v>919</v>
      </c>
      <c r="D400" s="1119" t="s">
        <v>920</v>
      </c>
      <c r="E400" s="1132"/>
      <c r="F400"/>
      <c r="G400"/>
      <c r="H400" s="1115"/>
      <c r="I400" s="1115"/>
      <c r="J400" s="1115"/>
      <c r="K400" s="1115"/>
      <c r="L400" s="1115"/>
      <c r="M400" s="1115"/>
      <c r="N400"/>
      <c r="O400"/>
      <c r="P400"/>
    </row>
    <row r="401" spans="2:13" ht="17" hidden="1" customHeight="1" outlineLevel="1">
      <c r="B401" s="2104"/>
      <c r="C401" s="1119" t="s">
        <v>921</v>
      </c>
      <c r="D401" s="1119" t="s">
        <v>922</v>
      </c>
      <c r="E401" s="1132"/>
      <c r="F401"/>
      <c r="G401"/>
      <c r="H401" s="1115"/>
      <c r="I401" s="1115"/>
      <c r="J401" s="1115"/>
      <c r="K401" s="1115"/>
      <c r="L401" s="1115"/>
      <c r="M401" s="1115"/>
    </row>
    <row r="402" spans="2:13" ht="17" hidden="1" customHeight="1" outlineLevel="1">
      <c r="B402" s="2104"/>
      <c r="C402" s="1119" t="s">
        <v>923</v>
      </c>
      <c r="D402" s="1119" t="s">
        <v>924</v>
      </c>
      <c r="E402" s="1132"/>
      <c r="F402"/>
      <c r="G402"/>
      <c r="H402" s="1115"/>
      <c r="I402" s="1115"/>
      <c r="J402" s="1115"/>
      <c r="K402" s="1115"/>
      <c r="L402" s="1115"/>
      <c r="M402" s="1115"/>
    </row>
    <row r="403" spans="2:13" ht="17" hidden="1" customHeight="1" outlineLevel="1">
      <c r="B403" s="2104"/>
      <c r="C403" s="1119" t="s">
        <v>925</v>
      </c>
      <c r="D403" s="1119" t="s">
        <v>926</v>
      </c>
      <c r="E403" s="1132"/>
      <c r="F403"/>
      <c r="G403"/>
      <c r="H403" s="1115"/>
      <c r="I403" s="1115"/>
      <c r="J403" s="1115"/>
      <c r="K403" s="1115"/>
      <c r="L403" s="1115"/>
      <c r="M403" s="1115"/>
    </row>
    <row r="404" spans="2:13" ht="17" hidden="1" customHeight="1" outlineLevel="1">
      <c r="B404" s="2104"/>
      <c r="C404" s="1119" t="s">
        <v>927</v>
      </c>
      <c r="D404" s="1119" t="s">
        <v>928</v>
      </c>
      <c r="E404" s="1132"/>
      <c r="F404"/>
      <c r="G404"/>
      <c r="H404" s="1115"/>
      <c r="I404" s="1115"/>
      <c r="J404" s="1115"/>
      <c r="K404" s="1115"/>
      <c r="L404" s="1115"/>
      <c r="M404" s="1115"/>
    </row>
    <row r="405" spans="2:13" ht="17" hidden="1" customHeight="1" outlineLevel="1">
      <c r="B405" s="2104"/>
      <c r="C405" s="1119" t="s">
        <v>929</v>
      </c>
      <c r="D405" s="1119" t="s">
        <v>833</v>
      </c>
      <c r="E405" s="1132"/>
      <c r="F405"/>
      <c r="G405"/>
      <c r="H405" s="1115"/>
      <c r="I405" s="1115"/>
      <c r="J405" s="1115"/>
      <c r="K405" s="1115"/>
      <c r="L405" s="1115"/>
      <c r="M405" s="1115"/>
    </row>
    <row r="406" spans="2:13" ht="17" hidden="1" customHeight="1" outlineLevel="1">
      <c r="B406" s="2104"/>
      <c r="C406" s="1119" t="s">
        <v>930</v>
      </c>
      <c r="D406" s="1119" t="s">
        <v>922</v>
      </c>
      <c r="E406" s="1132"/>
      <c r="F406"/>
      <c r="G406"/>
      <c r="H406" s="1115"/>
      <c r="I406" s="1115"/>
      <c r="J406" s="1115"/>
      <c r="K406" s="1115"/>
      <c r="L406" s="1115"/>
      <c r="M406" s="1115"/>
    </row>
    <row r="407" spans="2:13" ht="17" hidden="1" customHeight="1" outlineLevel="1">
      <c r="B407" s="2104"/>
      <c r="C407" s="1119" t="s">
        <v>931</v>
      </c>
      <c r="D407" s="1119" t="s">
        <v>932</v>
      </c>
      <c r="E407" s="1132"/>
      <c r="F407"/>
      <c r="G407"/>
      <c r="H407" s="1115"/>
      <c r="I407" s="1115"/>
      <c r="J407" s="1115"/>
      <c r="K407" s="1115"/>
      <c r="L407" s="1115"/>
      <c r="M407" s="1115"/>
    </row>
    <row r="408" spans="2:13" ht="17" hidden="1" customHeight="1" outlineLevel="1">
      <c r="B408" s="2104"/>
      <c r="C408" s="1119" t="s">
        <v>933</v>
      </c>
      <c r="D408" s="1119" t="s">
        <v>934</v>
      </c>
      <c r="E408" s="1132"/>
      <c r="F408"/>
      <c r="G408"/>
      <c r="H408" s="1115"/>
      <c r="I408" s="1115"/>
      <c r="J408" s="1115"/>
      <c r="K408" s="1115"/>
      <c r="L408" s="1115"/>
      <c r="M408" s="1115"/>
    </row>
    <row r="409" spans="2:13" ht="17" hidden="1" customHeight="1" outlineLevel="1">
      <c r="B409" s="2104"/>
      <c r="C409" s="1119" t="s">
        <v>935</v>
      </c>
      <c r="D409" s="1119" t="s">
        <v>936</v>
      </c>
      <c r="E409" s="1132"/>
      <c r="F409"/>
      <c r="G409"/>
      <c r="H409" s="1115"/>
      <c r="I409" s="1115"/>
      <c r="J409" s="1115"/>
      <c r="K409" s="1115"/>
      <c r="L409" s="1115"/>
      <c r="M409" s="1115"/>
    </row>
    <row r="410" spans="2:13" ht="17" hidden="1" customHeight="1" outlineLevel="1">
      <c r="B410" s="2104"/>
      <c r="C410" s="1119" t="s">
        <v>937</v>
      </c>
      <c r="D410" s="1119" t="s">
        <v>938</v>
      </c>
      <c r="E410" s="1132"/>
      <c r="F410"/>
      <c r="G410"/>
      <c r="H410" s="1115"/>
      <c r="I410" s="1115"/>
      <c r="J410" s="1115"/>
      <c r="K410" s="1115"/>
      <c r="L410" s="1115"/>
      <c r="M410" s="1115"/>
    </row>
    <row r="411" spans="2:13" ht="17" hidden="1" customHeight="1" outlineLevel="1">
      <c r="B411" s="2104"/>
      <c r="C411" s="1119" t="s">
        <v>939</v>
      </c>
      <c r="D411" s="1119" t="s">
        <v>940</v>
      </c>
      <c r="E411" s="1132"/>
      <c r="F411"/>
      <c r="G411"/>
      <c r="H411" s="1115"/>
      <c r="I411" s="1115"/>
      <c r="J411" s="1115"/>
      <c r="K411" s="1115"/>
      <c r="L411" s="1115"/>
      <c r="M411" s="1115"/>
    </row>
    <row r="412" spans="2:13" ht="17" hidden="1" customHeight="1" outlineLevel="1">
      <c r="B412" s="2104"/>
      <c r="C412" s="1119" t="s">
        <v>941</v>
      </c>
      <c r="D412" s="1119" t="s">
        <v>942</v>
      </c>
      <c r="E412" s="1132"/>
      <c r="F412"/>
      <c r="G412"/>
      <c r="H412" s="1115"/>
      <c r="I412" s="1115"/>
      <c r="J412" s="1115"/>
      <c r="K412" s="1115"/>
      <c r="L412" s="1115"/>
      <c r="M412" s="1115"/>
    </row>
    <row r="413" spans="2:13" ht="17" hidden="1" customHeight="1" outlineLevel="1">
      <c r="B413" s="2105"/>
      <c r="C413" s="1119" t="s">
        <v>943</v>
      </c>
      <c r="D413" s="1119" t="s">
        <v>944</v>
      </c>
      <c r="E413" s="1132"/>
      <c r="F413"/>
      <c r="G413"/>
      <c r="H413" s="1115"/>
      <c r="I413" s="1115"/>
      <c r="J413" s="1115"/>
      <c r="K413" s="1115"/>
      <c r="L413" s="1115"/>
      <c r="M413" s="1115"/>
    </row>
    <row r="414" spans="2:13" ht="17" hidden="1" customHeight="1" outlineLevel="1">
      <c r="B414" s="1127"/>
      <c r="C414" s="117" t="s">
        <v>1082</v>
      </c>
      <c r="D414" s="42">
        <v>95.15</v>
      </c>
      <c r="E414" s="1132"/>
      <c r="F414"/>
      <c r="G414"/>
      <c r="H414" s="1115"/>
      <c r="I414" s="1115"/>
      <c r="J414" s="1115"/>
      <c r="K414" s="1115"/>
      <c r="L414" s="1115"/>
      <c r="M414" s="1115"/>
    </row>
    <row r="415" spans="2:13" ht="17" hidden="1" customHeight="1" outlineLevel="1">
      <c r="B415" s="2102" t="s">
        <v>1091</v>
      </c>
      <c r="C415" s="1119" t="s">
        <v>945</v>
      </c>
      <c r="D415" s="1119" t="s">
        <v>946</v>
      </c>
      <c r="E415" s="1132"/>
      <c r="F415"/>
      <c r="G415"/>
      <c r="H415" s="1115"/>
      <c r="I415" s="1115"/>
      <c r="J415" s="1115"/>
      <c r="K415" s="1115"/>
      <c r="L415" s="1115"/>
      <c r="M415" s="1115"/>
    </row>
    <row r="416" spans="2:13" ht="17" hidden="1" customHeight="1" outlineLevel="1">
      <c r="B416" s="2102"/>
      <c r="C416" s="1119" t="s">
        <v>947</v>
      </c>
      <c r="D416" s="1119" t="s">
        <v>948</v>
      </c>
      <c r="E416" s="1132"/>
      <c r="F416"/>
      <c r="G416"/>
      <c r="H416" s="1115"/>
      <c r="I416" s="1115"/>
      <c r="J416" s="1115"/>
      <c r="K416" s="1115"/>
      <c r="L416" s="1115"/>
      <c r="M416" s="1115"/>
    </row>
    <row r="417" spans="2:13" ht="17" hidden="1" customHeight="1" outlineLevel="1">
      <c r="B417" s="2102"/>
      <c r="C417" s="1119" t="s">
        <v>949</v>
      </c>
      <c r="D417" s="1119" t="s">
        <v>950</v>
      </c>
      <c r="E417" s="1132"/>
      <c r="F417"/>
      <c r="G417"/>
      <c r="H417" s="1115"/>
      <c r="I417" s="1115"/>
      <c r="J417" s="1115"/>
      <c r="K417" s="1115"/>
      <c r="L417" s="1115"/>
      <c r="M417" s="1115"/>
    </row>
    <row r="418" spans="2:13" ht="17" hidden="1" customHeight="1" outlineLevel="1">
      <c r="B418" s="2102"/>
      <c r="C418" s="1119" t="s">
        <v>951</v>
      </c>
      <c r="D418" s="1119" t="s">
        <v>952</v>
      </c>
      <c r="E418" s="1132"/>
      <c r="F418"/>
      <c r="G418"/>
      <c r="H418" s="1115"/>
      <c r="I418" s="1115"/>
      <c r="J418" s="1115"/>
      <c r="K418" s="1115"/>
      <c r="L418" s="1115"/>
      <c r="M418" s="1115"/>
    </row>
    <row r="419" spans="2:13" ht="17" hidden="1" customHeight="1" outlineLevel="1">
      <c r="B419" s="2102"/>
      <c r="C419" s="1119" t="s">
        <v>953</v>
      </c>
      <c r="D419" s="1119" t="s">
        <v>954</v>
      </c>
      <c r="E419" s="1132"/>
      <c r="F419"/>
      <c r="G419"/>
      <c r="H419" s="1115"/>
      <c r="I419" s="1115"/>
      <c r="J419" s="1115"/>
      <c r="K419" s="1115"/>
      <c r="L419" s="1115"/>
      <c r="M419" s="1115"/>
    </row>
    <row r="420" spans="2:13" ht="17" hidden="1" customHeight="1" outlineLevel="1">
      <c r="B420" s="2102"/>
      <c r="C420" s="1119" t="s">
        <v>955</v>
      </c>
      <c r="D420" s="1119" t="s">
        <v>956</v>
      </c>
      <c r="E420" s="1132"/>
      <c r="F420"/>
      <c r="G420"/>
      <c r="H420" s="1115"/>
      <c r="I420" s="1115"/>
      <c r="J420" s="1115"/>
      <c r="K420" s="1115"/>
      <c r="L420" s="1115"/>
      <c r="M420" s="1115"/>
    </row>
    <row r="421" spans="2:13" ht="17" hidden="1" customHeight="1" outlineLevel="1">
      <c r="B421" s="2102"/>
      <c r="C421" s="1119" t="s">
        <v>957</v>
      </c>
      <c r="D421" s="1119" t="s">
        <v>958</v>
      </c>
      <c r="E421" s="1132"/>
      <c r="F421" s="1115"/>
      <c r="G421" s="1115"/>
      <c r="H421" s="1115"/>
      <c r="I421" s="1115"/>
      <c r="J421" s="1115"/>
      <c r="K421" s="1115"/>
      <c r="L421" s="1115"/>
      <c r="M421" s="1115"/>
    </row>
    <row r="422" spans="2:13" ht="17" hidden="1" customHeight="1" outlineLevel="1">
      <c r="B422" s="2102"/>
      <c r="C422" s="1119" t="s">
        <v>959</v>
      </c>
      <c r="D422" s="1119" t="s">
        <v>960</v>
      </c>
      <c r="E422" s="1132"/>
      <c r="F422" s="1115"/>
      <c r="G422" s="1115"/>
      <c r="H422" s="1115"/>
      <c r="I422" s="1115"/>
      <c r="J422" s="1115"/>
      <c r="K422" s="1115"/>
      <c r="L422" s="1115"/>
      <c r="M422" s="1115"/>
    </row>
    <row r="423" spans="2:13" ht="17" hidden="1" customHeight="1" outlineLevel="1">
      <c r="B423" s="2102"/>
      <c r="C423" s="1119" t="s">
        <v>961</v>
      </c>
      <c r="D423" s="1119" t="s">
        <v>962</v>
      </c>
      <c r="E423" s="1132"/>
      <c r="F423" s="1115"/>
      <c r="G423" s="1115"/>
      <c r="H423" s="1115"/>
      <c r="I423" s="1115"/>
      <c r="J423" s="1115"/>
      <c r="K423" s="1115"/>
      <c r="L423" s="1115"/>
      <c r="M423" s="1115"/>
    </row>
    <row r="424" spans="2:13" ht="17" hidden="1" customHeight="1" outlineLevel="1">
      <c r="B424" s="2102"/>
      <c r="C424" s="1119" t="s">
        <v>963</v>
      </c>
      <c r="D424" s="1119" t="s">
        <v>964</v>
      </c>
      <c r="E424" s="1132"/>
      <c r="F424" s="1115"/>
      <c r="G424" s="1115"/>
      <c r="H424" s="1115"/>
      <c r="I424" s="1115"/>
      <c r="J424" s="1115"/>
      <c r="K424" s="1115"/>
      <c r="L424" s="1115"/>
      <c r="M424" s="1115"/>
    </row>
    <row r="425" spans="2:13" ht="17" hidden="1" customHeight="1" outlineLevel="1">
      <c r="B425" s="2102"/>
      <c r="C425" s="1119" t="s">
        <v>965</v>
      </c>
      <c r="D425" s="1119" t="s">
        <v>966</v>
      </c>
      <c r="E425" s="1132"/>
      <c r="F425" s="1115"/>
      <c r="G425" s="1115"/>
      <c r="H425" s="1115"/>
      <c r="I425" s="1115"/>
      <c r="J425" s="1115"/>
      <c r="K425" s="1115"/>
      <c r="L425" s="1115"/>
      <c r="M425" s="1115"/>
    </row>
    <row r="426" spans="2:13" ht="17" hidden="1" customHeight="1" outlineLevel="1">
      <c r="B426" s="2102"/>
      <c r="C426" s="1119" t="s">
        <v>967</v>
      </c>
      <c r="D426" s="1119" t="s">
        <v>968</v>
      </c>
      <c r="E426" s="1132"/>
      <c r="F426" s="1115"/>
      <c r="G426" s="1115"/>
      <c r="H426" s="1115"/>
      <c r="I426" s="1115"/>
      <c r="J426" s="1115"/>
      <c r="K426" s="1115"/>
      <c r="L426" s="1115"/>
      <c r="M426" s="1115"/>
    </row>
    <row r="427" spans="2:13" ht="17" hidden="1" customHeight="1" outlineLevel="1">
      <c r="B427" s="2102"/>
      <c r="C427" s="1119" t="s">
        <v>969</v>
      </c>
      <c r="D427" s="1119" t="s">
        <v>970</v>
      </c>
      <c r="E427" s="1132"/>
      <c r="F427" s="1115"/>
      <c r="G427" s="1115"/>
      <c r="H427" s="1115"/>
      <c r="I427" s="1115"/>
      <c r="J427" s="1115"/>
      <c r="K427" s="1115"/>
      <c r="L427" s="1115"/>
      <c r="M427" s="1115"/>
    </row>
    <row r="428" spans="2:13" ht="17" hidden="1" customHeight="1" outlineLevel="1">
      <c r="B428" s="1131"/>
      <c r="C428" s="117" t="s">
        <v>1082</v>
      </c>
      <c r="D428" s="117">
        <v>121.92</v>
      </c>
      <c r="E428" s="1132"/>
      <c r="F428" s="1115"/>
      <c r="G428" s="1115"/>
      <c r="H428" s="1115"/>
      <c r="I428" s="1115"/>
      <c r="J428" s="1115"/>
      <c r="K428" s="1115"/>
      <c r="L428" s="1115"/>
      <c r="M428" s="1115"/>
    </row>
    <row r="429" spans="2:13" ht="17" hidden="1" customHeight="1" outlineLevel="1">
      <c r="B429" s="2102" t="s">
        <v>1092</v>
      </c>
      <c r="C429" s="1119" t="s">
        <v>971</v>
      </c>
      <c r="D429" s="1119" t="s">
        <v>972</v>
      </c>
      <c r="E429" s="1132"/>
      <c r="F429" s="1115"/>
      <c r="G429" s="1115"/>
      <c r="H429" s="1115"/>
      <c r="I429" s="1115"/>
      <c r="J429" s="1115"/>
      <c r="K429" s="1115"/>
      <c r="L429" s="1115"/>
      <c r="M429" s="1115"/>
    </row>
    <row r="430" spans="2:13" ht="17" hidden="1" customHeight="1" outlineLevel="1">
      <c r="B430" s="2102"/>
      <c r="C430" s="1119" t="s">
        <v>973</v>
      </c>
      <c r="D430" s="1119" t="s">
        <v>974</v>
      </c>
      <c r="E430" s="1132"/>
      <c r="F430" s="1115"/>
      <c r="G430" s="1115"/>
      <c r="H430" s="1115"/>
      <c r="I430" s="1115"/>
      <c r="J430" s="1115"/>
      <c r="K430" s="1115"/>
      <c r="L430" s="1115"/>
      <c r="M430" s="1115"/>
    </row>
    <row r="431" spans="2:13" ht="17" hidden="1" customHeight="1" outlineLevel="1">
      <c r="B431" s="2102"/>
      <c r="C431" s="1119" t="s">
        <v>975</v>
      </c>
      <c r="D431" s="1119" t="s">
        <v>976</v>
      </c>
    </row>
    <row r="432" spans="2:13" ht="17" hidden="1" customHeight="1" outlineLevel="1">
      <c r="B432" s="2102"/>
      <c r="C432" s="1119" t="s">
        <v>977</v>
      </c>
      <c r="D432" s="1119" t="s">
        <v>978</v>
      </c>
    </row>
    <row r="433" spans="2:13" ht="17" hidden="1" customHeight="1" outlineLevel="1">
      <c r="B433" s="2102"/>
      <c r="C433" s="1119" t="s">
        <v>979</v>
      </c>
      <c r="D433" s="1119" t="s">
        <v>980</v>
      </c>
    </row>
    <row r="434" spans="2:13" ht="17" hidden="1" customHeight="1" outlineLevel="1">
      <c r="B434" s="2102"/>
      <c r="C434" s="1119" t="s">
        <v>981</v>
      </c>
      <c r="D434" s="1119" t="s">
        <v>982</v>
      </c>
    </row>
    <row r="435" spans="2:13" ht="17" hidden="1" customHeight="1" outlineLevel="1">
      <c r="B435" s="2102"/>
      <c r="C435" s="1119" t="s">
        <v>983</v>
      </c>
      <c r="D435" s="1119" t="s">
        <v>984</v>
      </c>
    </row>
    <row r="436" spans="2:13" ht="17" hidden="1" customHeight="1" outlineLevel="1">
      <c r="B436" s="2102"/>
      <c r="C436" s="1119" t="s">
        <v>985</v>
      </c>
      <c r="D436" s="1119" t="s">
        <v>986</v>
      </c>
    </row>
    <row r="437" spans="2:13" ht="17" hidden="1" customHeight="1" outlineLevel="1">
      <c r="B437" s="2102"/>
      <c r="C437" s="1119" t="s">
        <v>987</v>
      </c>
      <c r="D437" s="1119" t="s">
        <v>988</v>
      </c>
    </row>
    <row r="438" spans="2:13" ht="17" hidden="1" customHeight="1" outlineLevel="1">
      <c r="B438" s="2102"/>
      <c r="C438" s="1119" t="s">
        <v>989</v>
      </c>
      <c r="D438" s="1119" t="s">
        <v>990</v>
      </c>
      <c r="G438" s="1115"/>
      <c r="H438" s="1115"/>
      <c r="I438" s="1115"/>
      <c r="J438" s="1115"/>
      <c r="K438" s="1115"/>
      <c r="L438" s="1115"/>
      <c r="M438" s="1115"/>
    </row>
    <row r="439" spans="2:13" ht="17" hidden="1" customHeight="1" outlineLevel="1">
      <c r="B439" s="2102"/>
      <c r="C439" s="1119" t="s">
        <v>991</v>
      </c>
      <c r="D439" s="1119" t="s">
        <v>992</v>
      </c>
      <c r="E439" s="1132"/>
      <c r="F439" s="1115"/>
      <c r="G439" s="1115"/>
      <c r="H439" s="1115"/>
      <c r="I439" s="1115"/>
      <c r="J439" s="1115"/>
      <c r="K439" s="1115"/>
      <c r="L439" s="1115"/>
      <c r="M439" s="1115"/>
    </row>
    <row r="440" spans="2:13" ht="17" hidden="1" customHeight="1" outlineLevel="1">
      <c r="B440" s="2102"/>
      <c r="C440" s="1119" t="s">
        <v>993</v>
      </c>
      <c r="D440" s="1119" t="s">
        <v>994</v>
      </c>
      <c r="E440" s="1132"/>
      <c r="F440" s="1115"/>
      <c r="G440" s="1115"/>
      <c r="H440" s="1115"/>
      <c r="I440" s="1115"/>
      <c r="J440" s="1115"/>
      <c r="K440" s="1115"/>
      <c r="L440" s="1115"/>
      <c r="M440" s="1115"/>
    </row>
    <row r="441" spans="2:13" ht="17" hidden="1" customHeight="1" outlineLevel="1">
      <c r="B441" s="2102"/>
      <c r="C441" s="1119" t="s">
        <v>995</v>
      </c>
      <c r="D441" s="1119" t="s">
        <v>996</v>
      </c>
      <c r="E441" s="1132"/>
      <c r="F441" s="1115"/>
      <c r="G441" s="1115"/>
      <c r="H441" s="1115"/>
      <c r="I441" s="1115"/>
      <c r="J441" s="1115"/>
      <c r="K441" s="1115"/>
      <c r="L441" s="1115"/>
      <c r="M441" s="1115"/>
    </row>
    <row r="442" spans="2:13" ht="17" hidden="1" customHeight="1" outlineLevel="1">
      <c r="B442" s="2102"/>
      <c r="C442" s="1119" t="s">
        <v>997</v>
      </c>
      <c r="D442" s="1119" t="s">
        <v>998</v>
      </c>
      <c r="E442" s="1132"/>
      <c r="F442" s="1115"/>
      <c r="G442" s="1115"/>
      <c r="H442" s="1115"/>
      <c r="I442" s="1115"/>
      <c r="J442" s="1115"/>
      <c r="K442" s="1115"/>
      <c r="L442" s="1115"/>
      <c r="M442" s="1115"/>
    </row>
    <row r="443" spans="2:13" ht="17" hidden="1" customHeight="1" outlineLevel="1">
      <c r="B443" s="1131"/>
      <c r="C443" s="117" t="s">
        <v>1082</v>
      </c>
      <c r="D443" s="117">
        <v>112.78</v>
      </c>
      <c r="E443" s="1132"/>
      <c r="F443" s="1115"/>
      <c r="G443" s="1115"/>
      <c r="H443" s="1115"/>
      <c r="I443" s="1115"/>
      <c r="J443" s="1115"/>
      <c r="K443" s="1115"/>
      <c r="L443" s="1115"/>
      <c r="M443" s="1115"/>
    </row>
    <row r="444" spans="2:13" ht="17" hidden="1" customHeight="1" outlineLevel="1">
      <c r="B444" s="2102" t="s">
        <v>1093</v>
      </c>
      <c r="C444" s="1119" t="s">
        <v>999</v>
      </c>
      <c r="D444" s="1119" t="s">
        <v>1000</v>
      </c>
      <c r="E444" s="1132"/>
      <c r="F444" s="1115"/>
      <c r="G444" s="1115"/>
      <c r="H444" s="1115"/>
      <c r="I444" s="1115"/>
      <c r="J444" s="1115"/>
      <c r="K444" s="1115"/>
      <c r="L444" s="1115"/>
      <c r="M444" s="1115"/>
    </row>
    <row r="445" spans="2:13" ht="17" hidden="1" customHeight="1" outlineLevel="1">
      <c r="B445" s="2102"/>
      <c r="C445" s="1119" t="s">
        <v>1001</v>
      </c>
      <c r="D445" s="1119" t="s">
        <v>1002</v>
      </c>
      <c r="E445" s="1132"/>
      <c r="F445" s="1115"/>
      <c r="G445" s="1115"/>
      <c r="H445" s="1115"/>
      <c r="I445" s="1115"/>
      <c r="J445" s="1115"/>
      <c r="K445" s="1115"/>
      <c r="L445" s="1115"/>
      <c r="M445" s="1115"/>
    </row>
    <row r="446" spans="2:13" ht="17" hidden="1" customHeight="1" outlineLevel="1">
      <c r="B446" s="2102"/>
      <c r="C446" s="1119" t="s">
        <v>1003</v>
      </c>
      <c r="D446" s="1119" t="s">
        <v>1004</v>
      </c>
      <c r="E446" s="1132"/>
      <c r="F446" s="1115"/>
      <c r="G446" s="1115"/>
      <c r="H446" s="1115"/>
      <c r="I446" s="1115"/>
      <c r="J446" s="1115"/>
      <c r="K446" s="1115"/>
      <c r="L446" s="1115"/>
      <c r="M446" s="1115"/>
    </row>
    <row r="447" spans="2:13" ht="17" hidden="1" customHeight="1" outlineLevel="1">
      <c r="B447" s="2102"/>
      <c r="C447" s="1119" t="s">
        <v>1005</v>
      </c>
      <c r="D447" s="1119" t="s">
        <v>1006</v>
      </c>
      <c r="E447" s="1132"/>
      <c r="F447" s="1115"/>
      <c r="G447" s="1115"/>
      <c r="H447" s="1115"/>
      <c r="I447" s="1115"/>
      <c r="J447" s="1115"/>
      <c r="K447" s="1115"/>
      <c r="L447" s="1115"/>
      <c r="M447" s="1115"/>
    </row>
    <row r="448" spans="2:13" ht="17" hidden="1" customHeight="1" outlineLevel="1">
      <c r="B448" s="2102"/>
      <c r="C448" s="1119" t="s">
        <v>1007</v>
      </c>
      <c r="D448" s="1119" t="s">
        <v>1008</v>
      </c>
      <c r="E448" s="1132"/>
      <c r="F448" s="1115"/>
      <c r="G448" s="1115"/>
      <c r="H448" s="1115"/>
      <c r="I448" s="1115"/>
      <c r="J448" s="1115"/>
      <c r="K448" s="1115"/>
      <c r="L448" s="1115"/>
      <c r="M448" s="1115"/>
    </row>
    <row r="449" spans="2:13" ht="17" hidden="1" customHeight="1" outlineLevel="1">
      <c r="B449" s="2102"/>
      <c r="C449" s="1119" t="s">
        <v>1009</v>
      </c>
      <c r="D449" s="1119" t="s">
        <v>1010</v>
      </c>
      <c r="E449" s="1132"/>
      <c r="F449" s="1115"/>
      <c r="G449" s="1115"/>
      <c r="H449" s="1115"/>
      <c r="I449" s="1115"/>
      <c r="J449" s="1115"/>
      <c r="K449" s="1115"/>
      <c r="L449" s="1115"/>
      <c r="M449" s="1115"/>
    </row>
    <row r="450" spans="2:13" ht="17" hidden="1" customHeight="1" outlineLevel="1">
      <c r="B450" s="2102"/>
      <c r="C450" s="1119" t="s">
        <v>1011</v>
      </c>
      <c r="D450" s="1119" t="s">
        <v>1012</v>
      </c>
      <c r="E450" s="1132"/>
      <c r="F450" s="1115"/>
      <c r="G450" s="1115"/>
      <c r="H450" s="1115"/>
      <c r="I450" s="1115"/>
      <c r="J450" s="1115"/>
      <c r="K450" s="1115"/>
      <c r="L450" s="1115"/>
      <c r="M450" s="1115"/>
    </row>
    <row r="451" spans="2:13" ht="17" hidden="1" customHeight="1" outlineLevel="1">
      <c r="B451" s="2102"/>
      <c r="C451" s="1119" t="s">
        <v>1013</v>
      </c>
      <c r="D451" s="1119" t="s">
        <v>849</v>
      </c>
      <c r="E451" s="1132"/>
      <c r="F451" s="1115"/>
      <c r="G451" s="1115"/>
      <c r="H451" s="1115"/>
      <c r="I451" s="1115"/>
      <c r="J451" s="1115"/>
      <c r="K451" s="1115"/>
      <c r="L451" s="1115"/>
      <c r="M451" s="1115"/>
    </row>
    <row r="452" spans="2:13" ht="17" hidden="1" customHeight="1" outlineLevel="1">
      <c r="B452" s="2102"/>
      <c r="C452" s="1119" t="s">
        <v>1014</v>
      </c>
      <c r="D452" s="1119" t="s">
        <v>1015</v>
      </c>
      <c r="E452" s="1132"/>
      <c r="F452" s="1115"/>
      <c r="G452" s="1115"/>
      <c r="H452" s="1115"/>
      <c r="I452" s="1115"/>
      <c r="J452" s="1115"/>
      <c r="K452" s="1115"/>
      <c r="L452" s="1115"/>
      <c r="M452" s="1115"/>
    </row>
    <row r="453" spans="2:13" ht="17" hidden="1" customHeight="1" outlineLevel="1">
      <c r="B453" s="2102"/>
      <c r="C453" s="1119" t="s">
        <v>1016</v>
      </c>
      <c r="D453" s="1119" t="s">
        <v>1017</v>
      </c>
      <c r="E453" s="1132"/>
      <c r="F453" s="1115"/>
      <c r="G453" s="1115"/>
      <c r="H453" s="1115"/>
      <c r="I453" s="1115"/>
      <c r="J453" s="1115"/>
      <c r="K453" s="1115"/>
      <c r="L453" s="1115"/>
      <c r="M453" s="1115"/>
    </row>
    <row r="454" spans="2:13" ht="17" hidden="1" customHeight="1" outlineLevel="1">
      <c r="B454" s="2102"/>
      <c r="C454" s="1119" t="s">
        <v>1018</v>
      </c>
      <c r="D454" s="1119" t="s">
        <v>1019</v>
      </c>
    </row>
    <row r="455" spans="2:13" ht="17" hidden="1" customHeight="1" outlineLevel="1">
      <c r="B455" s="2102"/>
      <c r="C455" s="1119" t="s">
        <v>1020</v>
      </c>
      <c r="D455" s="1119" t="s">
        <v>1021</v>
      </c>
    </row>
    <row r="456" spans="2:13" ht="17" hidden="1" customHeight="1" outlineLevel="1">
      <c r="B456" s="890"/>
      <c r="C456" s="117" t="s">
        <v>1082</v>
      </c>
      <c r="D456" s="117">
        <v>127.91</v>
      </c>
    </row>
    <row r="457" spans="2:13" ht="17" hidden="1" customHeight="1" outlineLevel="1">
      <c r="B457" s="890"/>
      <c r="C457" s="117" t="s">
        <v>157</v>
      </c>
      <c r="D457" s="1130">
        <f>AVERAGE(D456,D443,D428,D414)</f>
        <v>114.44</v>
      </c>
    </row>
    <row r="458" spans="2:13" ht="17" customHeight="1" collapsed="1">
      <c r="B458" s="158" t="s">
        <v>1046</v>
      </c>
      <c r="C458" s="890"/>
      <c r="E458" s="1133"/>
      <c r="F458" s="1117"/>
      <c r="G458" s="1117"/>
      <c r="H458" s="1117"/>
      <c r="I458" s="1117"/>
      <c r="J458" s="1117"/>
      <c r="K458" s="1117"/>
      <c r="L458" s="1117"/>
      <c r="M458" s="1117"/>
    </row>
    <row r="459" spans="2:13" ht="17" hidden="1" customHeight="1" outlineLevel="1">
      <c r="B459" s="65" t="s">
        <v>265</v>
      </c>
      <c r="F459" s="1115"/>
      <c r="G459" s="1115"/>
      <c r="H459" s="1115"/>
      <c r="I459" s="1115"/>
      <c r="J459" s="1115"/>
      <c r="K459" s="1115"/>
      <c r="L459" s="1115"/>
      <c r="M459" s="1115"/>
    </row>
    <row r="460" spans="2:13" ht="17" hidden="1" customHeight="1" outlineLevel="1">
      <c r="B460" s="1940" t="s">
        <v>1083</v>
      </c>
      <c r="C460" s="1940"/>
      <c r="D460" s="1940"/>
      <c r="E460" s="1940"/>
      <c r="F460" s="1115"/>
      <c r="G460" s="1115"/>
      <c r="H460" s="1115"/>
      <c r="I460" s="1115"/>
      <c r="J460" s="1115"/>
      <c r="K460" s="1115"/>
      <c r="L460" s="1115"/>
      <c r="M460" s="1115"/>
    </row>
    <row r="461" spans="2:13" ht="17" hidden="1" customHeight="1" outlineLevel="1">
      <c r="B461" s="177"/>
      <c r="C461" s="177"/>
      <c r="D461" s="177"/>
      <c r="E461" s="177"/>
      <c r="F461" s="1115"/>
      <c r="G461" s="1115"/>
      <c r="H461" s="1115"/>
      <c r="I461" s="1115"/>
      <c r="J461" s="1115"/>
      <c r="K461" s="1115"/>
      <c r="L461" s="1115"/>
      <c r="M461" s="1115"/>
    </row>
    <row r="462" spans="2:13" ht="17" hidden="1" customHeight="1" outlineLevel="1">
      <c r="B462" s="1131" t="s">
        <v>1073</v>
      </c>
      <c r="C462" s="1129" t="s">
        <v>892</v>
      </c>
      <c r="D462" s="1129" t="s">
        <v>832</v>
      </c>
      <c r="E462" s="177"/>
      <c r="F462" s="1115"/>
      <c r="G462" s="1115"/>
      <c r="H462" s="1115"/>
      <c r="I462" s="1115"/>
      <c r="J462" s="1115"/>
      <c r="K462" s="1115"/>
      <c r="L462" s="1115"/>
      <c r="M462" s="1115"/>
    </row>
    <row r="463" spans="2:13" ht="17" hidden="1" customHeight="1" outlineLevel="1">
      <c r="B463" s="2101" t="s">
        <v>1047</v>
      </c>
      <c r="C463" s="1124" t="s">
        <v>1048</v>
      </c>
      <c r="D463" s="1124" t="s">
        <v>1049</v>
      </c>
      <c r="E463" s="1132"/>
      <c r="F463" s="1115"/>
      <c r="G463" s="1115"/>
      <c r="H463" s="1115"/>
      <c r="I463" s="1115"/>
      <c r="J463" s="1115"/>
      <c r="K463" s="1115"/>
      <c r="L463" s="1115"/>
    </row>
    <row r="464" spans="2:13" ht="17" hidden="1" customHeight="1" outlineLevel="1">
      <c r="B464" s="2101"/>
      <c r="C464" s="1124" t="s">
        <v>1050</v>
      </c>
      <c r="D464" s="1124" t="s">
        <v>1021</v>
      </c>
      <c r="E464" s="1132"/>
      <c r="F464" s="1115"/>
      <c r="G464" s="1115"/>
      <c r="H464" s="1115"/>
      <c r="I464" s="1115"/>
      <c r="J464" s="1115"/>
      <c r="K464" s="1115"/>
      <c r="L464" s="1115"/>
    </row>
    <row r="465" spans="2:13" ht="17" hidden="1" customHeight="1" outlineLevel="1">
      <c r="B465" s="2101"/>
      <c r="C465" s="1124" t="s">
        <v>1051</v>
      </c>
      <c r="D465" s="1124" t="s">
        <v>1052</v>
      </c>
      <c r="E465" s="1134"/>
      <c r="F465" s="1120"/>
      <c r="G465" s="1120"/>
      <c r="H465" s="1120"/>
      <c r="I465" s="1120"/>
      <c r="J465" s="1120"/>
      <c r="K465" s="1120"/>
      <c r="L465" s="1120"/>
      <c r="M465" s="1120"/>
    </row>
    <row r="466" spans="2:13" ht="17" hidden="1" customHeight="1" outlineLevel="1">
      <c r="B466" s="2101"/>
      <c r="C466" s="1124" t="s">
        <v>1053</v>
      </c>
      <c r="D466" s="1124" t="s">
        <v>733</v>
      </c>
      <c r="E466" s="1134"/>
      <c r="F466" s="1120"/>
      <c r="G466" s="1120"/>
      <c r="H466" s="1120"/>
      <c r="I466" s="1120"/>
      <c r="J466" s="1120"/>
      <c r="K466" s="1120"/>
      <c r="L466" s="1120"/>
      <c r="M466" s="1120"/>
    </row>
    <row r="467" spans="2:13" ht="17" hidden="1" customHeight="1" outlineLevel="1">
      <c r="B467" s="2101"/>
      <c r="C467" s="1124" t="s">
        <v>1054</v>
      </c>
      <c r="D467" s="1124" t="s">
        <v>1055</v>
      </c>
      <c r="E467" s="1134"/>
      <c r="F467" s="1120"/>
      <c r="G467" s="1120"/>
      <c r="H467" s="1120"/>
      <c r="I467" s="1120"/>
      <c r="J467" s="1120"/>
      <c r="K467" s="1120"/>
      <c r="L467" s="1120"/>
      <c r="M467" s="1120"/>
    </row>
    <row r="468" spans="2:13" ht="17" hidden="1" customHeight="1" outlineLevel="1">
      <c r="B468" s="2101"/>
      <c r="C468" s="1124" t="s">
        <v>1056</v>
      </c>
      <c r="D468" s="1124" t="s">
        <v>1057</v>
      </c>
      <c r="E468" s="1134"/>
      <c r="F468" s="1120"/>
      <c r="G468" s="1120"/>
      <c r="H468" s="1120"/>
      <c r="I468" s="1120"/>
      <c r="J468" s="1120"/>
      <c r="K468" s="1120"/>
      <c r="L468" s="1120"/>
      <c r="M468" s="1120"/>
    </row>
    <row r="469" spans="2:13" ht="17" hidden="1" customHeight="1" outlineLevel="1">
      <c r="B469" s="2101"/>
      <c r="C469" s="1124" t="s">
        <v>1058</v>
      </c>
      <c r="D469" s="1124" t="s">
        <v>1023</v>
      </c>
      <c r="E469" s="1134"/>
      <c r="F469" s="1120"/>
      <c r="G469" s="1120"/>
      <c r="H469" s="1120"/>
      <c r="I469" s="1120"/>
      <c r="J469" s="1120"/>
      <c r="K469" s="1120"/>
      <c r="L469" s="1120"/>
      <c r="M469" s="1120"/>
    </row>
    <row r="470" spans="2:13" ht="17" hidden="1" customHeight="1" outlineLevel="1">
      <c r="B470" s="2101"/>
      <c r="C470" s="1124" t="s">
        <v>1059</v>
      </c>
      <c r="D470" s="1124" t="s">
        <v>1060</v>
      </c>
      <c r="E470" s="1134"/>
      <c r="F470"/>
      <c r="G470"/>
      <c r="H470" s="1120"/>
      <c r="I470" s="1120"/>
      <c r="J470" s="1120"/>
      <c r="K470" s="1120"/>
      <c r="L470" s="1120"/>
      <c r="M470" s="1120"/>
    </row>
    <row r="471" spans="2:13" ht="17" hidden="1" customHeight="1" outlineLevel="1">
      <c r="B471" s="2101"/>
      <c r="C471" s="1124" t="s">
        <v>1061</v>
      </c>
      <c r="D471" s="1124" t="s">
        <v>1062</v>
      </c>
      <c r="E471" s="1134"/>
      <c r="F471"/>
      <c r="G471"/>
      <c r="H471" s="1120"/>
      <c r="I471" s="1120"/>
      <c r="J471" s="1120"/>
      <c r="K471" s="1120"/>
      <c r="L471" s="1120"/>
      <c r="M471" s="1120"/>
    </row>
    <row r="472" spans="2:13" ht="17" hidden="1" customHeight="1" outlineLevel="1">
      <c r="B472" s="2101"/>
      <c r="C472" s="1124" t="s">
        <v>1063</v>
      </c>
      <c r="D472" s="1124" t="s">
        <v>1030</v>
      </c>
      <c r="E472" s="1134"/>
      <c r="F472"/>
      <c r="G472"/>
      <c r="H472" s="1120"/>
      <c r="I472" s="1120"/>
      <c r="J472" s="1120"/>
      <c r="K472" s="1120"/>
      <c r="L472" s="1120"/>
      <c r="M472" s="1120"/>
    </row>
    <row r="473" spans="2:13" ht="17" hidden="1" customHeight="1" outlineLevel="1">
      <c r="B473" s="2101"/>
      <c r="C473" s="1124" t="s">
        <v>1064</v>
      </c>
      <c r="D473" s="1124" t="s">
        <v>1040</v>
      </c>
      <c r="E473" s="1134"/>
      <c r="F473"/>
      <c r="G473"/>
      <c r="H473" s="1120"/>
      <c r="I473" s="1120"/>
      <c r="J473" s="1120"/>
      <c r="K473" s="1120"/>
      <c r="L473" s="1120"/>
      <c r="M473" s="1120"/>
    </row>
    <row r="474" spans="2:13" ht="17" hidden="1" customHeight="1" outlineLevel="1">
      <c r="B474" s="2101"/>
      <c r="C474" s="1124" t="s">
        <v>1065</v>
      </c>
      <c r="D474" s="1124" t="s">
        <v>1066</v>
      </c>
      <c r="E474" s="1134"/>
      <c r="F474"/>
      <c r="G474"/>
      <c r="H474" s="1120"/>
      <c r="I474" s="1120"/>
      <c r="J474" s="1120"/>
      <c r="K474" s="1120"/>
      <c r="L474" s="1120"/>
      <c r="M474" s="1120"/>
    </row>
    <row r="475" spans="2:13" ht="17" hidden="1" customHeight="1" outlineLevel="1">
      <c r="B475" s="1123"/>
      <c r="C475" s="117" t="s">
        <v>1082</v>
      </c>
      <c r="D475" s="42">
        <v>607</v>
      </c>
      <c r="E475" s="1134"/>
      <c r="F475"/>
      <c r="G475"/>
      <c r="H475" s="1120"/>
      <c r="I475" s="1120"/>
      <c r="J475" s="1120"/>
      <c r="K475" s="1120"/>
      <c r="L475" s="1120"/>
      <c r="M475" s="1120"/>
    </row>
    <row r="476" spans="2:13" ht="17" hidden="1" customHeight="1" outlineLevel="1">
      <c r="B476" s="2101" t="s">
        <v>1094</v>
      </c>
      <c r="C476" s="1124" t="s">
        <v>1022</v>
      </c>
      <c r="D476" s="1124" t="s">
        <v>1022</v>
      </c>
      <c r="F476"/>
      <c r="G476"/>
    </row>
    <row r="477" spans="2:13" ht="17" hidden="1" customHeight="1" outlineLevel="1">
      <c r="B477" s="2101"/>
      <c r="C477" s="1124" t="s">
        <v>936</v>
      </c>
      <c r="D477" s="1124" t="s">
        <v>936</v>
      </c>
      <c r="F477"/>
      <c r="G477"/>
    </row>
    <row r="478" spans="2:13" ht="17" hidden="1" customHeight="1" outlineLevel="1">
      <c r="B478" s="2101"/>
      <c r="C478" s="1124" t="s">
        <v>1023</v>
      </c>
      <c r="D478" s="1124" t="s">
        <v>1023</v>
      </c>
      <c r="F478" s="1115"/>
      <c r="G478" s="1115"/>
    </row>
    <row r="479" spans="2:13" ht="17" hidden="1" customHeight="1" outlineLevel="1">
      <c r="B479" s="2101"/>
      <c r="C479" s="1124" t="s">
        <v>1024</v>
      </c>
      <c r="D479" s="1124" t="s">
        <v>1024</v>
      </c>
      <c r="F479" s="1115"/>
      <c r="G479" s="1115"/>
    </row>
    <row r="480" spans="2:13" ht="17" hidden="1" customHeight="1" outlineLevel="1">
      <c r="B480" s="2101"/>
      <c r="C480" s="1124" t="s">
        <v>972</v>
      </c>
      <c r="D480" s="1124" t="s">
        <v>972</v>
      </c>
    </row>
    <row r="481" spans="2:14" ht="17" hidden="1" customHeight="1" outlineLevel="1">
      <c r="B481" s="2101"/>
      <c r="C481" s="1124" t="s">
        <v>1025</v>
      </c>
      <c r="D481" s="1124" t="s">
        <v>1025</v>
      </c>
    </row>
    <row r="482" spans="2:14" ht="17" hidden="1" customHeight="1" outlineLevel="1">
      <c r="B482" s="2101"/>
      <c r="C482" s="1124" t="s">
        <v>1026</v>
      </c>
      <c r="D482" s="1124" t="s">
        <v>1026</v>
      </c>
      <c r="E482" s="1135"/>
      <c r="F482" s="1121"/>
      <c r="G482" s="1121"/>
      <c r="H482" s="1121"/>
      <c r="I482" s="1121"/>
      <c r="J482" s="1121"/>
      <c r="K482" s="1121"/>
      <c r="L482" s="1121"/>
      <c r="M482" s="1121"/>
      <c r="N482"/>
    </row>
    <row r="483" spans="2:14" ht="17" hidden="1" customHeight="1" outlineLevel="1">
      <c r="B483" s="2101"/>
      <c r="C483" s="1124" t="s">
        <v>1027</v>
      </c>
      <c r="D483" s="1124" t="s">
        <v>1027</v>
      </c>
      <c r="E483" s="1135"/>
      <c r="F483" s="1121"/>
      <c r="G483" s="1121"/>
      <c r="H483" s="1121"/>
      <c r="I483" s="1121"/>
      <c r="J483" s="1121"/>
      <c r="K483" s="1121"/>
      <c r="L483" s="1121"/>
      <c r="M483" s="1121"/>
      <c r="N483"/>
    </row>
    <row r="484" spans="2:14" ht="17" hidden="1" customHeight="1" outlineLevel="1">
      <c r="B484" s="2101"/>
      <c r="C484" s="1124" t="s">
        <v>1028</v>
      </c>
      <c r="D484" s="1124" t="s">
        <v>1028</v>
      </c>
      <c r="E484" s="1135"/>
      <c r="F484" s="1121"/>
      <c r="G484" s="1121"/>
      <c r="H484" s="1121"/>
      <c r="I484" s="1121"/>
      <c r="J484" s="1121"/>
      <c r="K484" s="1121"/>
      <c r="L484" s="1121"/>
      <c r="M484" s="1121"/>
      <c r="N484"/>
    </row>
    <row r="485" spans="2:14" ht="17" hidden="1" customHeight="1" outlineLevel="1">
      <c r="B485" s="2101"/>
      <c r="C485" s="1124" t="s">
        <v>1029</v>
      </c>
      <c r="D485" s="1124" t="s">
        <v>1029</v>
      </c>
      <c r="E485" s="1135"/>
      <c r="F485" s="1121"/>
      <c r="G485" s="1121"/>
      <c r="H485" s="1121"/>
      <c r="I485" s="1121"/>
      <c r="J485" s="1121"/>
      <c r="K485" s="1121"/>
      <c r="L485" s="1121"/>
      <c r="M485" s="1121"/>
      <c r="N485"/>
    </row>
    <row r="486" spans="2:14" ht="17" hidden="1" customHeight="1" outlineLevel="1">
      <c r="B486" s="2101"/>
      <c r="C486" s="1124" t="s">
        <v>1030</v>
      </c>
      <c r="D486" s="1124" t="s">
        <v>1030</v>
      </c>
      <c r="E486" s="1135"/>
      <c r="F486" s="1121"/>
      <c r="G486" s="1121"/>
      <c r="H486" s="1121"/>
      <c r="I486" s="1121"/>
      <c r="J486" s="1121"/>
      <c r="K486" s="1121"/>
      <c r="L486" s="1121"/>
      <c r="M486" s="1121"/>
      <c r="N486"/>
    </row>
    <row r="487" spans="2:14" ht="17" hidden="1" customHeight="1" outlineLevel="1">
      <c r="B487" s="2101"/>
      <c r="C487" s="1124" t="s">
        <v>1031</v>
      </c>
      <c r="D487" s="1124" t="s">
        <v>1031</v>
      </c>
      <c r="E487" s="1135"/>
      <c r="F487" s="1121"/>
      <c r="G487" s="1121"/>
      <c r="H487" s="1121"/>
      <c r="I487" s="1121"/>
      <c r="J487" s="1121"/>
      <c r="K487" s="1121"/>
      <c r="L487" s="1121"/>
      <c r="M487" s="1121"/>
      <c r="N487"/>
    </row>
    <row r="488" spans="2:14" ht="17" hidden="1" customHeight="1" outlineLevel="1">
      <c r="B488" s="2101"/>
      <c r="C488" s="1124" t="s">
        <v>1032</v>
      </c>
      <c r="D488" s="1124" t="s">
        <v>1032</v>
      </c>
      <c r="E488" s="1135"/>
      <c r="F488" s="1121"/>
      <c r="G488" s="1121"/>
      <c r="H488" s="1121"/>
      <c r="I488" s="1121"/>
      <c r="J488" s="1121"/>
      <c r="K488" s="1121"/>
      <c r="L488" s="1121"/>
      <c r="M488" s="1121"/>
      <c r="N488"/>
    </row>
    <row r="489" spans="2:14" ht="17" hidden="1" customHeight="1" outlineLevel="1">
      <c r="B489" s="2101"/>
      <c r="C489" s="1124" t="s">
        <v>1067</v>
      </c>
      <c r="D489" s="1124" t="s">
        <v>1068</v>
      </c>
      <c r="E489" s="1135"/>
      <c r="F489" s="1121"/>
      <c r="G489" s="1121"/>
      <c r="H489" s="1121"/>
      <c r="I489" s="1121"/>
      <c r="J489" s="1121"/>
      <c r="K489" s="1121"/>
      <c r="L489" s="1121"/>
      <c r="M489" s="1121"/>
      <c r="N489"/>
    </row>
    <row r="490" spans="2:14" ht="17" hidden="1" customHeight="1" outlineLevel="1">
      <c r="B490" s="2101"/>
      <c r="C490" s="1124" t="s">
        <v>1033</v>
      </c>
      <c r="D490" s="1124" t="s">
        <v>1069</v>
      </c>
      <c r="E490" s="1135"/>
      <c r="F490" s="1121"/>
      <c r="G490" s="1121"/>
      <c r="H490" s="1121"/>
      <c r="I490" s="1121"/>
      <c r="J490" s="1121"/>
      <c r="K490" s="1121"/>
      <c r="L490" s="1121"/>
      <c r="M490" s="1121"/>
      <c r="N490"/>
    </row>
    <row r="491" spans="2:14" ht="17" hidden="1" customHeight="1" outlineLevel="1">
      <c r="B491" s="2101"/>
      <c r="C491" s="1124" t="s">
        <v>1034</v>
      </c>
      <c r="D491" s="1124" t="s">
        <v>1070</v>
      </c>
      <c r="E491" s="1135"/>
      <c r="F491" s="1121"/>
      <c r="G491" s="1121"/>
      <c r="H491" s="1121"/>
      <c r="I491" s="1121"/>
      <c r="J491" s="1121"/>
      <c r="K491" s="1121"/>
      <c r="L491" s="1121"/>
      <c r="M491" s="1121"/>
      <c r="N491"/>
    </row>
    <row r="492" spans="2:14" ht="17" hidden="1" customHeight="1" outlineLevel="1">
      <c r="B492" s="2101"/>
      <c r="C492" s="1124" t="s">
        <v>1035</v>
      </c>
      <c r="D492" s="1124" t="s">
        <v>1035</v>
      </c>
      <c r="E492" s="1135"/>
      <c r="F492" s="1121"/>
      <c r="G492" s="1121"/>
      <c r="H492" s="1121"/>
      <c r="I492" s="1121"/>
      <c r="J492" s="1121"/>
      <c r="K492" s="1121"/>
      <c r="L492" s="1121"/>
      <c r="M492" s="1121"/>
      <c r="N492"/>
    </row>
    <row r="493" spans="2:14" ht="17" hidden="1" customHeight="1" outlineLevel="1">
      <c r="B493" s="1123"/>
      <c r="C493" s="117" t="s">
        <v>1082</v>
      </c>
      <c r="D493" s="117">
        <v>493</v>
      </c>
      <c r="E493" s="1135"/>
      <c r="F493" s="1121"/>
      <c r="G493" s="1121"/>
      <c r="H493" s="1121"/>
      <c r="I493" s="1121"/>
      <c r="J493" s="1121"/>
      <c r="K493" s="1121"/>
      <c r="L493" s="1121"/>
      <c r="M493" s="1121"/>
      <c r="N493"/>
    </row>
    <row r="494" spans="2:14" ht="17" hidden="1" customHeight="1" outlineLevel="1">
      <c r="B494" s="2101" t="s">
        <v>1095</v>
      </c>
      <c r="C494" s="1124" t="s">
        <v>1032</v>
      </c>
      <c r="D494" s="1124" t="s">
        <v>1032</v>
      </c>
      <c r="E494" s="1135"/>
      <c r="F494" s="1121"/>
      <c r="G494" s="1121"/>
      <c r="H494" s="1121"/>
      <c r="I494" s="1121"/>
      <c r="J494" s="1121"/>
      <c r="K494" s="1121"/>
      <c r="L494" s="1121"/>
      <c r="M494" s="1121"/>
      <c r="N494"/>
    </row>
    <row r="495" spans="2:14" ht="17" hidden="1" customHeight="1" outlineLevel="1">
      <c r="B495" s="2101"/>
      <c r="C495" s="1124" t="s">
        <v>1036</v>
      </c>
      <c r="D495" s="1124" t="s">
        <v>1036</v>
      </c>
      <c r="E495" s="1135"/>
      <c r="F495" s="1121"/>
      <c r="G495" s="1121"/>
      <c r="H495" s="1121"/>
      <c r="I495" s="1121"/>
      <c r="J495" s="1121"/>
      <c r="K495" s="1121"/>
      <c r="L495" s="1121"/>
      <c r="M495" s="1121"/>
      <c r="N495"/>
    </row>
    <row r="496" spans="2:14" ht="17" hidden="1" customHeight="1" outlineLevel="1">
      <c r="B496" s="2101"/>
      <c r="C496" s="1124" t="s">
        <v>1037</v>
      </c>
      <c r="D496" s="1124" t="s">
        <v>1037</v>
      </c>
      <c r="E496" s="1135"/>
      <c r="F496" s="1121"/>
      <c r="G496" s="1121"/>
      <c r="H496" s="1121"/>
      <c r="I496" s="1121"/>
      <c r="J496" s="1121"/>
      <c r="K496" s="1121"/>
      <c r="L496" s="1121"/>
      <c r="M496" s="1121"/>
      <c r="N496"/>
    </row>
    <row r="497" spans="2:14" ht="17" hidden="1" customHeight="1" outlineLevel="1">
      <c r="B497" s="2101"/>
      <c r="C497" s="1124" t="s">
        <v>1038</v>
      </c>
      <c r="D497" s="1124" t="s">
        <v>1038</v>
      </c>
      <c r="E497" s="1135"/>
      <c r="F497" s="1121"/>
      <c r="G497" s="1121"/>
      <c r="H497" s="1121"/>
      <c r="I497" s="1121"/>
      <c r="J497" s="1121"/>
      <c r="K497" s="1121"/>
      <c r="L497" s="1121"/>
      <c r="M497" s="1121"/>
      <c r="N497"/>
    </row>
    <row r="498" spans="2:14" ht="17" hidden="1" customHeight="1" outlineLevel="1">
      <c r="B498" s="2101"/>
      <c r="C498" s="1124" t="s">
        <v>1039</v>
      </c>
      <c r="D498" s="1124" t="s">
        <v>1039</v>
      </c>
    </row>
    <row r="499" spans="2:14" ht="17" hidden="1" customHeight="1" outlineLevel="1">
      <c r="B499" s="2101"/>
      <c r="C499" s="1124" t="s">
        <v>1040</v>
      </c>
      <c r="D499" s="1124" t="s">
        <v>1040</v>
      </c>
    </row>
    <row r="500" spans="2:14" ht="17" hidden="1" customHeight="1" outlineLevel="1">
      <c r="B500" s="2101"/>
      <c r="C500" s="1124" t="s">
        <v>1041</v>
      </c>
      <c r="D500" s="1124" t="s">
        <v>1041</v>
      </c>
      <c r="E500" s="1135"/>
      <c r="F500" s="1121"/>
      <c r="G500" s="1121"/>
      <c r="H500" s="1121"/>
      <c r="I500" s="1121"/>
      <c r="J500" s="1121"/>
      <c r="K500" s="1121"/>
      <c r="L500" s="1121"/>
    </row>
    <row r="501" spans="2:14" ht="17" hidden="1" customHeight="1" outlineLevel="1">
      <c r="B501" s="2101"/>
      <c r="C501" s="1124" t="s">
        <v>1042</v>
      </c>
      <c r="D501" s="1124" t="s">
        <v>1042</v>
      </c>
      <c r="E501" s="1135"/>
      <c r="F501" s="1121"/>
      <c r="G501" s="1121"/>
      <c r="H501" s="1121"/>
      <c r="I501" s="1121"/>
      <c r="J501" s="1121"/>
      <c r="K501" s="1121"/>
      <c r="L501" s="1121"/>
    </row>
    <row r="502" spans="2:14" ht="17" hidden="1" customHeight="1" outlineLevel="1">
      <c r="B502" s="2101"/>
      <c r="C502" s="1124" t="s">
        <v>1026</v>
      </c>
      <c r="D502" s="1124" t="s">
        <v>1026</v>
      </c>
      <c r="E502" s="1135"/>
      <c r="F502" s="1121"/>
      <c r="G502" s="1121"/>
      <c r="H502" s="1121"/>
      <c r="I502" s="1121"/>
      <c r="J502" s="1121"/>
      <c r="K502" s="1121"/>
      <c r="L502" s="1121"/>
    </row>
    <row r="503" spans="2:14" ht="17" hidden="1" customHeight="1" outlineLevel="1">
      <c r="B503" s="2101"/>
      <c r="C503" s="1124" t="s">
        <v>1043</v>
      </c>
      <c r="D503" s="1124" t="s">
        <v>1043</v>
      </c>
      <c r="E503" s="1135"/>
      <c r="F503" s="1121"/>
      <c r="G503" s="1121"/>
      <c r="H503" s="1121"/>
      <c r="I503" s="1121"/>
      <c r="J503" s="1121"/>
      <c r="K503" s="1121"/>
      <c r="L503" s="1121"/>
    </row>
    <row r="504" spans="2:14" ht="17" hidden="1" customHeight="1" outlineLevel="1">
      <c r="B504" s="2101"/>
      <c r="C504" s="1124" t="s">
        <v>1044</v>
      </c>
      <c r="D504" s="1124" t="s">
        <v>1071</v>
      </c>
      <c r="E504" s="1135"/>
      <c r="F504" s="1121"/>
      <c r="G504" s="1121"/>
      <c r="H504" s="1121"/>
      <c r="I504" s="1121"/>
      <c r="J504" s="1121"/>
      <c r="K504" s="1121"/>
      <c r="L504" s="1121"/>
    </row>
    <row r="505" spans="2:14" ht="17" hidden="1" customHeight="1" outlineLevel="1">
      <c r="B505" s="2101"/>
      <c r="C505" s="1124" t="s">
        <v>1045</v>
      </c>
      <c r="D505" s="1124" t="s">
        <v>1045</v>
      </c>
      <c r="E505" s="1135"/>
      <c r="F505" s="1121"/>
      <c r="G505" s="1121"/>
      <c r="H505" s="1121"/>
      <c r="I505" s="1121"/>
      <c r="J505" s="1121"/>
      <c r="K505" s="1121"/>
      <c r="L505" s="1121"/>
    </row>
    <row r="506" spans="2:14" ht="17" hidden="1" customHeight="1" outlineLevel="1">
      <c r="B506" s="2101"/>
      <c r="C506" s="1124" t="s">
        <v>1072</v>
      </c>
      <c r="D506" s="1124" t="s">
        <v>1072</v>
      </c>
      <c r="E506" s="1135"/>
      <c r="F506" s="1121"/>
      <c r="G506" s="1121"/>
      <c r="H506" s="1121"/>
      <c r="I506" s="1121"/>
      <c r="J506" s="1121"/>
      <c r="K506" s="1121"/>
      <c r="L506" s="1121"/>
    </row>
    <row r="507" spans="2:14" ht="17" hidden="1" customHeight="1" outlineLevel="1">
      <c r="B507" s="1136"/>
      <c r="C507" s="117" t="s">
        <v>1082</v>
      </c>
      <c r="D507" s="117">
        <v>534.54999999999995</v>
      </c>
      <c r="E507" s="1135"/>
      <c r="F507" s="1121"/>
      <c r="G507" s="1121"/>
      <c r="H507" s="1121"/>
      <c r="I507" s="1121"/>
      <c r="J507" s="1121"/>
      <c r="K507" s="1121"/>
      <c r="L507" s="1121"/>
    </row>
    <row r="508" spans="2:14" ht="17" hidden="1" customHeight="1" outlineLevel="1">
      <c r="B508" s="890"/>
      <c r="C508" s="117" t="s">
        <v>157</v>
      </c>
      <c r="D508" s="1130">
        <f>AVERAGE(D507,D493,D475)</f>
        <v>544.85</v>
      </c>
      <c r="E508" s="1135"/>
      <c r="F508" s="1121"/>
      <c r="G508" s="1121"/>
      <c r="H508" s="1121"/>
      <c r="I508" s="1121"/>
      <c r="J508" s="1121"/>
      <c r="K508" s="1121"/>
      <c r="L508" s="1121"/>
    </row>
    <row r="509" spans="2:14" ht="17" hidden="1" customHeight="1" outlineLevel="1">
      <c r="B509" s="890"/>
      <c r="C509" s="121"/>
      <c r="D509" s="1741"/>
      <c r="E509" s="1135"/>
      <c r="F509" s="1121"/>
      <c r="G509" s="1121"/>
      <c r="H509" s="1121"/>
      <c r="I509" s="1121"/>
      <c r="J509" s="1121"/>
      <c r="K509" s="1121"/>
      <c r="L509" s="1121"/>
    </row>
    <row r="510" spans="2:14" ht="33" hidden="1" customHeight="1" outlineLevel="1">
      <c r="B510" s="2107" t="s">
        <v>1609</v>
      </c>
      <c r="C510" s="2107"/>
      <c r="D510" s="1130">
        <f>ROUND(D508*70%,-2)</f>
        <v>400</v>
      </c>
      <c r="E510"/>
      <c r="F510" s="1121"/>
      <c r="G510" s="1121"/>
      <c r="H510" s="1121"/>
      <c r="I510" s="1121"/>
      <c r="J510" s="1121"/>
      <c r="K510" s="1121"/>
      <c r="L510" s="1121"/>
    </row>
    <row r="511" spans="2:14" ht="17" hidden="1" customHeight="1" outlineLevel="1">
      <c r="B511" s="890"/>
      <c r="C511" s="121"/>
      <c r="D511" s="1741"/>
      <c r="E511" s="1135"/>
      <c r="F511" s="1121"/>
      <c r="G511" s="1121"/>
      <c r="H511" s="1121"/>
      <c r="I511" s="1121"/>
      <c r="J511" s="1121"/>
      <c r="K511" s="1121"/>
      <c r="L511" s="1121"/>
    </row>
    <row r="512" spans="2:14" ht="17" hidden="1" customHeight="1" outlineLevel="1">
      <c r="B512" s="890"/>
      <c r="C512" s="121"/>
      <c r="D512" s="1741"/>
      <c r="E512" s="1135"/>
      <c r="F512" s="1121"/>
      <c r="G512" s="1121"/>
      <c r="H512" s="1121"/>
      <c r="I512" s="1121"/>
      <c r="J512" s="1121"/>
      <c r="K512" s="1121"/>
      <c r="L512" s="1121"/>
    </row>
    <row r="513" spans="2:50" ht="17" customHeight="1" collapsed="1">
      <c r="B513" s="1121"/>
      <c r="C513"/>
      <c r="D513" s="1121"/>
      <c r="E513" s="1122"/>
      <c r="F513" s="1121"/>
      <c r="G513" s="1121"/>
      <c r="H513" s="1121"/>
      <c r="I513" s="1121"/>
      <c r="J513" s="1121"/>
      <c r="K513" s="1121"/>
      <c r="L513" s="1121"/>
    </row>
    <row r="514" spans="2:50" ht="20">
      <c r="B514" s="383" t="s">
        <v>1417</v>
      </c>
      <c r="C514"/>
      <c r="D514" s="1121"/>
      <c r="E514" s="1122"/>
      <c r="F514" s="1121"/>
      <c r="G514" s="1121"/>
    </row>
    <row r="515" spans="2:50" ht="20" hidden="1" outlineLevel="1">
      <c r="B515" s="1141"/>
      <c r="C515"/>
      <c r="D515" s="1121"/>
      <c r="E515" s="1122"/>
      <c r="F515" s="1121"/>
      <c r="G515" s="1121"/>
    </row>
    <row r="516" spans="2:50" ht="20" hidden="1" outlineLevel="1">
      <c r="B516" s="1141" t="s">
        <v>1144</v>
      </c>
      <c r="C516"/>
      <c r="D516" s="1121"/>
      <c r="E516" s="1122"/>
      <c r="F516" s="1121"/>
      <c r="G516" s="1121"/>
    </row>
    <row r="517" spans="2:50" ht="20" hidden="1" outlineLevel="1">
      <c r="B517" s="1141"/>
      <c r="C517"/>
      <c r="D517" s="1121"/>
      <c r="E517" s="1122"/>
      <c r="F517" s="1121"/>
      <c r="G517" s="1121"/>
    </row>
    <row r="518" spans="2:50" ht="16" hidden="1" outlineLevel="1">
      <c r="B518" s="158" t="s">
        <v>1142</v>
      </c>
    </row>
    <row r="519" spans="2:50" s="95" customFormat="1" ht="25" hidden="1" customHeight="1" outlineLevel="1">
      <c r="B519" s="1144" t="s">
        <v>488</v>
      </c>
      <c r="C519" s="1144" t="s">
        <v>1108</v>
      </c>
      <c r="D519" s="1144" t="s">
        <v>1109</v>
      </c>
      <c r="E519" s="1144" t="s">
        <v>1122</v>
      </c>
      <c r="F519"/>
      <c r="G519" s="427"/>
      <c r="AW519" s="106"/>
      <c r="AX519" s="106"/>
    </row>
    <row r="520" spans="2:50" ht="20" hidden="1" outlineLevel="1">
      <c r="B520" s="1142" t="s">
        <v>1110</v>
      </c>
      <c r="C520" s="1143" t="s">
        <v>1111</v>
      </c>
      <c r="D520" s="1143" t="s">
        <v>1112</v>
      </c>
      <c r="E520" s="1143" t="s">
        <v>1123</v>
      </c>
      <c r="F520"/>
      <c r="G520" s="427"/>
    </row>
    <row r="521" spans="2:50" ht="30" hidden="1" outlineLevel="1">
      <c r="B521" s="1142" t="s">
        <v>1113</v>
      </c>
      <c r="C521" s="1143" t="s">
        <v>1114</v>
      </c>
      <c r="D521" s="1143" t="s">
        <v>1115</v>
      </c>
      <c r="E521" s="1143" t="s">
        <v>1124</v>
      </c>
      <c r="F521"/>
      <c r="G521" s="427"/>
    </row>
    <row r="522" spans="2:50" ht="30" hidden="1" outlineLevel="1">
      <c r="B522" s="1142" t="s">
        <v>1116</v>
      </c>
      <c r="C522" s="1143" t="s">
        <v>1117</v>
      </c>
      <c r="D522" s="1143" t="s">
        <v>1118</v>
      </c>
      <c r="E522" s="1143" t="s">
        <v>1125</v>
      </c>
      <c r="F522"/>
      <c r="G522" s="427"/>
    </row>
    <row r="523" spans="2:50" ht="30" hidden="1" outlineLevel="1">
      <c r="B523" s="1142" t="s">
        <v>1119</v>
      </c>
      <c r="C523" s="1143" t="s">
        <v>1120</v>
      </c>
      <c r="D523" s="1143" t="s">
        <v>1121</v>
      </c>
      <c r="E523" s="1143" t="s">
        <v>1126</v>
      </c>
      <c r="F523"/>
      <c r="G523" s="427"/>
    </row>
    <row r="524" spans="2:50" ht="20" hidden="1" outlineLevel="1">
      <c r="B524" s="71"/>
      <c r="C524" s="71"/>
      <c r="D524" s="71"/>
      <c r="E524" s="71"/>
      <c r="F524"/>
      <c r="G524" s="427"/>
    </row>
    <row r="525" spans="2:50" ht="20" hidden="1" outlineLevel="1">
      <c r="B525" s="807" t="s">
        <v>1143</v>
      </c>
      <c r="C525" s="71"/>
      <c r="D525" s="71"/>
      <c r="E525" s="71"/>
      <c r="F525"/>
      <c r="G525" s="427"/>
    </row>
    <row r="526" spans="2:50" s="95" customFormat="1" ht="21" hidden="1" customHeight="1" outlineLevel="1">
      <c r="B526" s="1144" t="s">
        <v>488</v>
      </c>
      <c r="C526" s="1144" t="s">
        <v>1108</v>
      </c>
      <c r="D526" s="1144" t="s">
        <v>1109</v>
      </c>
      <c r="E526" s="1144" t="s">
        <v>1122</v>
      </c>
      <c r="F526"/>
      <c r="G526" s="427"/>
      <c r="AW526" s="106"/>
      <c r="AX526" s="106"/>
    </row>
    <row r="527" spans="2:50" ht="20" hidden="1" outlineLevel="1">
      <c r="B527" s="1142" t="s">
        <v>1110</v>
      </c>
      <c r="C527" s="1143" t="s">
        <v>1111</v>
      </c>
      <c r="D527" s="1143" t="s">
        <v>1112</v>
      </c>
      <c r="E527" s="1143" t="s">
        <v>1123</v>
      </c>
      <c r="F527"/>
      <c r="G527" s="427"/>
    </row>
    <row r="528" spans="2:50" ht="30" hidden="1" outlineLevel="1">
      <c r="B528" s="1142" t="s">
        <v>1113</v>
      </c>
      <c r="C528" s="1143" t="s">
        <v>1120</v>
      </c>
      <c r="D528" s="1143" t="s">
        <v>1115</v>
      </c>
      <c r="E528" s="1143" t="s">
        <v>1127</v>
      </c>
      <c r="F528"/>
      <c r="G528" s="427"/>
    </row>
    <row r="529" spans="1:7" ht="30" hidden="1" outlineLevel="1">
      <c r="B529" s="1142" t="s">
        <v>1116</v>
      </c>
      <c r="C529" s="1143" t="s">
        <v>1117</v>
      </c>
      <c r="D529" s="1143" t="s">
        <v>1118</v>
      </c>
      <c r="E529" s="1143" t="s">
        <v>1125</v>
      </c>
      <c r="F529"/>
      <c r="G529" s="427"/>
    </row>
    <row r="530" spans="1:7" ht="30" hidden="1" outlineLevel="1">
      <c r="B530" s="1142" t="s">
        <v>1128</v>
      </c>
      <c r="C530" s="1143" t="s">
        <v>1129</v>
      </c>
      <c r="D530" s="1143" t="s">
        <v>1130</v>
      </c>
      <c r="E530" s="1143" t="s">
        <v>1131</v>
      </c>
      <c r="F530"/>
      <c r="G530" s="427"/>
    </row>
    <row r="531" spans="1:7" ht="20" hidden="1" outlineLevel="1">
      <c r="G531" s="427"/>
    </row>
    <row r="532" spans="1:7" ht="20" hidden="1" outlineLevel="1">
      <c r="B532" s="1147" t="s">
        <v>1145</v>
      </c>
      <c r="G532" s="427"/>
    </row>
    <row r="533" spans="1:7" ht="20" hidden="1" outlineLevel="1">
      <c r="B533" s="1147"/>
      <c r="G533" s="427"/>
    </row>
    <row r="534" spans="1:7" ht="21" hidden="1" customHeight="1" outlineLevel="1">
      <c r="A534"/>
      <c r="B534" s="1131" t="s">
        <v>1132</v>
      </c>
      <c r="C534" s="1131" t="s">
        <v>1146</v>
      </c>
      <c r="D534" s="1131" t="s">
        <v>26</v>
      </c>
      <c r="G534" s="427"/>
    </row>
    <row r="535" spans="1:7" ht="20" hidden="1" outlineLevel="1">
      <c r="A535"/>
      <c r="B535" s="1119" t="s">
        <v>1138</v>
      </c>
      <c r="C535" s="1382" t="s">
        <v>1147</v>
      </c>
      <c r="D535" s="1146" t="s">
        <v>1133</v>
      </c>
      <c r="E535" s="898"/>
      <c r="G535" s="427"/>
    </row>
    <row r="536" spans="1:7" ht="20" hidden="1" outlineLevel="1">
      <c r="A536"/>
      <c r="B536" s="1119" t="s">
        <v>1139</v>
      </c>
      <c r="C536" s="1382" t="s">
        <v>1136</v>
      </c>
      <c r="D536" s="1146" t="s">
        <v>1134</v>
      </c>
      <c r="E536" s="1118"/>
      <c r="G536" s="427"/>
    </row>
    <row r="537" spans="1:7" ht="20" hidden="1" outlineLevel="1">
      <c r="A537"/>
      <c r="B537" s="1119" t="s">
        <v>1140</v>
      </c>
      <c r="C537" s="1383">
        <v>1</v>
      </c>
      <c r="D537" s="1146" t="s">
        <v>1135</v>
      </c>
      <c r="E537" s="1118"/>
      <c r="G537" s="427"/>
    </row>
    <row r="538" spans="1:7" ht="20" hidden="1" outlineLevel="1">
      <c r="A538"/>
      <c r="B538" s="1119" t="s">
        <v>1141</v>
      </c>
      <c r="C538" s="1382" t="s">
        <v>1148</v>
      </c>
      <c r="D538" s="1145" t="s">
        <v>1137</v>
      </c>
      <c r="E538" s="1118"/>
      <c r="G538" s="427"/>
    </row>
    <row r="539" spans="1:7" ht="20" hidden="1" outlineLevel="1">
      <c r="A539"/>
      <c r="B539" s="1118"/>
      <c r="E539" s="1118"/>
      <c r="G539" s="427"/>
    </row>
    <row r="540" spans="1:7" ht="20" hidden="1" outlineLevel="1">
      <c r="A540"/>
      <c r="B540" s="890" t="s">
        <v>1149</v>
      </c>
      <c r="G540" s="427"/>
    </row>
    <row r="541" spans="1:7" ht="20" hidden="1" outlineLevel="1">
      <c r="A541"/>
      <c r="B541" s="1398" t="s">
        <v>1150</v>
      </c>
      <c r="C541" s="1118"/>
      <c r="D541" s="1118"/>
      <c r="G541" s="427"/>
    </row>
    <row r="542" spans="1:7" hidden="1" outlineLevel="1"/>
    <row r="543" spans="1:7" hidden="1" outlineLevel="1"/>
    <row r="544" spans="1:7" collapsed="1"/>
    <row r="545" spans="2:7" ht="20">
      <c r="B545" s="383" t="s">
        <v>1581</v>
      </c>
    </row>
    <row r="546" spans="2:7" hidden="1" outlineLevel="1"/>
    <row r="547" spans="2:7" hidden="1" outlineLevel="1">
      <c r="B547" s="121" t="s">
        <v>426</v>
      </c>
      <c r="C547" s="9"/>
      <c r="D547" s="9"/>
      <c r="E547" s="9"/>
      <c r="F547" s="9"/>
      <c r="G547" s="9"/>
    </row>
    <row r="548" spans="2:7" hidden="1" outlineLevel="1">
      <c r="B548" s="1947" t="s">
        <v>1418</v>
      </c>
      <c r="C548" s="1947"/>
      <c r="D548" s="1947"/>
      <c r="E548" s="1947"/>
      <c r="F548" s="1947"/>
      <c r="G548" s="1947"/>
    </row>
    <row r="549" spans="2:7" hidden="1" outlineLevel="1">
      <c r="B549" s="1947"/>
      <c r="C549" s="1947"/>
      <c r="D549" s="1947"/>
      <c r="E549" s="1947"/>
      <c r="F549" s="1947"/>
      <c r="G549" s="1947"/>
    </row>
    <row r="550" spans="2:7" hidden="1" outlineLevel="1">
      <c r="B550" s="861"/>
      <c r="C550" s="861"/>
      <c r="D550" s="861"/>
      <c r="E550" s="861"/>
      <c r="F550" s="861"/>
      <c r="G550" s="861"/>
    </row>
    <row r="551" spans="2:7" ht="16" hidden="1" outlineLevel="1">
      <c r="B551" s="158" t="s">
        <v>1365</v>
      </c>
      <c r="C551" s="9"/>
      <c r="D551" s="9"/>
      <c r="E551" s="9"/>
      <c r="F551" s="9"/>
      <c r="G551" s="9"/>
    </row>
    <row r="552" spans="2:7" ht="15" hidden="1" outlineLevel="1">
      <c r="B552" s="117"/>
      <c r="C552" s="1424" t="s">
        <v>1360</v>
      </c>
      <c r="D552" s="1137" t="s">
        <v>345</v>
      </c>
      <c r="E552" s="1137" t="s">
        <v>1361</v>
      </c>
      <c r="F552" s="1137" t="s">
        <v>654</v>
      </c>
      <c r="G552" s="1137" t="s">
        <v>114</v>
      </c>
    </row>
    <row r="553" spans="2:7" hidden="1" outlineLevel="1">
      <c r="B553" s="117" t="s">
        <v>1582</v>
      </c>
      <c r="C553" s="1551">
        <f>500*10%</f>
        <v>50</v>
      </c>
      <c r="D553" s="1410">
        <v>0.9</v>
      </c>
      <c r="E553" s="1410">
        <v>0.1</v>
      </c>
      <c r="F553" s="1410">
        <v>0</v>
      </c>
      <c r="G553" s="1410">
        <v>0</v>
      </c>
    </row>
    <row r="554" spans="2:7" hidden="1" outlineLevel="1">
      <c r="B554" s="117" t="s">
        <v>1583</v>
      </c>
      <c r="C554" s="1551">
        <v>30</v>
      </c>
      <c r="D554" s="1410">
        <v>0</v>
      </c>
      <c r="E554" s="1410">
        <v>0.97</v>
      </c>
      <c r="F554" s="1411">
        <v>0.01</v>
      </c>
      <c r="G554" s="1410">
        <v>0.03</v>
      </c>
    </row>
    <row r="555" spans="2:7" hidden="1" outlineLevel="1">
      <c r="B555" s="496"/>
      <c r="C555" s="1415" t="s">
        <v>603</v>
      </c>
      <c r="D555" s="1412">
        <f>SUMPRODUCT($C$553:$C$554,D553:D554)/SUM($C$553:$C$554)</f>
        <v>0.5625</v>
      </c>
      <c r="E555" s="1412">
        <f>SUMPRODUCT($C$553:$C$554,E553:E554)/SUM($C$553:$C$554)</f>
        <v>0.42624999999999991</v>
      </c>
      <c r="F555" s="1413">
        <f>SUMPRODUCT($C$553:$C$554,F553:F554)/SUM($C$553:$C$554)</f>
        <v>3.7499999999999999E-3</v>
      </c>
      <c r="G555" s="1414">
        <f>SUMPRODUCT($C$553:$C$554,G553:G554)/SUM($C$553:$C$554)</f>
        <v>1.125E-2</v>
      </c>
    </row>
    <row r="556" spans="2:7" hidden="1" outlineLevel="1">
      <c r="B556" s="9"/>
      <c r="C556" s="425"/>
      <c r="D556" s="9"/>
      <c r="E556" s="9"/>
      <c r="F556" s="9"/>
      <c r="G556" s="9"/>
    </row>
    <row r="557" spans="2:7" ht="16" hidden="1" outlineLevel="1">
      <c r="B557" s="158" t="s">
        <v>1366</v>
      </c>
      <c r="C557" s="425"/>
      <c r="D557" s="9"/>
      <c r="E557" s="9"/>
      <c r="F557" s="9"/>
      <c r="G557" s="9"/>
    </row>
    <row r="558" spans="2:7" ht="15" hidden="1" outlineLevel="1">
      <c r="B558" s="1418"/>
      <c r="C558" s="869" t="s">
        <v>1360</v>
      </c>
      <c r="D558" s="1418" t="s">
        <v>345</v>
      </c>
      <c r="E558" s="1418" t="s">
        <v>1361</v>
      </c>
      <c r="F558" s="1418" t="s">
        <v>114</v>
      </c>
      <c r="G558" s="9"/>
    </row>
    <row r="559" spans="2:7" hidden="1" outlineLevel="1">
      <c r="B559" s="117" t="s">
        <v>1582</v>
      </c>
      <c r="C559" s="869">
        <f>200*1/5</f>
        <v>40</v>
      </c>
      <c r="D559" s="1420">
        <v>0.9</v>
      </c>
      <c r="E559" s="1420">
        <v>0.1</v>
      </c>
      <c r="F559" s="1420">
        <v>0</v>
      </c>
      <c r="G559" s="9"/>
    </row>
    <row r="560" spans="2:7" hidden="1" outlineLevel="1">
      <c r="B560" s="117" t="s">
        <v>1583</v>
      </c>
      <c r="C560" s="869">
        <v>20</v>
      </c>
      <c r="D560" s="1420">
        <v>0.27</v>
      </c>
      <c r="E560" s="1420">
        <v>0.7</v>
      </c>
      <c r="F560" s="1420">
        <v>0.03</v>
      </c>
      <c r="G560" s="9"/>
    </row>
    <row r="561" spans="2:7" ht="15" hidden="1" outlineLevel="1">
      <c r="B561" s="456"/>
      <c r="C561" s="1419" t="s">
        <v>603</v>
      </c>
      <c r="D561" s="1421">
        <f>SUMPRODUCT($C$559:$C$560,D559:D560)/SUM($C$559:$C$560)</f>
        <v>0.69</v>
      </c>
      <c r="E561" s="1421">
        <f>SUMPRODUCT($C$559:$C$560,E559:E560)/SUM($C$559:$C$560)</f>
        <v>0.3</v>
      </c>
      <c r="F561" s="1422">
        <f>SUMPRODUCT($C$559:$C$560,F559:F560)/SUM($C$559:$C$560)</f>
        <v>0.01</v>
      </c>
      <c r="G561" s="1417"/>
    </row>
    <row r="562" spans="2:7" hidden="1" outlineLevel="1">
      <c r="B562" s="9"/>
      <c r="C562" s="425"/>
      <c r="D562" s="9"/>
      <c r="E562" s="9"/>
      <c r="F562" s="9"/>
      <c r="G562" s="9"/>
    </row>
    <row r="563" spans="2:7" ht="16" hidden="1" outlineLevel="1">
      <c r="B563" s="158" t="s">
        <v>1367</v>
      </c>
      <c r="C563" s="425"/>
      <c r="D563" s="9"/>
      <c r="E563" s="9"/>
      <c r="F563" s="9"/>
      <c r="G563" s="9"/>
    </row>
    <row r="564" spans="2:7" ht="15" hidden="1" outlineLevel="1">
      <c r="B564" s="1418"/>
      <c r="C564" s="869" t="s">
        <v>1360</v>
      </c>
      <c r="D564" s="1418" t="s">
        <v>345</v>
      </c>
      <c r="E564" s="1418" t="s">
        <v>1361</v>
      </c>
      <c r="F564" s="1418" t="s">
        <v>114</v>
      </c>
      <c r="G564" s="9"/>
    </row>
    <row r="565" spans="2:7" hidden="1" outlineLevel="1">
      <c r="B565" s="117" t="s">
        <v>1582</v>
      </c>
      <c r="C565" s="869">
        <f>100*1/5</f>
        <v>20</v>
      </c>
      <c r="D565" s="1420">
        <v>1</v>
      </c>
      <c r="E565" s="1420">
        <v>0</v>
      </c>
      <c r="F565" s="1420">
        <v>0</v>
      </c>
      <c r="G565" s="9"/>
    </row>
    <row r="566" spans="2:7" hidden="1" outlineLevel="1">
      <c r="B566" s="117" t="s">
        <v>1583</v>
      </c>
      <c r="C566" s="869">
        <v>18</v>
      </c>
      <c r="D566" s="1420">
        <v>0.3</v>
      </c>
      <c r="E566" s="1420">
        <v>0.7</v>
      </c>
      <c r="F566" s="1420">
        <v>0</v>
      </c>
      <c r="G566" s="9"/>
    </row>
    <row r="567" spans="2:7" ht="15" hidden="1" outlineLevel="1">
      <c r="B567" s="456"/>
      <c r="C567" s="1419" t="s">
        <v>603</v>
      </c>
      <c r="D567" s="1421">
        <v>0.93</v>
      </c>
      <c r="E567" s="1421">
        <v>7.0000000000000007E-2</v>
      </c>
      <c r="F567" s="1421">
        <v>0</v>
      </c>
      <c r="G567" s="9"/>
    </row>
    <row r="568" spans="2:7" hidden="1" outlineLevel="1">
      <c r="B568" s="1712"/>
      <c r="C568" s="1824"/>
      <c r="D568" s="1825"/>
      <c r="E568" s="1825"/>
      <c r="F568" s="1825"/>
      <c r="G568" s="9"/>
    </row>
    <row r="569" spans="2:7" hidden="1" outlineLevel="1">
      <c r="B569" s="1712"/>
      <c r="C569" s="1824"/>
      <c r="D569" s="1825"/>
      <c r="E569" s="1825"/>
      <c r="F569" s="1825"/>
      <c r="G569" s="9"/>
    </row>
    <row r="570" spans="2:7" hidden="1" outlineLevel="1">
      <c r="B570" s="1712"/>
      <c r="C570" s="1824"/>
      <c r="D570" s="1825"/>
      <c r="E570" s="1825"/>
      <c r="F570" s="1825"/>
      <c r="G570" s="9"/>
    </row>
    <row r="571" spans="2:7" collapsed="1">
      <c r="B571" s="1712"/>
      <c r="C571" s="1824"/>
      <c r="D571" s="1825"/>
      <c r="E571" s="1825"/>
      <c r="F571" s="1825"/>
      <c r="G571" s="9"/>
    </row>
    <row r="572" spans="2:7" ht="20">
      <c r="B572" s="383" t="s">
        <v>1702</v>
      </c>
      <c r="C572" s="1824"/>
      <c r="D572" s="1825"/>
      <c r="E572" s="1825"/>
      <c r="F572" s="1825"/>
      <c r="G572" s="9"/>
    </row>
    <row r="573" spans="2:7" hidden="1" outlineLevel="1"/>
    <row r="574" spans="2:7" hidden="1" outlineLevel="1"/>
    <row r="575" spans="2:7" hidden="1" outlineLevel="1">
      <c r="B575" s="10" t="s">
        <v>1602</v>
      </c>
    </row>
    <row r="576" spans="2:7" hidden="1" outlineLevel="1"/>
    <row r="577" spans="2:6" hidden="1" outlineLevel="1">
      <c r="B577" s="34"/>
      <c r="C577" s="34" t="str">
        <f>E552</f>
        <v>Car/mini bus</v>
      </c>
      <c r="D577" s="34" t="str">
        <f>D552</f>
        <v>Voiture</v>
      </c>
      <c r="E577" s="34" t="str">
        <f>G552</f>
        <v>Train</v>
      </c>
      <c r="F577" s="34" t="str">
        <f>F552</f>
        <v>Avion</v>
      </c>
    </row>
    <row r="578" spans="2:6" hidden="1" outlineLevel="1">
      <c r="B578" s="34" t="s">
        <v>666</v>
      </c>
      <c r="C578" s="1736">
        <f>E554</f>
        <v>0.97</v>
      </c>
      <c r="D578" s="1736">
        <f>D554</f>
        <v>0</v>
      </c>
      <c r="E578" s="1736">
        <f>G554</f>
        <v>0.03</v>
      </c>
      <c r="F578" s="1736">
        <f>F554</f>
        <v>0.01</v>
      </c>
    </row>
    <row r="579" spans="2:6" hidden="1" outlineLevel="1">
      <c r="B579" s="34" t="s">
        <v>669</v>
      </c>
      <c r="C579" s="1736">
        <f>E560</f>
        <v>0.7</v>
      </c>
      <c r="D579" s="1736">
        <f>D560</f>
        <v>0.27</v>
      </c>
      <c r="E579" s="1736">
        <f>F560</f>
        <v>0.03</v>
      </c>
      <c r="F579" s="1736">
        <f>G560</f>
        <v>0</v>
      </c>
    </row>
    <row r="580" spans="2:6" hidden="1" outlineLevel="1">
      <c r="B580" s="34" t="s">
        <v>670</v>
      </c>
      <c r="C580" s="1736">
        <f>E566</f>
        <v>0.7</v>
      </c>
      <c r="D580" s="1736">
        <f>D566</f>
        <v>0.3</v>
      </c>
      <c r="E580" s="1736">
        <f>F566</f>
        <v>0</v>
      </c>
      <c r="F580" s="1736">
        <f>G566</f>
        <v>0</v>
      </c>
    </row>
    <row r="581" spans="2:6" hidden="1" outlineLevel="1"/>
    <row r="582" spans="2:6" hidden="1" outlineLevel="1"/>
    <row r="583" spans="2:6" hidden="1" outlineLevel="1"/>
    <row r="584" spans="2:6" hidden="1" outlineLevel="1"/>
    <row r="585" spans="2:6" hidden="1" outlineLevel="1"/>
    <row r="586" spans="2:6" hidden="1" outlineLevel="1"/>
    <row r="587" spans="2:6" hidden="1" outlineLevel="1"/>
    <row r="588" spans="2:6" hidden="1" outlineLevel="1"/>
    <row r="589" spans="2:6" hidden="1" outlineLevel="1"/>
    <row r="590" spans="2:6" hidden="1" outlineLevel="1"/>
    <row r="591" spans="2:6" hidden="1" outlineLevel="1"/>
    <row r="592" spans="2:6" hidden="1" outlineLevel="1"/>
    <row r="593" spans="2:6" hidden="1" outlineLevel="1"/>
    <row r="594" spans="2:6" hidden="1" outlineLevel="1"/>
    <row r="595" spans="2:6" hidden="1" outlineLevel="1"/>
    <row r="596" spans="2:6" hidden="1" outlineLevel="1"/>
    <row r="597" spans="2:6" hidden="1" outlineLevel="1"/>
    <row r="598" spans="2:6" hidden="1" outlineLevel="1"/>
    <row r="599" spans="2:6" hidden="1" outlineLevel="1"/>
    <row r="600" spans="2:6" hidden="1" outlineLevel="1"/>
    <row r="601" spans="2:6" hidden="1" outlineLevel="1"/>
    <row r="602" spans="2:6" hidden="1" outlineLevel="1"/>
    <row r="603" spans="2:6" hidden="1" outlineLevel="1"/>
    <row r="604" spans="2:6" hidden="1" outlineLevel="1"/>
    <row r="605" spans="2:6" hidden="1" outlineLevel="1"/>
    <row r="606" spans="2:6" hidden="1" outlineLevel="1">
      <c r="B606" s="10" t="s">
        <v>1603</v>
      </c>
    </row>
    <row r="607" spans="2:6" hidden="1" outlineLevel="1"/>
    <row r="608" spans="2:6" hidden="1" outlineLevel="1">
      <c r="B608" s="34"/>
      <c r="C608" s="34" t="str">
        <f>C577</f>
        <v>Car/mini bus</v>
      </c>
      <c r="D608" s="34" t="str">
        <f t="shared" ref="D608:F608" si="32">D577</f>
        <v>Voiture</v>
      </c>
      <c r="E608" s="34" t="str">
        <f t="shared" si="32"/>
        <v>Train</v>
      </c>
      <c r="F608" s="34" t="str">
        <f t="shared" si="32"/>
        <v>Avion</v>
      </c>
    </row>
    <row r="609" spans="2:6" hidden="1" outlineLevel="1">
      <c r="B609" s="34" t="str">
        <f>B578</f>
        <v>National</v>
      </c>
      <c r="C609" s="96">
        <f>E555</f>
        <v>0.42624999999999991</v>
      </c>
      <c r="D609" s="96">
        <f>D555</f>
        <v>0.5625</v>
      </c>
      <c r="E609" s="1737">
        <f>F555</f>
        <v>3.7499999999999999E-3</v>
      </c>
      <c r="F609" s="1737">
        <f>F555</f>
        <v>3.7499999999999999E-3</v>
      </c>
    </row>
    <row r="610" spans="2:6" hidden="1" outlineLevel="1">
      <c r="B610" s="34" t="str">
        <f t="shared" ref="B610:B611" si="33">B579</f>
        <v>Régional</v>
      </c>
      <c r="C610" s="96">
        <f>E561</f>
        <v>0.3</v>
      </c>
      <c r="D610" s="96">
        <f>D561</f>
        <v>0.69</v>
      </c>
      <c r="E610" s="96">
        <f>F561</f>
        <v>0.01</v>
      </c>
      <c r="F610" s="96">
        <v>0</v>
      </c>
    </row>
    <row r="611" spans="2:6" hidden="1" outlineLevel="1">
      <c r="B611" s="34" t="str">
        <f t="shared" si="33"/>
        <v>Départemental</v>
      </c>
      <c r="C611" s="96">
        <f>E567</f>
        <v>7.0000000000000007E-2</v>
      </c>
      <c r="D611" s="96">
        <f>D567</f>
        <v>0.93</v>
      </c>
      <c r="E611" s="96">
        <f>F567</f>
        <v>0</v>
      </c>
      <c r="F611" s="96" t="s">
        <v>1604</v>
      </c>
    </row>
    <row r="612" spans="2:6" hidden="1" outlineLevel="1"/>
    <row r="613" spans="2:6" hidden="1" outlineLevel="1"/>
    <row r="614" spans="2:6" hidden="1" outlineLevel="1"/>
    <row r="615" spans="2:6" hidden="1" outlineLevel="1"/>
    <row r="616" spans="2:6" hidden="1" outlineLevel="1"/>
    <row r="617" spans="2:6" hidden="1" outlineLevel="1"/>
    <row r="618" spans="2:6" hidden="1" outlineLevel="1"/>
    <row r="619" spans="2:6" hidden="1" outlineLevel="1"/>
    <row r="620" spans="2:6" hidden="1" outlineLevel="1"/>
    <row r="621" spans="2:6" hidden="1" outlineLevel="1"/>
    <row r="622" spans="2:6" hidden="1" outlineLevel="1"/>
    <row r="623" spans="2:6" hidden="1" outlineLevel="1"/>
    <row r="624" spans="2:6" hidden="1" outlineLevel="1"/>
    <row r="625" hidden="1" outlineLevel="1"/>
    <row r="626" hidden="1" outlineLevel="1"/>
    <row r="627" hidden="1" outlineLevel="1"/>
    <row r="628" hidden="1" outlineLevel="1"/>
    <row r="629" hidden="1" outlineLevel="1"/>
    <row r="630" hidden="1" outlineLevel="1"/>
    <row r="631" hidden="1" outlineLevel="1"/>
    <row r="632" hidden="1" outlineLevel="1"/>
    <row r="633" hidden="1" outlineLevel="1"/>
    <row r="634" hidden="1" outlineLevel="1"/>
    <row r="635" hidden="1" outlineLevel="1"/>
    <row r="636" hidden="1" outlineLevel="1"/>
    <row r="637" hidden="1" outlineLevel="1"/>
    <row r="638" hidden="1" outlineLevel="1"/>
    <row r="639" hidden="1" outlineLevel="1"/>
    <row r="640" hidden="1" outlineLevel="1"/>
    <row r="641" spans="2:3" hidden="1" outlineLevel="1"/>
    <row r="642" spans="2:3" hidden="1" outlineLevel="1"/>
    <row r="643" spans="2:3" hidden="1" outlineLevel="1">
      <c r="B643" s="10" t="s">
        <v>1608</v>
      </c>
      <c r="C643" s="1738">
        <f>C185</f>
        <v>0.26</v>
      </c>
    </row>
    <row r="644" spans="2:3" hidden="1" outlineLevel="1">
      <c r="B644" s="10" t="s">
        <v>1606</v>
      </c>
      <c r="C644" s="1738">
        <f>C182</f>
        <v>8.1784386617100371E-2</v>
      </c>
    </row>
    <row r="645" spans="2:3" hidden="1" outlineLevel="1">
      <c r="B645" s="10" t="s">
        <v>1607</v>
      </c>
      <c r="C645" s="1738">
        <f>C184</f>
        <v>0.03</v>
      </c>
    </row>
    <row r="646" spans="2:3" hidden="1" outlineLevel="1">
      <c r="B646" s="10" t="s">
        <v>79</v>
      </c>
      <c r="C646" s="1738">
        <f>C186</f>
        <v>0.03</v>
      </c>
    </row>
    <row r="647" spans="2:3" hidden="1" outlineLevel="1">
      <c r="B647" s="10" t="s">
        <v>1605</v>
      </c>
      <c r="C647" s="1739">
        <f>C187</f>
        <v>3.0000000000000001E-3</v>
      </c>
    </row>
    <row r="648" spans="2:3" hidden="1" outlineLevel="1"/>
    <row r="649" spans="2:3" hidden="1" outlineLevel="1"/>
    <row r="650" spans="2:3" hidden="1" outlineLevel="1"/>
    <row r="651" spans="2:3" hidden="1" outlineLevel="1"/>
    <row r="652" spans="2:3" hidden="1" outlineLevel="1"/>
    <row r="653" spans="2:3" hidden="1" outlineLevel="1"/>
    <row r="654" spans="2:3" hidden="1" outlineLevel="1"/>
    <row r="655" spans="2:3" hidden="1" outlineLevel="1"/>
    <row r="656" spans="2:3" hidden="1" outlineLevel="1"/>
    <row r="657" spans="2:7" hidden="1" outlineLevel="1"/>
    <row r="658" spans="2:7" hidden="1" outlineLevel="1"/>
    <row r="659" spans="2:7" hidden="1" outlineLevel="1"/>
    <row r="660" spans="2:7" hidden="1" outlineLevel="1"/>
    <row r="661" spans="2:7" hidden="1" outlineLevel="1"/>
    <row r="662" spans="2:7" hidden="1" outlineLevel="1">
      <c r="B662" s="2100" t="str">
        <f>D149</f>
        <v>Rencontres nationales</v>
      </c>
      <c r="C662" s="2100"/>
      <c r="D662" s="2100" t="str">
        <f>F149</f>
        <v>Rencontres régionales</v>
      </c>
      <c r="E662" s="2100"/>
      <c r="F662" s="2100" t="str">
        <f>H149</f>
        <v>Rencontres départementales</v>
      </c>
      <c r="G662" s="2100"/>
    </row>
    <row r="663" spans="2:7" hidden="1" outlineLevel="1">
      <c r="B663" s="369" t="str">
        <f>D150</f>
        <v>Locaux</v>
      </c>
      <c r="C663" s="369" t="str">
        <f>E150</f>
        <v>Visiteurs</v>
      </c>
      <c r="D663" s="369" t="str">
        <f>F150</f>
        <v>Locaux</v>
      </c>
      <c r="E663" s="369" t="str">
        <f>G150</f>
        <v>Visiteurs</v>
      </c>
      <c r="F663" s="369" t="str">
        <f>H150</f>
        <v>Locaux</v>
      </c>
      <c r="G663" s="369" t="str">
        <f>I150</f>
        <v>Visiteurs</v>
      </c>
    </row>
    <row r="664" spans="2:7" hidden="1" outlineLevel="1">
      <c r="B664" s="96">
        <f>D169/SUM($D$169:$E$169)</f>
        <v>0.16629627278221162</v>
      </c>
      <c r="C664" s="96">
        <f>E169/SUM($D$169:$E$169)</f>
        <v>0.8337037272177884</v>
      </c>
      <c r="D664" s="96">
        <f>F169/SUM($F$169:$G$169)</f>
        <v>0.12800200470271439</v>
      </c>
      <c r="E664" s="96">
        <f>G169/SUM($F$169:$G$169)</f>
        <v>0.87199799529728561</v>
      </c>
      <c r="F664" s="96">
        <f>H169/SUM($H$169:$I$169)</f>
        <v>0.32150167679774017</v>
      </c>
      <c r="G664" s="96">
        <f>I169/SUM($H$169:$I$169)</f>
        <v>0.67849832320225978</v>
      </c>
    </row>
    <row r="665" spans="2:7" hidden="1" outlineLevel="1">
      <c r="B665" s="96">
        <f>D169/$D$170</f>
        <v>3.3474205072687981E-2</v>
      </c>
      <c r="C665" s="96">
        <f>E169/$D$170</f>
        <v>0.16781837059752661</v>
      </c>
      <c r="D665" s="96">
        <f>F169/$D$170</f>
        <v>3.4459980546760374E-2</v>
      </c>
      <c r="E665" s="96">
        <f>G169/$D$170</f>
        <v>0.23475440110916709</v>
      </c>
      <c r="F665" s="96">
        <f>H169/$D$170</f>
        <v>0.17023290107238268</v>
      </c>
      <c r="G665" s="96">
        <f>I169/$D$170</f>
        <v>0.35926014160147518</v>
      </c>
    </row>
    <row r="666" spans="2:7" hidden="1" outlineLevel="1">
      <c r="B666" s="96">
        <f>B667/SUM($B$667:$C$667)</f>
        <v>0.86348392862014067</v>
      </c>
      <c r="C666" s="96">
        <f>C667/SUM($B$667:$C$667)</f>
        <v>0.13651607137985933</v>
      </c>
      <c r="D666" s="96">
        <f>D667/SUM($D$667:$E$667)</f>
        <v>0.60144163416187324</v>
      </c>
      <c r="E666" s="96">
        <f>E667/SUM($D$667:$E$667)</f>
        <v>0.39855836583812676</v>
      </c>
      <c r="F666" s="96">
        <f>F667/SUM($F$667:$G$667)</f>
        <v>0.60274027315372003</v>
      </c>
      <c r="G666" s="96">
        <f>G667/SUM($F$667:$G$667)</f>
        <v>0.39725972684627997</v>
      </c>
    </row>
    <row r="667" spans="2:7" hidden="1" outlineLevel="1">
      <c r="B667" s="369">
        <f>D151</f>
        <v>308824.96276177408</v>
      </c>
      <c r="C667" s="369">
        <f>E151</f>
        <v>48824.96276177407</v>
      </c>
      <c r="D667" s="369">
        <f>F151</f>
        <v>380121.12950000004</v>
      </c>
      <c r="E667" s="369">
        <f>G151</f>
        <v>251895.52499999999</v>
      </c>
      <c r="F667" s="369">
        <f>H151</f>
        <v>1877804.9670077153</v>
      </c>
      <c r="G667" s="369">
        <f>I151</f>
        <v>1237641.3548092586</v>
      </c>
    </row>
    <row r="668" spans="2:7" hidden="1" outlineLevel="1">
      <c r="B668" s="96">
        <f>B667/SUM($B$667:$G$667)</f>
        <v>7.5229346950071163E-2</v>
      </c>
      <c r="C668" s="96">
        <f t="shared" ref="C668:G668" si="34">C667/SUM($B$667:$G$667)</f>
        <v>1.1893695479089859E-2</v>
      </c>
      <c r="D668" s="96">
        <f t="shared" si="34"/>
        <v>9.2596997595260591E-2</v>
      </c>
      <c r="E668" s="96">
        <f t="shared" si="34"/>
        <v>6.1361412224999454E-2</v>
      </c>
      <c r="F668" s="96">
        <f t="shared" si="34"/>
        <v>0.45743077277260846</v>
      </c>
      <c r="G668" s="96">
        <f t="shared" si="34"/>
        <v>0.30148777497797047</v>
      </c>
    </row>
    <row r="669" spans="2:7" hidden="1" outlineLevel="1"/>
    <row r="670" spans="2:7" hidden="1" outlineLevel="1"/>
    <row r="671" spans="2:7" hidden="1" outlineLevel="1"/>
    <row r="672" spans="2:7" hidden="1" outlineLevel="1"/>
    <row r="673" hidden="1" outlineLevel="1"/>
    <row r="674" hidden="1" outlineLevel="1"/>
    <row r="675" hidden="1" outlineLevel="1"/>
    <row r="676" hidden="1" outlineLevel="1"/>
    <row r="677" hidden="1" outlineLevel="1"/>
    <row r="678" hidden="1" outlineLevel="1"/>
    <row r="679" hidden="1" outlineLevel="1"/>
    <row r="680" hidden="1" outlineLevel="1"/>
    <row r="681" hidden="1" outlineLevel="1"/>
    <row r="682" hidden="1" outlineLevel="1"/>
    <row r="683" hidden="1" outlineLevel="1"/>
    <row r="684" hidden="1" outlineLevel="1"/>
    <row r="685" hidden="1" outlineLevel="1"/>
    <row r="686" hidden="1" outlineLevel="1"/>
    <row r="687" hidden="1" outlineLevel="1"/>
    <row r="688" hidden="1" outlineLevel="1"/>
    <row r="689" spans="5:5" hidden="1" outlineLevel="1"/>
    <row r="690" spans="5:5" hidden="1" outlineLevel="1"/>
    <row r="691" spans="5:5" hidden="1" outlineLevel="1"/>
    <row r="692" spans="5:5" hidden="1" outlineLevel="1"/>
    <row r="693" spans="5:5" hidden="1" outlineLevel="1"/>
    <row r="694" spans="5:5" hidden="1" outlineLevel="1"/>
    <row r="695" spans="5:5" hidden="1" outlineLevel="1"/>
    <row r="696" spans="5:5" hidden="1" outlineLevel="1"/>
    <row r="697" spans="5:5" hidden="1" outlineLevel="1"/>
    <row r="698" spans="5:5" hidden="1" outlineLevel="1"/>
    <row r="699" spans="5:5" hidden="1" outlineLevel="1"/>
    <row r="700" spans="5:5" hidden="1" outlineLevel="1"/>
    <row r="701" spans="5:5" hidden="1" outlineLevel="1"/>
    <row r="702" spans="5:5" hidden="1" outlineLevel="1"/>
    <row r="703" spans="5:5" hidden="1" outlineLevel="1"/>
    <row r="704" spans="5:5" hidden="1" outlineLevel="1">
      <c r="E704" s="67"/>
    </row>
    <row r="705" spans="2:5" hidden="1" outlineLevel="1">
      <c r="C705" s="10" t="s">
        <v>663</v>
      </c>
      <c r="D705" s="10" t="s">
        <v>665</v>
      </c>
      <c r="E705" s="10" t="s">
        <v>664</v>
      </c>
    </row>
    <row r="706" spans="2:5" hidden="1" outlineLevel="1">
      <c r="B706" s="10" t="s">
        <v>1610</v>
      </c>
      <c r="C706" s="67">
        <f>I169/I151/I152*1000</f>
        <v>4.6895687732342015</v>
      </c>
      <c r="D706" s="67">
        <f>G169/G151/G152*1000</f>
        <v>15.056082156133828</v>
      </c>
      <c r="E706" s="67">
        <f>E169/E151/E152*1000</f>
        <v>47.839973977695159</v>
      </c>
    </row>
    <row r="707" spans="2:5" hidden="1" outlineLevel="1"/>
    <row r="708" spans="2:5" hidden="1" outlineLevel="1"/>
    <row r="709" spans="2:5" hidden="1" outlineLevel="1"/>
    <row r="710" spans="2:5" hidden="1" outlineLevel="1"/>
    <row r="711" spans="2:5" hidden="1" outlineLevel="1"/>
    <row r="712" spans="2:5" hidden="1" outlineLevel="1"/>
    <row r="713" spans="2:5" hidden="1" outlineLevel="1"/>
    <row r="714" spans="2:5" hidden="1" outlineLevel="1"/>
    <row r="715" spans="2:5" hidden="1" outlineLevel="1"/>
    <row r="716" spans="2:5" hidden="1" outlineLevel="1"/>
    <row r="717" spans="2:5" hidden="1" outlineLevel="1"/>
    <row r="718" spans="2:5" hidden="1" outlineLevel="1"/>
    <row r="719" spans="2:5" hidden="1" outlineLevel="1"/>
    <row r="720" spans="2:5" hidden="1" outlineLevel="1"/>
    <row r="721" spans="2:7" hidden="1" outlineLevel="1"/>
    <row r="722" spans="2:7" hidden="1" outlineLevel="1"/>
    <row r="723" spans="2:7" hidden="1" outlineLevel="1"/>
    <row r="724" spans="2:7" hidden="1" outlineLevel="1"/>
    <row r="725" spans="2:7" hidden="1" outlineLevel="1"/>
    <row r="726" spans="2:7" hidden="1" outlineLevel="1"/>
    <row r="727" spans="2:7" hidden="1" outlineLevel="1"/>
    <row r="728" spans="2:7" hidden="1" outlineLevel="1"/>
    <row r="729" spans="2:7" ht="16" hidden="1" outlineLevel="1">
      <c r="B729" s="35" t="s">
        <v>1612</v>
      </c>
    </row>
    <row r="730" spans="2:7" hidden="1" outlineLevel="1"/>
    <row r="731" spans="2:7" hidden="1" outlineLevel="1">
      <c r="B731" s="95"/>
      <c r="C731" s="18" t="s">
        <v>1752</v>
      </c>
      <c r="D731" s="18" t="s">
        <v>1751</v>
      </c>
      <c r="E731" s="41" t="s">
        <v>0</v>
      </c>
      <c r="F731" s="1643" t="s">
        <v>113</v>
      </c>
    </row>
    <row r="732" spans="2:7" hidden="1" outlineLevel="1">
      <c r="B732" s="1871" t="s">
        <v>654</v>
      </c>
      <c r="C732" s="1872">
        <f>E151*E152*E153*E160*E168/1000</f>
        <v>825.14187067398177</v>
      </c>
      <c r="D732" s="1872">
        <v>0</v>
      </c>
      <c r="E732" s="1873">
        <f>SUM(C732:D732)</f>
        <v>825.14187067398177</v>
      </c>
      <c r="F732" s="215">
        <f>E732/$E$735</f>
        <v>1.1297836157257084E-3</v>
      </c>
    </row>
    <row r="733" spans="2:7" hidden="1" outlineLevel="1">
      <c r="B733" s="1871" t="s">
        <v>345</v>
      </c>
      <c r="C733" s="1872">
        <f>(D151*D152*D153*D154*D161+E151*E152*E153*E154*E162+F151*F152*F153*F154*F161+G151*G152*G153*G154*G162+H151*H152*H153*H154*H161+I151*I152*I153*I154*I162)/1000</f>
        <v>275113.77454733691</v>
      </c>
      <c r="D733" s="1872">
        <f>SUMPRODUCT('3.2 - Déplacement entraînement'!D71:G71,'3.2 - Déplacement entraînement'!D72:G72,'3.2 - Déplacement entraînement'!D73:G73,'3.2 - Déplacement entraînement'!D74:G74,'3.2 - Déplacement entraînement'!D78:G78)/1000</f>
        <v>416157.62755307386</v>
      </c>
      <c r="E733" s="1873">
        <f>SUM(C733:D733)</f>
        <v>691271.40210041078</v>
      </c>
      <c r="F733" s="215">
        <f t="shared" ref="F733:F734" si="35">E733/$E$735</f>
        <v>0.94648827294979754</v>
      </c>
      <c r="G733" s="1742"/>
    </row>
    <row r="734" spans="2:7" hidden="1" outlineLevel="1">
      <c r="B734" s="1871" t="s">
        <v>1613</v>
      </c>
      <c r="C734" s="1872">
        <f>D170-C732-C733</f>
        <v>25629.223546748806</v>
      </c>
      <c r="D734" s="1872">
        <f>'3.2 - Déplacement entraînement'!C86-'3.1 - Déplacement match '!D733</f>
        <v>12628.133166022424</v>
      </c>
      <c r="E734" s="1873">
        <f>SUM(C734:D734)</f>
        <v>38257.35671277123</v>
      </c>
      <c r="F734" s="215">
        <f t="shared" si="35"/>
        <v>5.2381943434476802E-2</v>
      </c>
    </row>
    <row r="735" spans="2:7" hidden="1" outlineLevel="1">
      <c r="B735" s="229" t="s">
        <v>139</v>
      </c>
      <c r="C735" s="1873">
        <f>SUM(C732:C734)</f>
        <v>301568.1399647597</v>
      </c>
      <c r="D735" s="1873">
        <f>SUM(D732:D734)</f>
        <v>428785.76071909629</v>
      </c>
      <c r="E735" s="1873">
        <f>SUM(C735:D735)</f>
        <v>730353.90068385599</v>
      </c>
      <c r="F735" s="76">
        <f>SUM(F732:F734)</f>
        <v>1</v>
      </c>
    </row>
    <row r="736" spans="2:7" hidden="1" outlineLevel="1"/>
    <row r="737" spans="2:6" hidden="1" outlineLevel="1"/>
    <row r="738" spans="2:6" ht="16" hidden="1" outlineLevel="1">
      <c r="B738" s="35" t="s">
        <v>1766</v>
      </c>
    </row>
    <row r="739" spans="2:6" hidden="1" outlineLevel="1"/>
    <row r="740" spans="2:6" hidden="1" outlineLevel="1">
      <c r="B740" s="18"/>
      <c r="C740" s="18" t="s">
        <v>1752</v>
      </c>
      <c r="D740" s="18" t="s">
        <v>1751</v>
      </c>
      <c r="E740" s="41" t="s">
        <v>0</v>
      </c>
      <c r="F740" s="1643" t="s">
        <v>113</v>
      </c>
    </row>
    <row r="741" spans="2:6" hidden="1" outlineLevel="1">
      <c r="B741" s="18" t="s">
        <v>654</v>
      </c>
      <c r="C741" s="1872">
        <f>E151*E152*E153*E160</f>
        <v>3173622.5795153142</v>
      </c>
      <c r="D741" s="1872">
        <v>0</v>
      </c>
      <c r="E741" s="1873">
        <f>SUM(C741:D741)</f>
        <v>3173622.5795153142</v>
      </c>
      <c r="F741" s="215">
        <f>E741/$E$745</f>
        <v>3.5604940628190769E-4</v>
      </c>
    </row>
    <row r="742" spans="2:6" hidden="1" outlineLevel="1">
      <c r="B742" s="18" t="s">
        <v>345</v>
      </c>
      <c r="C742" s="1872">
        <f>SUMPRODUCT(D151:I151,D152:I152,D153:I153,D154:I154)</f>
        <v>3104019670.5640473</v>
      </c>
      <c r="D742" s="1872">
        <f>SUMPRODUCT('3.2 - Déplacement entraînement'!D71:G71,'3.2 - Déplacement entraînement'!D72:G72,'3.2 - Déplacement entraînement'!D73:G73,'3.2 - Déplacement entraînement'!D74:G74)</f>
        <v>3583579570.5959144</v>
      </c>
      <c r="E742" s="1873">
        <f t="shared" ref="E742:E743" si="36">SUM(C742:D742)</f>
        <v>6687599241.1599617</v>
      </c>
      <c r="F742" s="215">
        <f t="shared" ref="F742:F743" si="37">E742/$E$745</f>
        <v>0.75028321093870975</v>
      </c>
    </row>
    <row r="743" spans="2:6" hidden="1" outlineLevel="1">
      <c r="B743" s="18" t="s">
        <v>1613</v>
      </c>
      <c r="C743" s="1872">
        <f>SUMPRODUCT(D151:I151,D152:I152,D153:I153,D156:I156)+SUMPRODUCT(D151:I151,D152:I152,D153:I153,D157:I157)+SUMPRODUCT(D151:I151,D152:I152,D153:I153,D158:I158)+SUMPRODUCT(D151:I151,D152:I152,D153:I153,D159:I159)</f>
        <v>829416057.79169536</v>
      </c>
      <c r="D743" s="1872">
        <f>SUMPRODUCT('3.2 - Déplacement entraînement'!D71:G71,'3.2 - Déplacement entraînement'!D72:G72,'3.2 - Déplacement entraînement'!D73:G73,'3.2 - Déplacement entraînement'!D75:G75)+SUMPRODUCT('3.2 - Déplacement entraînement'!D71:G71,'3.2 - Déplacement entraînement'!D72:G72,'3.2 - Déplacement entraînement'!D73:G73,'3.2 - Déplacement entraînement'!D76:G76)</f>
        <v>136749732.24713773</v>
      </c>
      <c r="E743" s="1873">
        <f t="shared" si="36"/>
        <v>966165790.03883314</v>
      </c>
      <c r="F743" s="215">
        <f t="shared" si="37"/>
        <v>0.10839434976724738</v>
      </c>
    </row>
    <row r="744" spans="2:6" hidden="1" outlineLevel="1">
      <c r="B744" s="18" t="s">
        <v>1767</v>
      </c>
      <c r="C744" s="34">
        <f>SUMPRODUCT(D151:I151,D152:I152,D153:I153,D155:I155)</f>
        <v>204097030.92509139</v>
      </c>
      <c r="D744" s="34">
        <f>SUMPRODUCT('3.2 - Déplacement entraînement'!D71:G71,'3.2 - Déplacement entraînement'!D72:G72,'3.2 - Déplacement entraînement'!D73:G73,'3.2 - Déplacement entraînement'!D77:G77)</f>
        <v>1052397461.1520616</v>
      </c>
      <c r="E744" s="1873">
        <f>SUM(C744:D744)</f>
        <v>1256494492.077153</v>
      </c>
      <c r="F744" s="215">
        <f>E744/$E$745</f>
        <v>0.14096638988776097</v>
      </c>
    </row>
    <row r="745" spans="2:6" hidden="1" outlineLevel="1">
      <c r="B745" s="41" t="s">
        <v>139</v>
      </c>
      <c r="C745" s="1873">
        <f t="shared" ref="C745" si="38">SUM(C741:C744)</f>
        <v>4140706381.8603492</v>
      </c>
      <c r="D745" s="1873">
        <f t="shared" ref="D745" si="39">SUM(D741:D744)</f>
        <v>4772726763.9951134</v>
      </c>
      <c r="E745" s="1873">
        <f>SUM(E741:E744)</f>
        <v>8913433145.855463</v>
      </c>
      <c r="F745" s="1873">
        <f t="shared" ref="F745" si="40">SUM(F741:F744)</f>
        <v>1</v>
      </c>
    </row>
    <row r="746" spans="2:6" hidden="1" outlineLevel="1"/>
    <row r="747" spans="2:6" hidden="1" outlineLevel="1"/>
    <row r="748" spans="2:6" hidden="1" outlineLevel="1"/>
    <row r="749" spans="2:6" hidden="1" outlineLevel="1"/>
    <row r="750" spans="2:6" hidden="1" outlineLevel="1"/>
    <row r="751" spans="2:6" hidden="1" outlineLevel="1"/>
    <row r="752" spans="2:6" collapsed="1"/>
  </sheetData>
  <mergeCells count="118">
    <mergeCell ref="B233:E233"/>
    <mergeCell ref="B232:E232"/>
    <mergeCell ref="B231:E231"/>
    <mergeCell ref="B341:B352"/>
    <mergeCell ref="B354:B365"/>
    <mergeCell ref="B367:B378"/>
    <mergeCell ref="B380:B391"/>
    <mergeCell ref="D271:F272"/>
    <mergeCell ref="D277:F277"/>
    <mergeCell ref="D279:F280"/>
    <mergeCell ref="D273:F274"/>
    <mergeCell ref="D252:D255"/>
    <mergeCell ref="D297:F297"/>
    <mergeCell ref="D298:F299"/>
    <mergeCell ref="D300:F301"/>
    <mergeCell ref="D290:F291"/>
    <mergeCell ref="D292:F293"/>
    <mergeCell ref="B294:F294"/>
    <mergeCell ref="D295:F295"/>
    <mergeCell ref="D296:F296"/>
    <mergeCell ref="B285:F285"/>
    <mergeCell ref="B286:F286"/>
    <mergeCell ref="D287:F287"/>
    <mergeCell ref="D288:F288"/>
    <mergeCell ref="B2:C2"/>
    <mergeCell ref="B4:D4"/>
    <mergeCell ref="C6:D6"/>
    <mergeCell ref="D261:F261"/>
    <mergeCell ref="D268:F268"/>
    <mergeCell ref="B152:B153"/>
    <mergeCell ref="B154:B160"/>
    <mergeCell ref="D260:F260"/>
    <mergeCell ref="C7:D7"/>
    <mergeCell ref="B9:K9"/>
    <mergeCell ref="C10:K10"/>
    <mergeCell ref="C11:K11"/>
    <mergeCell ref="C12:K12"/>
    <mergeCell ref="H149:I149"/>
    <mergeCell ref="D115:F115"/>
    <mergeCell ref="D116:F116"/>
    <mergeCell ref="F149:G149"/>
    <mergeCell ref="B267:F267"/>
    <mergeCell ref="B161:B168"/>
    <mergeCell ref="D136:F136"/>
    <mergeCell ref="I96:I98"/>
    <mergeCell ref="I131:I133"/>
    <mergeCell ref="D137:F137"/>
    <mergeCell ref="D149:E149"/>
    <mergeCell ref="B259:F259"/>
    <mergeCell ref="B234:C234"/>
    <mergeCell ref="I86:I89"/>
    <mergeCell ref="I141:I143"/>
    <mergeCell ref="D117:F117"/>
    <mergeCell ref="I235:M235"/>
    <mergeCell ref="B258:F258"/>
    <mergeCell ref="J181:L181"/>
    <mergeCell ref="J182:L182"/>
    <mergeCell ref="J184:L184"/>
    <mergeCell ref="J190:L190"/>
    <mergeCell ref="D138:F138"/>
    <mergeCell ref="I120:I123"/>
    <mergeCell ref="D126:F126"/>
    <mergeCell ref="D127:F127"/>
    <mergeCell ref="D128:F128"/>
    <mergeCell ref="J187:L187"/>
    <mergeCell ref="J188:L188"/>
    <mergeCell ref="J189:L189"/>
    <mergeCell ref="J183:L183"/>
    <mergeCell ref="D234:E234"/>
    <mergeCell ref="I105:I107"/>
    <mergeCell ref="C15:K15"/>
    <mergeCell ref="I68:I71"/>
    <mergeCell ref="D63:F63"/>
    <mergeCell ref="D64:F64"/>
    <mergeCell ref="D40:F40"/>
    <mergeCell ref="D65:F65"/>
    <mergeCell ref="C14:K14"/>
    <mergeCell ref="D39:F39"/>
    <mergeCell ref="D38:F38"/>
    <mergeCell ref="B23:F23"/>
    <mergeCell ref="I43:I46"/>
    <mergeCell ref="D49:F49"/>
    <mergeCell ref="D50:F50"/>
    <mergeCell ref="D51:F51"/>
    <mergeCell ref="I54:I57"/>
    <mergeCell ref="C13:K13"/>
    <mergeCell ref="D289:F289"/>
    <mergeCell ref="D269:F269"/>
    <mergeCell ref="D270:F270"/>
    <mergeCell ref="D278:F278"/>
    <mergeCell ref="D265:F266"/>
    <mergeCell ref="D263:F264"/>
    <mergeCell ref="D262:F262"/>
    <mergeCell ref="D276:F276"/>
    <mergeCell ref="B275:F275"/>
    <mergeCell ref="D281:F282"/>
    <mergeCell ref="B302:F302"/>
    <mergeCell ref="D303:F303"/>
    <mergeCell ref="D304:F304"/>
    <mergeCell ref="D305:F305"/>
    <mergeCell ref="D306:F307"/>
    <mergeCell ref="D308:F309"/>
    <mergeCell ref="F662:G662"/>
    <mergeCell ref="D662:E662"/>
    <mergeCell ref="B662:C662"/>
    <mergeCell ref="B494:B506"/>
    <mergeCell ref="B476:B492"/>
    <mergeCell ref="B463:B474"/>
    <mergeCell ref="B460:E460"/>
    <mergeCell ref="B429:B442"/>
    <mergeCell ref="B444:B455"/>
    <mergeCell ref="B400:B413"/>
    <mergeCell ref="B328:B339"/>
    <mergeCell ref="B324:E325"/>
    <mergeCell ref="B397:E397"/>
    <mergeCell ref="B415:B427"/>
    <mergeCell ref="B510:C510"/>
    <mergeCell ref="B548:G549"/>
  </mergeCells>
  <pageMargins left="0.70078740157480324" right="0.70078740157480324" top="0.75196850393700787" bottom="0.75196850393700787" header="0.3" footer="0.3"/>
  <pageSetup paperSize="9" orientation="portrait"/>
  <ignoredErrors>
    <ignoredError sqref="E153 G153:G154 G169 F152 H152" formula="1"/>
  </ignoredError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2574-3AF0-EB45-B8A4-C8149D5C5BAD}">
  <sheetPr>
    <tabColor theme="3"/>
  </sheetPr>
  <dimension ref="A1:AH192"/>
  <sheetViews>
    <sheetView zoomScale="32" zoomScaleNormal="50" workbookViewId="0">
      <selection activeCell="C114" sqref="C114"/>
    </sheetView>
  </sheetViews>
  <sheetFormatPr baseColWidth="10" defaultColWidth="12.6640625" defaultRowHeight="16" outlineLevelRow="1"/>
  <cols>
    <col min="1" max="1" width="12.6640625" style="32"/>
    <col min="2" max="2" width="57.83203125" style="32" customWidth="1"/>
    <col min="3" max="3" width="46.5" style="32" customWidth="1"/>
    <col min="4" max="4" width="41" style="32" customWidth="1"/>
    <col min="5" max="5" width="44.83203125" style="32" customWidth="1"/>
    <col min="6" max="14" width="41" style="32" customWidth="1"/>
    <col min="15" max="22" width="41.33203125" style="32" customWidth="1"/>
    <col min="23" max="16384" width="12.6640625" style="32"/>
  </cols>
  <sheetData>
    <row r="1" spans="2:10" ht="36" customHeight="1" thickBot="1">
      <c r="B1" s="257"/>
      <c r="C1" s="257"/>
      <c r="D1" s="257"/>
      <c r="E1" s="257"/>
      <c r="F1" s="257"/>
      <c r="G1" s="257"/>
      <c r="H1" s="257"/>
    </row>
    <row r="2" spans="2:10" ht="36" customHeight="1" thickBot="1">
      <c r="B2" s="2083" t="s">
        <v>568</v>
      </c>
      <c r="C2" s="2084"/>
      <c r="D2" s="2085"/>
      <c r="E2" s="257"/>
      <c r="F2" s="257"/>
      <c r="G2" s="257"/>
      <c r="H2" s="257"/>
    </row>
    <row r="3" spans="2:10" ht="36" customHeight="1">
      <c r="B3" s="257"/>
      <c r="C3" s="257"/>
      <c r="D3" s="257"/>
      <c r="E3" s="257"/>
      <c r="F3" s="257"/>
      <c r="G3" s="257"/>
      <c r="H3" s="257"/>
    </row>
    <row r="4" spans="2:10" ht="36" customHeight="1" thickBot="1">
      <c r="B4" s="257"/>
      <c r="C4" s="257"/>
      <c r="D4" s="257"/>
      <c r="E4" s="257"/>
      <c r="F4" s="257"/>
      <c r="G4" s="257"/>
      <c r="H4" s="257"/>
    </row>
    <row r="5" spans="2:10" ht="36" customHeight="1" thickBot="1">
      <c r="B5" s="2155" t="s">
        <v>2</v>
      </c>
      <c r="C5" s="2156"/>
      <c r="D5" s="2157"/>
      <c r="E5" s="257"/>
      <c r="F5" s="10"/>
    </row>
    <row r="6" spans="2:10" ht="36" customHeight="1" thickBot="1">
      <c r="B6" s="666" t="s">
        <v>335</v>
      </c>
      <c r="C6" s="675">
        <f>'3.1 - Déplacement match '!C5</f>
        <v>301568.1399647597</v>
      </c>
      <c r="D6" s="664" t="s">
        <v>3</v>
      </c>
      <c r="E6" s="257"/>
      <c r="F6" s="10"/>
      <c r="G6"/>
      <c r="H6"/>
    </row>
    <row r="7" spans="2:10" ht="36" customHeight="1">
      <c r="B7" s="666"/>
      <c r="C7" s="2158" t="s">
        <v>1396</v>
      </c>
      <c r="D7" s="2159"/>
      <c r="E7" s="2160" t="s">
        <v>1397</v>
      </c>
      <c r="F7" s="2161"/>
      <c r="G7"/>
      <c r="H7"/>
    </row>
    <row r="8" spans="2:10" ht="36" customHeight="1">
      <c r="B8" s="677" t="s">
        <v>336</v>
      </c>
      <c r="C8" s="1564">
        <f>K40</f>
        <v>28263.529153075804</v>
      </c>
      <c r="D8" s="258" t="s">
        <v>3</v>
      </c>
      <c r="E8" s="1565">
        <f>Q40</f>
        <v>56051.259386391226</v>
      </c>
      <c r="F8" s="258" t="s">
        <v>3</v>
      </c>
      <c r="G8"/>
      <c r="H8"/>
    </row>
    <row r="9" spans="2:10" ht="36" customHeight="1" thickBot="1">
      <c r="B9" s="678" t="s">
        <v>337</v>
      </c>
      <c r="C9" s="2162">
        <f>C8/C6-1</f>
        <v>-0.90627813284129222</v>
      </c>
      <c r="D9" s="2010"/>
      <c r="E9" s="2163">
        <f>E8/C6 - 1</f>
        <v>-0.81413401497604754</v>
      </c>
      <c r="F9" s="2164"/>
      <c r="G9"/>
      <c r="H9"/>
    </row>
    <row r="10" spans="2:10" ht="36" customHeight="1">
      <c r="B10" s="257"/>
      <c r="C10" s="257"/>
      <c r="D10" s="259"/>
      <c r="E10" s="259"/>
      <c r="F10" s="257"/>
      <c r="G10"/>
      <c r="H10"/>
    </row>
    <row r="11" spans="2:10" ht="36" customHeight="1">
      <c r="B11" s="257"/>
      <c r="C11" s="257"/>
      <c r="D11" s="257"/>
      <c r="E11" s="257"/>
      <c r="F11" s="257"/>
      <c r="G11" s="257"/>
      <c r="H11" s="257"/>
    </row>
    <row r="12" spans="2:10" ht="36" customHeight="1">
      <c r="B12" s="260" t="s">
        <v>338</v>
      </c>
    </row>
    <row r="13" spans="2:10" ht="36" customHeight="1" thickBot="1"/>
    <row r="14" spans="2:10" ht="36" customHeight="1" outlineLevel="1" thickBot="1">
      <c r="B14" s="424" t="s">
        <v>339</v>
      </c>
      <c r="C14" s="415" t="s">
        <v>340</v>
      </c>
      <c r="D14" s="416" t="s">
        <v>343</v>
      </c>
      <c r="E14" s="417" t="s">
        <v>341</v>
      </c>
      <c r="F14" s="418" t="s">
        <v>451</v>
      </c>
      <c r="G14" s="417" t="s">
        <v>341</v>
      </c>
      <c r="H14" s="419" t="s">
        <v>452</v>
      </c>
      <c r="I14" s="417" t="s">
        <v>341</v>
      </c>
      <c r="J14" s="420" t="s">
        <v>346</v>
      </c>
    </row>
    <row r="15" spans="2:10" ht="36" customHeight="1" outlineLevel="1"/>
    <row r="16" spans="2:10" ht="36" customHeight="1">
      <c r="B16" s="260" t="s">
        <v>342</v>
      </c>
      <c r="C16" s="257"/>
      <c r="D16" s="257"/>
      <c r="H16" s="257"/>
    </row>
    <row r="17" spans="2:24" ht="36" hidden="1" customHeight="1" outlineLevel="1" thickBot="1">
      <c r="B17" s="260"/>
      <c r="C17" s="257"/>
      <c r="D17" s="257"/>
      <c r="H17" s="257"/>
    </row>
    <row r="18" spans="2:24" ht="36" hidden="1" customHeight="1" outlineLevel="1" thickBot="1">
      <c r="B18" s="257"/>
      <c r="C18" s="257"/>
      <c r="D18" s="2174">
        <v>2022</v>
      </c>
      <c r="E18" s="2175"/>
      <c r="F18" s="2175"/>
      <c r="G18" s="2175"/>
      <c r="H18" s="2175"/>
      <c r="I18" s="2176"/>
      <c r="J18" s="2167" t="s">
        <v>564</v>
      </c>
      <c r="K18" s="2168"/>
      <c r="L18" s="2168"/>
      <c r="M18" s="2168"/>
      <c r="N18" s="2168"/>
      <c r="O18" s="2169"/>
      <c r="P18" s="2167" t="s">
        <v>565</v>
      </c>
      <c r="Q18" s="2168"/>
      <c r="R18" s="2168"/>
      <c r="S18" s="2168"/>
      <c r="T18" s="2168"/>
      <c r="U18" s="2169"/>
    </row>
    <row r="19" spans="2:24" ht="36" hidden="1" customHeight="1" outlineLevel="1" thickBot="1">
      <c r="C19"/>
      <c r="D19" s="2170" t="s">
        <v>692</v>
      </c>
      <c r="E19" s="2171"/>
      <c r="F19" s="2170" t="s">
        <v>710</v>
      </c>
      <c r="G19" s="2171"/>
      <c r="H19" s="2170" t="s">
        <v>711</v>
      </c>
      <c r="I19" s="2171"/>
      <c r="J19" s="2170" t="s">
        <v>692</v>
      </c>
      <c r="K19" s="2171"/>
      <c r="L19" s="2170" t="s">
        <v>710</v>
      </c>
      <c r="M19" s="2171"/>
      <c r="N19" s="2170" t="s">
        <v>711</v>
      </c>
      <c r="O19" s="2171"/>
      <c r="P19" s="2170" t="s">
        <v>692</v>
      </c>
      <c r="Q19" s="2171"/>
      <c r="R19" s="2170" t="s">
        <v>710</v>
      </c>
      <c r="S19" s="2171"/>
      <c r="T19" s="2172" t="s">
        <v>711</v>
      </c>
      <c r="U19" s="2173"/>
      <c r="V19"/>
      <c r="W19"/>
      <c r="X19"/>
    </row>
    <row r="20" spans="2:24" ht="36" hidden="1" customHeight="1" outlineLevel="1" thickBot="1">
      <c r="C20" s="536"/>
      <c r="D20" s="1149" t="s">
        <v>667</v>
      </c>
      <c r="E20" s="1150" t="s">
        <v>668</v>
      </c>
      <c r="F20" s="1149" t="s">
        <v>667</v>
      </c>
      <c r="G20" s="1150" t="s">
        <v>668</v>
      </c>
      <c r="H20" s="1149" t="s">
        <v>667</v>
      </c>
      <c r="I20" s="1151" t="s">
        <v>668</v>
      </c>
      <c r="J20" s="1149" t="s">
        <v>667</v>
      </c>
      <c r="K20" s="1150" t="s">
        <v>668</v>
      </c>
      <c r="L20" s="1149" t="s">
        <v>667</v>
      </c>
      <c r="M20" s="1150" t="s">
        <v>668</v>
      </c>
      <c r="N20" s="1149" t="s">
        <v>667</v>
      </c>
      <c r="O20" s="1151" t="s">
        <v>668</v>
      </c>
      <c r="P20" s="1149" t="s">
        <v>667</v>
      </c>
      <c r="Q20" s="1150" t="s">
        <v>668</v>
      </c>
      <c r="R20" s="1149" t="s">
        <v>667</v>
      </c>
      <c r="S20" s="1151" t="s">
        <v>668</v>
      </c>
      <c r="T20" s="1192" t="s">
        <v>667</v>
      </c>
      <c r="U20" s="1193" t="s">
        <v>668</v>
      </c>
      <c r="V20"/>
      <c r="W20"/>
      <c r="X20"/>
    </row>
    <row r="21" spans="2:24" ht="36" hidden="1" customHeight="1" outlineLevel="1" thickBot="1">
      <c r="B21" s="936" t="s">
        <v>343</v>
      </c>
      <c r="C21" s="937" t="s">
        <v>693</v>
      </c>
      <c r="D21" s="645">
        <f>'3.1 - Déplacement match '!D151</f>
        <v>308824.96276177408</v>
      </c>
      <c r="E21" s="647">
        <f>'3.1 - Déplacement match '!E151</f>
        <v>48824.96276177407</v>
      </c>
      <c r="F21" s="645">
        <f>'3.1 - Déplacement match '!F151</f>
        <v>380121.12950000004</v>
      </c>
      <c r="G21" s="647">
        <f>'3.1 - Déplacement match '!G151</f>
        <v>251895.52499999999</v>
      </c>
      <c r="H21" s="645">
        <f>'3.1 - Déplacement match '!H151</f>
        <v>1877804.9670077153</v>
      </c>
      <c r="I21" s="647">
        <f>'3.1 - Déplacement match '!I151</f>
        <v>1237641.3548092586</v>
      </c>
      <c r="J21" s="1481">
        <f>D21</f>
        <v>308824.96276177408</v>
      </c>
      <c r="K21" s="1482">
        <f t="shared" ref="K21:O22" si="0">E21</f>
        <v>48824.96276177407</v>
      </c>
      <c r="L21" s="1481">
        <f t="shared" si="0"/>
        <v>380121.12950000004</v>
      </c>
      <c r="M21" s="1482">
        <f t="shared" si="0"/>
        <v>251895.52499999999</v>
      </c>
      <c r="N21" s="1481">
        <f t="shared" si="0"/>
        <v>1877804.9670077153</v>
      </c>
      <c r="O21" s="1482">
        <f t="shared" si="0"/>
        <v>1237641.3548092586</v>
      </c>
      <c r="P21" s="1483">
        <f>D21</f>
        <v>308824.96276177408</v>
      </c>
      <c r="Q21" s="1484">
        <f t="shared" ref="Q21:T21" si="1">E21</f>
        <v>48824.96276177407</v>
      </c>
      <c r="R21" s="1483">
        <f t="shared" si="1"/>
        <v>380121.12950000004</v>
      </c>
      <c r="S21" s="1484">
        <f t="shared" si="1"/>
        <v>251895.52499999999</v>
      </c>
      <c r="T21" s="1483">
        <f t="shared" si="1"/>
        <v>1877804.9670077153</v>
      </c>
      <c r="U21" s="1484">
        <f>I21</f>
        <v>1237641.3548092586</v>
      </c>
      <c r="V21"/>
      <c r="W21"/>
      <c r="X21"/>
    </row>
    <row r="22" spans="2:24" ht="36" hidden="1" customHeight="1" outlineLevel="1">
      <c r="B22" s="2132" t="s">
        <v>344</v>
      </c>
      <c r="C22" s="943" t="s">
        <v>1103</v>
      </c>
      <c r="D22" s="1477">
        <f>'3.1 - Déplacement match '!D152</f>
        <v>18.333333333333332</v>
      </c>
      <c r="E22" s="1478">
        <f>'3.1 - Déplacement match '!E152</f>
        <v>21.666666666666668</v>
      </c>
      <c r="F22" s="1479">
        <f>'3.1 - Déplacement match '!F152</f>
        <v>15.333333333333334</v>
      </c>
      <c r="G22" s="1480">
        <f>'3.1 - Déplacement match '!G152</f>
        <v>18.666666666666668</v>
      </c>
      <c r="H22" s="1477">
        <f>'3.1 - Déplacement match '!H152</f>
        <v>15.333333333333334</v>
      </c>
      <c r="I22" s="1480">
        <f>'3.1 - Déplacement match '!I152</f>
        <v>18.666666666666668</v>
      </c>
      <c r="J22" s="1490">
        <f>D22</f>
        <v>18.333333333333332</v>
      </c>
      <c r="K22" s="1491">
        <f t="shared" si="0"/>
        <v>21.666666666666668</v>
      </c>
      <c r="L22" s="1490">
        <f t="shared" si="0"/>
        <v>15.333333333333334</v>
      </c>
      <c r="M22" s="1491">
        <f t="shared" si="0"/>
        <v>18.666666666666668</v>
      </c>
      <c r="N22" s="1490">
        <f t="shared" si="0"/>
        <v>15.333333333333334</v>
      </c>
      <c r="O22" s="1491">
        <f t="shared" si="0"/>
        <v>18.666666666666668</v>
      </c>
      <c r="P22" s="1490">
        <f t="shared" ref="P22:U22" si="2">J22</f>
        <v>18.333333333333332</v>
      </c>
      <c r="Q22" s="1491">
        <f t="shared" si="2"/>
        <v>21.666666666666668</v>
      </c>
      <c r="R22" s="1490">
        <f t="shared" si="2"/>
        <v>15.333333333333334</v>
      </c>
      <c r="S22" s="1491">
        <f t="shared" si="2"/>
        <v>18.666666666666668</v>
      </c>
      <c r="T22" s="1490">
        <f t="shared" si="2"/>
        <v>15.333333333333334</v>
      </c>
      <c r="U22" s="1491">
        <f t="shared" si="2"/>
        <v>18.666666666666668</v>
      </c>
      <c r="V22"/>
      <c r="W22"/>
      <c r="X22"/>
    </row>
    <row r="23" spans="2:24" ht="36" hidden="1" customHeight="1" outlineLevel="1" thickBot="1">
      <c r="B23" s="2133"/>
      <c r="C23" s="1161" t="s">
        <v>1098</v>
      </c>
      <c r="D23" s="651">
        <f>'3.1 - Déplacement match '!D153</f>
        <v>20.445274671860105</v>
      </c>
      <c r="E23" s="653">
        <f>'3.1 - Déplacement match '!E153</f>
        <v>800</v>
      </c>
      <c r="F23" s="1173">
        <f>'3.1 - Déplacement match '!F153</f>
        <v>20.445274671860105</v>
      </c>
      <c r="G23" s="1166">
        <f>'3.1 - Déplacement match '!G153</f>
        <v>230</v>
      </c>
      <c r="H23" s="651">
        <f>'3.1 - Déplacement match '!H153</f>
        <v>20.445274671860105</v>
      </c>
      <c r="I23" s="1166">
        <f>'3.1 - Déplacement match '!I153</f>
        <v>60</v>
      </c>
      <c r="J23" s="1492">
        <f>D23</f>
        <v>20.445274671860105</v>
      </c>
      <c r="K23" s="1493">
        <f t="shared" ref="K23" si="3">E23</f>
        <v>800</v>
      </c>
      <c r="L23" s="1492">
        <f t="shared" ref="L23" si="4">F23</f>
        <v>20.445274671860105</v>
      </c>
      <c r="M23" s="1493">
        <f t="shared" ref="M23" si="5">G23</f>
        <v>230</v>
      </c>
      <c r="N23" s="1492">
        <f t="shared" ref="N23" si="6">H23</f>
        <v>20.445274671860105</v>
      </c>
      <c r="O23" s="1493">
        <f t="shared" ref="O23" si="7">I23</f>
        <v>60</v>
      </c>
      <c r="P23" s="1492">
        <f t="shared" ref="P23" si="8">J23</f>
        <v>20.445274671860105</v>
      </c>
      <c r="Q23" s="1493">
        <f t="shared" ref="Q23" si="9">K23</f>
        <v>800</v>
      </c>
      <c r="R23" s="1492">
        <f t="shared" ref="R23" si="10">L23</f>
        <v>20.445274671860105</v>
      </c>
      <c r="S23" s="1493">
        <f t="shared" ref="S23" si="11">M23</f>
        <v>230</v>
      </c>
      <c r="T23" s="1492">
        <f t="shared" ref="T23" si="12">N23</f>
        <v>20.445274671860105</v>
      </c>
      <c r="U23" s="1493">
        <f t="shared" ref="U23" si="13">O23</f>
        <v>60</v>
      </c>
      <c r="V23"/>
      <c r="W23"/>
      <c r="X23"/>
    </row>
    <row r="24" spans="2:24" ht="36" hidden="1" customHeight="1" outlineLevel="1">
      <c r="B24" s="2151" t="s">
        <v>57</v>
      </c>
      <c r="C24" s="1163" t="s">
        <v>694</v>
      </c>
      <c r="D24" s="1177">
        <f>'3.1 - Déplacement match '!D154</f>
        <v>0.71956183922091654</v>
      </c>
      <c r="E24" s="1178">
        <f>'3.1 - Déplacement match '!E154</f>
        <v>0.5625</v>
      </c>
      <c r="F24" s="1158">
        <f>'3.1 - Déplacement match '!F154</f>
        <v>0.71956183922091654</v>
      </c>
      <c r="G24" s="1167">
        <f>'3.1 - Déplacement match '!G154</f>
        <v>0.69</v>
      </c>
      <c r="H24" s="1440">
        <f>'3.1 - Déplacement match '!H154</f>
        <v>0.71956183922091654</v>
      </c>
      <c r="I24" s="1444">
        <f>'3.1 - Déplacement match '!I154</f>
        <v>0.93</v>
      </c>
      <c r="J24" s="1485">
        <f>E59</f>
        <v>0.41632575394188198</v>
      </c>
      <c r="K24" s="1486">
        <f>F59</f>
        <v>0.36506250000000001</v>
      </c>
      <c r="L24" s="1485">
        <f>E80</f>
        <v>0.41632575394188198</v>
      </c>
      <c r="M24" s="1486">
        <f>F80</f>
        <v>0.4478100000000001</v>
      </c>
      <c r="N24" s="1485">
        <f>E101</f>
        <v>0.41632575394188198</v>
      </c>
      <c r="O24" s="1446">
        <f>F101</f>
        <v>0.43380526315789475</v>
      </c>
      <c r="P24" s="1487">
        <f>J24</f>
        <v>0.41632575394188198</v>
      </c>
      <c r="Q24" s="1488">
        <f t="shared" ref="Q24:U29" si="14">K24</f>
        <v>0.36506250000000001</v>
      </c>
      <c r="R24" s="1487">
        <f t="shared" si="14"/>
        <v>0.41632575394188198</v>
      </c>
      <c r="S24" s="1488">
        <f t="shared" si="14"/>
        <v>0.4478100000000001</v>
      </c>
      <c r="T24" s="1489">
        <f t="shared" si="14"/>
        <v>0.41632575394188198</v>
      </c>
      <c r="U24" s="1488">
        <f t="shared" si="14"/>
        <v>0.43380526315789475</v>
      </c>
      <c r="V24"/>
      <c r="W24"/>
      <c r="X24"/>
    </row>
    <row r="25" spans="2:24" ht="36" hidden="1" customHeight="1" outlineLevel="1">
      <c r="B25" s="2152"/>
      <c r="C25" s="1164" t="s">
        <v>695</v>
      </c>
      <c r="D25" s="1179">
        <f>'3.1 - Déplacement match '!D155</f>
        <v>0.2478097748223648</v>
      </c>
      <c r="E25" s="1180"/>
      <c r="F25" s="1159">
        <f>'3.1 - Déplacement match '!F155</f>
        <v>0.2478097748223648</v>
      </c>
      <c r="G25" s="1168"/>
      <c r="H25" s="1179">
        <f>'3.1 - Déplacement match '!H155</f>
        <v>0.2478097748223648</v>
      </c>
      <c r="I25" s="1168"/>
      <c r="J25" s="1448">
        <f t="shared" ref="J25" si="15">E60</f>
        <v>0.45726541754135824</v>
      </c>
      <c r="K25" s="1449"/>
      <c r="L25" s="1448">
        <f t="shared" ref="L25" si="16">E81</f>
        <v>0.45726541754135824</v>
      </c>
      <c r="M25" s="1449"/>
      <c r="N25" s="1448">
        <f t="shared" ref="N25" si="17">E102</f>
        <v>0.45726541754135824</v>
      </c>
      <c r="O25" s="1447"/>
      <c r="P25" s="1455">
        <f t="shared" ref="P25:P27" si="18">J25</f>
        <v>0.45726541754135824</v>
      </c>
      <c r="Q25" s="1456"/>
      <c r="R25" s="1455">
        <f t="shared" si="14"/>
        <v>0.45726541754135824</v>
      </c>
      <c r="S25" s="1456"/>
      <c r="T25" s="1457">
        <f t="shared" si="14"/>
        <v>0.45726541754135824</v>
      </c>
      <c r="U25" s="1456"/>
      <c r="V25"/>
      <c r="W25"/>
      <c r="X25"/>
    </row>
    <row r="26" spans="2:24" ht="36" hidden="1" customHeight="1" outlineLevel="1">
      <c r="B26" s="2152"/>
      <c r="C26" s="1164" t="s">
        <v>696</v>
      </c>
      <c r="D26" s="1179">
        <f>'3.1 - Déplacement match '!D156</f>
        <v>1.7693291138859535E-2</v>
      </c>
      <c r="E26" s="1180"/>
      <c r="F26" s="1159">
        <f>'3.1 - Déplacement match '!F156</f>
        <v>1.7693291138859535E-2</v>
      </c>
      <c r="G26" s="1168"/>
      <c r="H26" s="1179">
        <f>'3.1 - Déplacement match '!H156</f>
        <v>1.7693291138859535E-2</v>
      </c>
      <c r="I26" s="1168"/>
      <c r="J26" s="1448">
        <f t="shared" ref="J26" si="19">E61</f>
        <v>9.5116248898388198E-2</v>
      </c>
      <c r="K26" s="1449"/>
      <c r="L26" s="1448">
        <f t="shared" ref="L26" si="20">E82</f>
        <v>9.5116248898388198E-2</v>
      </c>
      <c r="M26" s="1449"/>
      <c r="N26" s="1448">
        <f t="shared" ref="N26" si="21">E103</f>
        <v>9.5116248898388198E-2</v>
      </c>
      <c r="O26" s="1447"/>
      <c r="P26" s="1455">
        <f t="shared" si="18"/>
        <v>9.5116248898388198E-2</v>
      </c>
      <c r="Q26" s="1456"/>
      <c r="R26" s="1455">
        <f t="shared" si="14"/>
        <v>9.5116248898388198E-2</v>
      </c>
      <c r="S26" s="1456"/>
      <c r="T26" s="1457">
        <f t="shared" si="14"/>
        <v>9.5116248898388198E-2</v>
      </c>
      <c r="U26" s="1456"/>
      <c r="V26"/>
      <c r="W26"/>
      <c r="X26"/>
    </row>
    <row r="27" spans="2:24" ht="36" hidden="1" customHeight="1" outlineLevel="1">
      <c r="B27" s="2152"/>
      <c r="C27" s="1164" t="s">
        <v>697</v>
      </c>
      <c r="D27" s="1179">
        <f>'3.1 - Déplacement match '!D157</f>
        <v>1.4935094817859096E-2</v>
      </c>
      <c r="E27" s="1180"/>
      <c r="F27" s="1159">
        <f>'3.1 - Déplacement match '!F157</f>
        <v>1.4935094817859096E-2</v>
      </c>
      <c r="G27" s="1168"/>
      <c r="H27" s="1179">
        <f>'3.1 - Déplacement match '!H157</f>
        <v>1.4935094817859096E-2</v>
      </c>
      <c r="I27" s="1168"/>
      <c r="J27" s="1448">
        <f t="shared" ref="J27" si="22">E62</f>
        <v>3.1292579618371431E-2</v>
      </c>
      <c r="K27" s="1449"/>
      <c r="L27" s="1448">
        <f t="shared" ref="L27" si="23">E83</f>
        <v>3.1292579618371431E-2</v>
      </c>
      <c r="M27" s="1449"/>
      <c r="N27" s="1448">
        <f t="shared" ref="N27" si="24">E104</f>
        <v>3.1292579618371431E-2</v>
      </c>
      <c r="O27" s="1447"/>
      <c r="P27" s="1455">
        <f t="shared" si="18"/>
        <v>3.1292579618371431E-2</v>
      </c>
      <c r="Q27" s="1456"/>
      <c r="R27" s="1455">
        <f t="shared" si="14"/>
        <v>3.1292579618371431E-2</v>
      </c>
      <c r="S27" s="1456"/>
      <c r="T27" s="1457">
        <f t="shared" si="14"/>
        <v>3.1292579618371431E-2</v>
      </c>
      <c r="U27" s="1456"/>
      <c r="V27"/>
      <c r="W27"/>
      <c r="X27"/>
    </row>
    <row r="28" spans="2:24" ht="36" hidden="1" customHeight="1" outlineLevel="1">
      <c r="B28" s="2152"/>
      <c r="C28" s="1164" t="s">
        <v>698</v>
      </c>
      <c r="D28" s="1179"/>
      <c r="E28" s="1431">
        <f>'3.1 - Déplacement match '!E158</f>
        <v>1.125E-2</v>
      </c>
      <c r="F28" s="1159"/>
      <c r="G28" s="1442">
        <f>'3.1 - Déplacement match '!G158</f>
        <v>0.01</v>
      </c>
      <c r="H28" s="1179"/>
      <c r="I28" s="1168"/>
      <c r="J28" s="1448"/>
      <c r="K28" s="1449">
        <f t="shared" ref="K28" si="25">F63</f>
        <v>0.21121875000000001</v>
      </c>
      <c r="L28" s="1448"/>
      <c r="M28" s="1449">
        <f t="shared" ref="M28" si="26">F84</f>
        <v>8.2657000000000008E-2</v>
      </c>
      <c r="N28" s="1448"/>
      <c r="O28" s="1447">
        <f t="shared" ref="O28" si="27">F105</f>
        <v>4.6923157894736854E-2</v>
      </c>
      <c r="P28" s="1455"/>
      <c r="Q28" s="1456">
        <f t="shared" si="14"/>
        <v>0.21121875000000001</v>
      </c>
      <c r="R28" s="1455"/>
      <c r="S28" s="1456">
        <f t="shared" si="14"/>
        <v>8.2657000000000008E-2</v>
      </c>
      <c r="T28" s="1457"/>
      <c r="U28" s="1456">
        <f t="shared" si="14"/>
        <v>4.6923157894736854E-2</v>
      </c>
      <c r="V28"/>
      <c r="W28"/>
      <c r="X28"/>
    </row>
    <row r="29" spans="2:24" ht="36" hidden="1" customHeight="1" outlineLevel="1">
      <c r="B29" s="2152"/>
      <c r="C29" s="1164" t="s">
        <v>699</v>
      </c>
      <c r="D29" s="1179"/>
      <c r="E29" s="1431">
        <f>'3.1 - Déplacement match '!E159</f>
        <v>0.42624999999999991</v>
      </c>
      <c r="F29" s="1159"/>
      <c r="G29" s="1168">
        <f>'3.1 - Déplacement match '!G159</f>
        <v>0.3</v>
      </c>
      <c r="H29" s="1179"/>
      <c r="I29" s="1168">
        <f>'3.1 - Déplacement match '!I159</f>
        <v>7.0000000000000007E-2</v>
      </c>
      <c r="J29" s="1448"/>
      <c r="K29" s="1449">
        <f>F64</f>
        <v>0.42334375000000007</v>
      </c>
      <c r="L29" s="1448"/>
      <c r="M29" s="1449">
        <f t="shared" ref="M29" si="28">F85</f>
        <v>0.46953300000000003</v>
      </c>
      <c r="N29" s="1448"/>
      <c r="O29" s="1447">
        <f t="shared" ref="O29" si="29">F106</f>
        <v>0.51927157894736842</v>
      </c>
      <c r="P29" s="1455"/>
      <c r="Q29" s="1456">
        <f>K29</f>
        <v>0.42334375000000007</v>
      </c>
      <c r="R29" s="1455"/>
      <c r="S29" s="1456">
        <f t="shared" si="14"/>
        <v>0.46953300000000003</v>
      </c>
      <c r="T29" s="1457"/>
      <c r="U29" s="1456">
        <f t="shared" si="14"/>
        <v>0.51927157894736842</v>
      </c>
      <c r="V29"/>
      <c r="W29"/>
      <c r="X29"/>
    </row>
    <row r="30" spans="2:24" ht="36" hidden="1" customHeight="1" outlineLevel="1" thickBot="1">
      <c r="B30" s="2153"/>
      <c r="C30" s="1165" t="s">
        <v>700</v>
      </c>
      <c r="D30" s="1181"/>
      <c r="E30" s="1431">
        <f>'3.1 - Déplacement match '!E160</f>
        <v>3.7499999999999999E-3</v>
      </c>
      <c r="F30" s="1160"/>
      <c r="G30" s="1169"/>
      <c r="H30" s="1441"/>
      <c r="I30" s="1445"/>
      <c r="J30" s="1459"/>
      <c r="K30" s="1460">
        <f>F65</f>
        <v>3.7499999999999995E-4</v>
      </c>
      <c r="L30" s="1459"/>
      <c r="M30" s="1460"/>
      <c r="N30" s="1459"/>
      <c r="O30" s="1461"/>
      <c r="P30" s="1474"/>
      <c r="Q30" s="1475">
        <f>K30</f>
        <v>3.7499999999999995E-4</v>
      </c>
      <c r="R30" s="1474"/>
      <c r="S30" s="1475"/>
      <c r="T30" s="1476"/>
      <c r="U30" s="1475"/>
      <c r="V30"/>
      <c r="W30"/>
      <c r="X30"/>
    </row>
    <row r="31" spans="2:24" ht="36" hidden="1" customHeight="1" outlineLevel="1">
      <c r="B31" s="2132" t="s">
        <v>346</v>
      </c>
      <c r="C31" s="1162" t="s">
        <v>701</v>
      </c>
      <c r="D31" s="1152">
        <f>'3.1 - Déplacement match '!D161</f>
        <v>0.11764705882352941</v>
      </c>
      <c r="E31" s="1153"/>
      <c r="F31" s="1174">
        <f>'3.1 - Déplacement match '!F161</f>
        <v>0.11764705882352941</v>
      </c>
      <c r="G31" s="1170"/>
      <c r="H31" s="1152">
        <f>'3.1 - Déplacement match '!H161</f>
        <v>0.11764705882352941</v>
      </c>
      <c r="I31" s="1170"/>
      <c r="J31" s="1462">
        <f>D31*(1+$C$122)</f>
        <v>1.6281645979108625E-2</v>
      </c>
      <c r="K31" s="1187"/>
      <c r="L31" s="1462">
        <f>F31*(1+$C$122)</f>
        <v>1.6281645979108625E-2</v>
      </c>
      <c r="M31" s="587"/>
      <c r="N31" s="1468">
        <f>H31*(1+$C$122)</f>
        <v>1.6281645979108625E-2</v>
      </c>
      <c r="O31" s="1187"/>
      <c r="P31" s="1462">
        <f>D31*(1+$D$122)</f>
        <v>3.5367049146564078E-2</v>
      </c>
      <c r="Q31" s="1189"/>
      <c r="R31" s="1462">
        <f>F31*(1+$D$122)</f>
        <v>3.5367049146564078E-2</v>
      </c>
      <c r="S31" s="1182"/>
      <c r="T31" s="1468">
        <f>H31*(1+$D$122)</f>
        <v>3.5367049146564078E-2</v>
      </c>
      <c r="U31" s="1182"/>
      <c r="V31"/>
      <c r="W31"/>
      <c r="X31"/>
    </row>
    <row r="32" spans="2:24" ht="36" hidden="1" customHeight="1" outlineLevel="1">
      <c r="B32" s="2134"/>
      <c r="C32" s="1006" t="s">
        <v>702</v>
      </c>
      <c r="D32" s="1154"/>
      <c r="E32" s="1155">
        <f>'3.1 - Déplacement match '!E162</f>
        <v>8.1784386617100371E-2</v>
      </c>
      <c r="F32" s="1175"/>
      <c r="G32" s="1171">
        <f>'3.1 - Déplacement match '!G162</f>
        <v>8.1784386617100371E-2</v>
      </c>
      <c r="H32" s="1154"/>
      <c r="I32" s="1171">
        <f>'3.1 - Déplacement match '!I162</f>
        <v>8.1784386617100371E-2</v>
      </c>
      <c r="J32" s="1183"/>
      <c r="K32" s="1466">
        <f>E32*(1+$C$122)</f>
        <v>1.131846765090451E-2</v>
      </c>
      <c r="L32" s="1183"/>
      <c r="M32" s="1463">
        <f>G32*(1+$C$122)</f>
        <v>1.131846765090451E-2</v>
      </c>
      <c r="N32" s="1185"/>
      <c r="O32" s="1466">
        <f>I32*(1+$C$122)</f>
        <v>1.131846765090451E-2</v>
      </c>
      <c r="P32" s="1183"/>
      <c r="Q32" s="1466">
        <f>E32*(1+$D$122)</f>
        <v>2.4586015577722983E-2</v>
      </c>
      <c r="R32" s="1183"/>
      <c r="S32" s="1463">
        <f>G32*(1+$D$122)</f>
        <v>2.4586015577722983E-2</v>
      </c>
      <c r="T32" s="1190"/>
      <c r="U32" s="1463">
        <f>I32*(1+$D$122)</f>
        <v>2.4586015577722983E-2</v>
      </c>
    </row>
    <row r="33" spans="1:34" ht="36" hidden="1" customHeight="1" outlineLevel="1">
      <c r="B33" s="2134"/>
      <c r="C33" s="1006" t="s">
        <v>703</v>
      </c>
      <c r="D33" s="1154">
        <v>0</v>
      </c>
      <c r="E33" s="1155"/>
      <c r="F33" s="1154">
        <v>0</v>
      </c>
      <c r="G33" s="1155"/>
      <c r="H33" s="1154">
        <v>0</v>
      </c>
      <c r="I33" s="1171"/>
      <c r="J33" s="1154">
        <v>0</v>
      </c>
      <c r="K33" s="1188"/>
      <c r="L33" s="1154">
        <v>0</v>
      </c>
      <c r="M33" s="611"/>
      <c r="N33" s="1175">
        <v>0</v>
      </c>
      <c r="O33" s="1188"/>
      <c r="P33" s="1154">
        <v>0</v>
      </c>
      <c r="Q33" s="1188"/>
      <c r="R33" s="1154">
        <v>0</v>
      </c>
      <c r="S33" s="580"/>
      <c r="T33" s="1175">
        <v>0</v>
      </c>
      <c r="U33" s="580"/>
    </row>
    <row r="34" spans="1:34" ht="36" hidden="1" customHeight="1" outlineLevel="1">
      <c r="B34" s="2134"/>
      <c r="C34" s="1006" t="s">
        <v>704</v>
      </c>
      <c r="D34" s="1154">
        <f>'3.1 - Déplacement match '!D164</f>
        <v>0.14000000000000001</v>
      </c>
      <c r="E34" s="1155"/>
      <c r="F34" s="1175">
        <f>'3.1 - Déplacement match '!F164</f>
        <v>0.14000000000000001</v>
      </c>
      <c r="G34" s="1171"/>
      <c r="H34" s="1154">
        <f>'3.1 - Déplacement match '!H164</f>
        <v>0.14000000000000001</v>
      </c>
      <c r="I34" s="1171"/>
      <c r="J34" s="1464">
        <f>D34*(1+$C$121)</f>
        <v>1.3937161061946902E-2</v>
      </c>
      <c r="K34" s="1188"/>
      <c r="L34" s="1464">
        <f>F34*(1+$C$121)</f>
        <v>1.3937161061946902E-2</v>
      </c>
      <c r="M34" s="611"/>
      <c r="N34" s="1469">
        <f>H34*(1+$C$121)</f>
        <v>1.3937161061946902E-2</v>
      </c>
      <c r="O34" s="1188"/>
      <c r="P34" s="1464">
        <f>D34*(1+$D$121)</f>
        <v>2.0411058407079651E-2</v>
      </c>
      <c r="Q34" s="1188"/>
      <c r="R34" s="1464">
        <f>F34*(1+$D$121)</f>
        <v>2.0411058407079651E-2</v>
      </c>
      <c r="S34" s="580"/>
      <c r="T34" s="1469">
        <f>H34*(1+$D$121)</f>
        <v>2.0411058407079651E-2</v>
      </c>
      <c r="U34" s="580"/>
    </row>
    <row r="35" spans="1:34" ht="36" hidden="1" customHeight="1" outlineLevel="1">
      <c r="B35" s="2134"/>
      <c r="C35" s="1006" t="s">
        <v>705</v>
      </c>
      <c r="D35" s="1154">
        <f>'3.1 - Déplacement match '!$D$165</f>
        <v>5.0299999999999997E-3</v>
      </c>
      <c r="E35" s="1155"/>
      <c r="F35" s="1154">
        <f>'3.1 - Déplacement match '!$D$165</f>
        <v>5.0299999999999997E-3</v>
      </c>
      <c r="G35" s="1171"/>
      <c r="H35" s="1154">
        <f>'3.1 - Déplacement match '!$D$165</f>
        <v>5.0299999999999997E-3</v>
      </c>
      <c r="I35" s="1171"/>
      <c r="J35" s="1154">
        <f>'3.1 - Déplacement match '!$D$165</f>
        <v>5.0299999999999997E-3</v>
      </c>
      <c r="K35" s="1188"/>
      <c r="L35" s="1154">
        <f>'3.1 - Déplacement match '!$D$165</f>
        <v>5.0299999999999997E-3</v>
      </c>
      <c r="M35" s="611"/>
      <c r="N35" s="1154">
        <f>'3.1 - Déplacement match '!$D$165</f>
        <v>5.0299999999999997E-3</v>
      </c>
      <c r="O35" s="1188"/>
      <c r="P35" s="1154">
        <f>'3.1 - Déplacement match '!$D$165</f>
        <v>5.0299999999999997E-3</v>
      </c>
      <c r="Q35" s="1188"/>
      <c r="R35" s="1154">
        <f>'3.1 - Déplacement match '!$D$165</f>
        <v>5.0299999999999997E-3</v>
      </c>
      <c r="S35" s="580"/>
      <c r="T35" s="1175">
        <f>'3.1 - Déplacement match '!$D$165</f>
        <v>5.0299999999999997E-3</v>
      </c>
      <c r="U35" s="580"/>
    </row>
    <row r="36" spans="1:34" ht="36" hidden="1" customHeight="1" outlineLevel="1">
      <c r="B36" s="2134"/>
      <c r="C36" s="1006" t="s">
        <v>706</v>
      </c>
      <c r="D36" s="1154"/>
      <c r="E36" s="1471">
        <f>'3.1 - Déplacement match '!E166</f>
        <v>3.0000000000000001E-3</v>
      </c>
      <c r="F36" s="1175"/>
      <c r="G36" s="1472">
        <f>'3.1 - Déplacement match '!G166</f>
        <v>3.0000000000000001E-3</v>
      </c>
      <c r="H36" s="1154"/>
      <c r="I36" s="1472">
        <f>'3.1 - Déplacement match '!I166</f>
        <v>3.0000000000000001E-3</v>
      </c>
      <c r="J36" s="1183"/>
      <c r="K36" s="1470">
        <f>E36*(1+$C$120)</f>
        <v>2.7523200000000004E-3</v>
      </c>
      <c r="L36" s="1183"/>
      <c r="M36" s="1473">
        <f>G36*(1+$C$120)</f>
        <v>2.7523200000000004E-3</v>
      </c>
      <c r="N36" s="1185"/>
      <c r="O36" s="1470">
        <f>I36*(1+$C$120)</f>
        <v>2.7523200000000004E-3</v>
      </c>
      <c r="P36" s="1183"/>
      <c r="Q36" s="1470">
        <f>E36*(1+$D$120)</f>
        <v>2.7523200000000004E-3</v>
      </c>
      <c r="R36" s="1183"/>
      <c r="S36" s="1473">
        <f>G36*(1+$D$120)</f>
        <v>2.7523200000000004E-3</v>
      </c>
      <c r="T36" s="1190"/>
      <c r="U36" s="1473">
        <f>I36*(1+$D$120)</f>
        <v>2.7523200000000004E-3</v>
      </c>
    </row>
    <row r="37" spans="1:34" ht="36" hidden="1" customHeight="1" outlineLevel="1">
      <c r="B37" s="2134"/>
      <c r="C37" s="1006" t="s">
        <v>707</v>
      </c>
      <c r="D37" s="1154"/>
      <c r="E37" s="1155">
        <f>'3.1 - Déplacement match '!E167</f>
        <v>0.03</v>
      </c>
      <c r="F37" s="1175"/>
      <c r="G37" s="1171">
        <f>'3.1 - Déplacement match '!G167</f>
        <v>0.03</v>
      </c>
      <c r="H37" s="1154"/>
      <c r="I37" s="1171">
        <f>'3.1 - Déplacement match '!I167</f>
        <v>0.03</v>
      </c>
      <c r="J37" s="1183"/>
      <c r="K37" s="1470">
        <f>E37*(1+$C$121)</f>
        <v>2.9865345132743357E-3</v>
      </c>
      <c r="L37" s="1183"/>
      <c r="M37" s="1473">
        <f>G37*(1+$C$121)</f>
        <v>2.9865345132743357E-3</v>
      </c>
      <c r="N37" s="1185"/>
      <c r="O37" s="1470">
        <f>I37*(1+$C$121)</f>
        <v>2.9865345132743357E-3</v>
      </c>
      <c r="P37" s="1183"/>
      <c r="Q37" s="1470">
        <f>E37*(1+$D$121)</f>
        <v>4.3737982300884959E-3</v>
      </c>
      <c r="R37" s="1183"/>
      <c r="S37" s="1473">
        <f>G37*(1+$D$121)</f>
        <v>4.3737982300884959E-3</v>
      </c>
      <c r="T37" s="1190"/>
      <c r="U37" s="1473">
        <f>I37*(1+$D$121)</f>
        <v>4.3737982300884959E-3</v>
      </c>
    </row>
    <row r="38" spans="1:34" ht="36" hidden="1" customHeight="1" outlineLevel="1" thickBot="1">
      <c r="B38" s="2133"/>
      <c r="C38" s="1007" t="s">
        <v>708</v>
      </c>
      <c r="D38" s="1156"/>
      <c r="E38" s="1157">
        <f>'3.1 - Déplacement match '!E168</f>
        <v>0.26</v>
      </c>
      <c r="F38" s="1176"/>
      <c r="G38" s="1172">
        <f>'3.1 - Déplacement match '!G168</f>
        <v>0.26</v>
      </c>
      <c r="H38" s="1156"/>
      <c r="I38" s="1172">
        <f>'3.1 - Déplacement match '!I168</f>
        <v>0.26</v>
      </c>
      <c r="J38" s="1184"/>
      <c r="K38" s="1467">
        <f>E38*(1+$C$123)</f>
        <v>6.8311512513709413E-2</v>
      </c>
      <c r="L38" s="1184"/>
      <c r="M38" s="1465">
        <f>G38*(1+$C$123)</f>
        <v>6.8311512513709413E-2</v>
      </c>
      <c r="N38" s="1186"/>
      <c r="O38" s="1467">
        <f>I38*(1+$C$123)</f>
        <v>6.8311512513709413E-2</v>
      </c>
      <c r="P38" s="1184"/>
      <c r="Q38" s="1467">
        <f>E38*(1+$D$123)</f>
        <v>0.17521739130434782</v>
      </c>
      <c r="R38" s="1184"/>
      <c r="S38" s="1465">
        <f>G38*(1+$D$123)</f>
        <v>0.17521739130434782</v>
      </c>
      <c r="T38" s="1191"/>
      <c r="U38" s="1465">
        <f>I38*(1+$D$123)</f>
        <v>0.17521739130434782</v>
      </c>
    </row>
    <row r="39" spans="1:34" ht="36" hidden="1" customHeight="1" outlineLevel="1" thickBot="1">
      <c r="A39"/>
      <c r="B39" s="2165" t="s">
        <v>347</v>
      </c>
      <c r="C39" s="2166"/>
      <c r="D39" s="1450">
        <f>D21*D22*D23*(D24*D31+SUMPRODUCT(D25:D28,D33:D36))/10^3</f>
        <v>10094.753760569438</v>
      </c>
      <c r="E39" s="1451">
        <f>E21*E22*E23*(E24*E32+SUMPRODUCT(E28:E30,E36:E38))/10^3</f>
        <v>50608.67387301282</v>
      </c>
      <c r="F39" s="1452">
        <f>F21*F22*F23*(F24*F31+SUMPRODUCT(F25:F28,F33:F36))/10^3</f>
        <v>10392.032236708328</v>
      </c>
      <c r="G39" s="1451">
        <f>G21*G22*G23*(G24*G32+SUMPRODUCT(G28:G30,G36:G38))/10^3</f>
        <v>70794.448091032638</v>
      </c>
      <c r="H39" s="1452">
        <f>H21*H22*H23*(H24*H31+SUMPRODUCT(H25:H28,H33:H36))/10^3</f>
        <v>51336.819337203393</v>
      </c>
      <c r="I39" s="1451">
        <f>I21*I22*I23*(I24*I32+SUMPRODUCT(I28:I30,I36:I38))/10^3</f>
        <v>108341.41266623305</v>
      </c>
      <c r="J39" s="1450">
        <f>J21*J22*J23*(J24*J31+SUMPRODUCT(J25:J28,J33:J36))/10^3</f>
        <v>956.32779182342733</v>
      </c>
      <c r="K39" s="1451">
        <f>K21*K22*K23*(K24*K32+SUMPRODUCT(K28:K30,K36:K38))/10^3</f>
        <v>5080.5357881065902</v>
      </c>
      <c r="L39" s="1452">
        <f>L21*L22*L23*(L24*L31+SUMPRODUCT(L25:L28,L33:L36))/10^3</f>
        <v>984.49050637650623</v>
      </c>
      <c r="M39" s="1451">
        <f>M21*M22*M23*(M24*M32+SUMPRODUCT(M28:M30,M36:M38))/10^3</f>
        <v>7244.0181018403755</v>
      </c>
      <c r="N39" s="1452">
        <f>N21*N22*N23*(N24*N31+SUMPRODUCT(N25:N28,N33:N36))/10^3</f>
        <v>4863.4001621468515</v>
      </c>
      <c r="O39" s="1451">
        <f>O21*O22*O23*(O24*O32+SUMPRODUCT(O28:O30,O36:O38))/10^3</f>
        <v>9134.7568027820525</v>
      </c>
      <c r="P39" s="1450">
        <f>P21*P22*P23*(P24*P31+SUMPRODUCT(P25:P28,P33:P36))/10^3</f>
        <v>1947.3822979799086</v>
      </c>
      <c r="Q39" s="1451">
        <f>Q21*Q22*Q23*(Q24*Q32+SUMPRODUCT(Q28:Q30,Q36:Q38))/10^3</f>
        <v>9710.5239046386796</v>
      </c>
      <c r="R39" s="1452">
        <f>R21*R22*R23*(R24*R31+SUMPRODUCT(R25:R28,R33:R36))/10^3</f>
        <v>2004.7303874662102</v>
      </c>
      <c r="S39" s="1451">
        <f>S21*S22*S23*(S24*S32+SUMPRODUCT(S28:S30,S36:S38))/10^3</f>
        <v>14373.842236935718</v>
      </c>
      <c r="T39" s="1452">
        <f>T21*T22*T23*(T24*T31+SUMPRODUCT(T25:T28,T33:T36))/10^3</f>
        <v>9903.4028548927345</v>
      </c>
      <c r="U39" s="1451">
        <f>U21*U22*U23*(U24*U32+SUMPRODUCT(U28:U30,U36:U38))/10^3</f>
        <v>18111.377704477978</v>
      </c>
    </row>
    <row r="40" spans="1:34" ht="36" hidden="1" customHeight="1" outlineLevel="1" thickBot="1">
      <c r="A40"/>
      <c r="B40" s="1453"/>
      <c r="C40" s="542" t="s">
        <v>489</v>
      </c>
      <c r="D40" s="543">
        <f>SUM(D39:I39)</f>
        <v>301568.1399647597</v>
      </c>
      <c r="E40" s="1454"/>
      <c r="H40"/>
      <c r="J40" s="542" t="s">
        <v>1394</v>
      </c>
      <c r="K40" s="543">
        <f>SUM(J39:O39)</f>
        <v>28263.529153075804</v>
      </c>
      <c r="N40"/>
      <c r="O40"/>
      <c r="P40" s="542" t="s">
        <v>1394</v>
      </c>
      <c r="Q40" s="543">
        <f>SUM(P39:U39)</f>
        <v>56051.259386391226</v>
      </c>
      <c r="T40"/>
      <c r="U40"/>
    </row>
    <row r="41" spans="1:34" s="263" customFormat="1" ht="26" hidden="1" customHeight="1" outlineLevel="1">
      <c r="A41"/>
      <c r="B41"/>
      <c r="P41"/>
      <c r="Q41"/>
      <c r="R41"/>
    </row>
    <row r="42" spans="1:34" s="263" customFormat="1" ht="24" customHeight="1" collapsed="1">
      <c r="A42"/>
      <c r="B42"/>
      <c r="J42"/>
      <c r="K42"/>
      <c r="L42"/>
      <c r="M42"/>
      <c r="N42"/>
      <c r="O42"/>
      <c r="P42"/>
      <c r="Q42"/>
      <c r="R42"/>
    </row>
    <row r="43" spans="1:34" ht="27" customHeight="1">
      <c r="B43" s="260" t="s">
        <v>348</v>
      </c>
    </row>
    <row r="44" spans="1:34" ht="27" customHeight="1"/>
    <row r="45" spans="1:34" ht="27" customHeight="1">
      <c r="B45" s="1458" t="s">
        <v>349</v>
      </c>
    </row>
    <row r="46" spans="1:34" ht="27" hidden="1" customHeight="1" outlineLevel="1"/>
    <row r="47" spans="1:34" ht="27" hidden="1" customHeight="1" outlineLevel="1">
      <c r="B47" s="1425" t="s">
        <v>1368</v>
      </c>
    </row>
    <row r="48" spans="1:34" ht="26" hidden="1" customHeight="1" outlineLevel="1">
      <c r="B48" s="1435" t="s">
        <v>1383</v>
      </c>
      <c r="F48" s="1435"/>
      <c r="AG48" s="32">
        <f>AI23</f>
        <v>0</v>
      </c>
      <c r="AH48" s="32">
        <f>AJ23</f>
        <v>0</v>
      </c>
    </row>
    <row r="49" spans="2:34" ht="26" hidden="1" customHeight="1" outlineLevel="1">
      <c r="B49" s="35" t="s">
        <v>1385</v>
      </c>
      <c r="C49" s="1438"/>
      <c r="D49" s="1438"/>
      <c r="E49" s="1438"/>
      <c r="F49" s="1435"/>
      <c r="AF49" s="32">
        <f>AF27</f>
        <v>0</v>
      </c>
      <c r="AG49" s="832">
        <f>AI27</f>
        <v>0</v>
      </c>
      <c r="AH49" s="832">
        <f>AJ27</f>
        <v>0</v>
      </c>
    </row>
    <row r="50" spans="2:34" ht="62" hidden="1" customHeight="1" outlineLevel="1">
      <c r="B50" s="2154" t="s">
        <v>1386</v>
      </c>
      <c r="C50" s="2154"/>
      <c r="D50" s="2154"/>
      <c r="E50" s="2154"/>
      <c r="F50" s="1435"/>
      <c r="G50" s="1432"/>
      <c r="H50" s="1432"/>
      <c r="I50" s="1432"/>
      <c r="AF50" s="32">
        <f>AF26</f>
        <v>0</v>
      </c>
      <c r="AG50" s="832">
        <f>AI26</f>
        <v>0</v>
      </c>
      <c r="AH50" s="832">
        <f>AJ26</f>
        <v>0</v>
      </c>
    </row>
    <row r="51" spans="2:34" ht="26" hidden="1" customHeight="1" outlineLevel="1">
      <c r="B51" s="1435" t="s">
        <v>1369</v>
      </c>
      <c r="C51" s="1434"/>
      <c r="D51" s="1434"/>
      <c r="E51" s="1434"/>
      <c r="F51" s="1435"/>
      <c r="G51" s="267"/>
      <c r="H51" s="267"/>
      <c r="I51" s="267"/>
      <c r="AF51" s="32">
        <f>AF28</f>
        <v>0</v>
      </c>
      <c r="AG51" s="832">
        <f>AI28</f>
        <v>0</v>
      </c>
      <c r="AH51" s="832">
        <f>AJ28</f>
        <v>0</v>
      </c>
    </row>
    <row r="52" spans="2:34" ht="26" hidden="1" customHeight="1" outlineLevel="1">
      <c r="B52" s="1436" t="s">
        <v>1370</v>
      </c>
      <c r="C52" s="1437"/>
      <c r="D52" s="1437"/>
      <c r="E52" s="1437"/>
      <c r="F52" s="1437"/>
      <c r="AF52" s="32">
        <f>AF29</f>
        <v>0</v>
      </c>
      <c r="AG52" s="832">
        <f>AI29</f>
        <v>0</v>
      </c>
      <c r="AH52" s="832">
        <f>AJ29</f>
        <v>0</v>
      </c>
    </row>
    <row r="53" spans="2:34" ht="26" hidden="1" customHeight="1" outlineLevel="1">
      <c r="B53" s="35" t="s">
        <v>667</v>
      </c>
      <c r="C53" s="1437"/>
      <c r="D53" s="1437"/>
      <c r="E53" s="1437"/>
      <c r="F53" s="1437"/>
    </row>
    <row r="54" spans="2:34" ht="26" hidden="1" customHeight="1" outlineLevel="1">
      <c r="B54" s="1435" t="s">
        <v>1384</v>
      </c>
      <c r="C54" s="1437"/>
      <c r="D54" s="1437"/>
      <c r="E54" s="1437"/>
      <c r="F54" s="1437"/>
    </row>
    <row r="55" spans="2:34" ht="36" hidden="1" customHeight="1" outlineLevel="1">
      <c r="B55" s="1435" t="s">
        <v>352</v>
      </c>
      <c r="C55" s="1435"/>
      <c r="D55" s="1435"/>
      <c r="E55" s="1435"/>
      <c r="F55" s="1435"/>
      <c r="I55"/>
      <c r="J55"/>
      <c r="K55"/>
      <c r="L55"/>
      <c r="M55"/>
      <c r="N55"/>
      <c r="O55"/>
      <c r="P55"/>
    </row>
    <row r="56" spans="2:34" ht="31" hidden="1" customHeight="1" outlineLevel="1">
      <c r="C56" s="2149" t="s">
        <v>1380</v>
      </c>
      <c r="D56" s="2177"/>
      <c r="E56" s="2177"/>
      <c r="F56" s="2150"/>
      <c r="G56"/>
      <c r="I56"/>
      <c r="J56"/>
      <c r="K56"/>
      <c r="L56"/>
      <c r="M56"/>
      <c r="N56"/>
      <c r="O56"/>
      <c r="P56"/>
    </row>
    <row r="57" spans="2:34" ht="31" hidden="1" customHeight="1" outlineLevel="1">
      <c r="B57" s="1426"/>
      <c r="C57" s="2149">
        <v>2022</v>
      </c>
      <c r="D57" s="2150"/>
      <c r="E57" s="2149">
        <v>2050</v>
      </c>
      <c r="F57" s="2150"/>
      <c r="G57"/>
      <c r="I57"/>
      <c r="J57"/>
      <c r="K57"/>
      <c r="L57"/>
      <c r="M57"/>
      <c r="N57"/>
      <c r="O57"/>
      <c r="P57"/>
    </row>
    <row r="58" spans="2:34" ht="36" hidden="1" customHeight="1" outlineLevel="1">
      <c r="B58" s="824" t="s">
        <v>56</v>
      </c>
      <c r="C58" s="824" t="s">
        <v>1381</v>
      </c>
      <c r="D58" s="824" t="s">
        <v>1382</v>
      </c>
      <c r="E58" s="824" t="s">
        <v>1381</v>
      </c>
      <c r="F58" s="824" t="s">
        <v>1382</v>
      </c>
      <c r="G58"/>
      <c r="I58"/>
      <c r="J58"/>
      <c r="K58"/>
      <c r="L58"/>
      <c r="M58"/>
      <c r="N58"/>
      <c r="O58"/>
      <c r="P58"/>
    </row>
    <row r="59" spans="2:34" ht="31" hidden="1" customHeight="1" outlineLevel="1">
      <c r="B59" s="264" t="s">
        <v>345</v>
      </c>
      <c r="C59" s="269">
        <f>$D$24</f>
        <v>0.71956183922091654</v>
      </c>
      <c r="D59" s="565">
        <f>$E$24</f>
        <v>0.5625</v>
      </c>
      <c r="E59" s="545">
        <f>SUMPRODUCT('Fiche levier - 3.2'!H23:K23,'Fiche levier - 3.2'!H20:K20)/SUM('Fiche levier - 3.2'!H20:K20)</f>
        <v>0.41632575394188198</v>
      </c>
      <c r="F59" s="911">
        <f>H144</f>
        <v>0.36506250000000001</v>
      </c>
      <c r="G59"/>
      <c r="I59"/>
      <c r="J59"/>
      <c r="K59"/>
      <c r="L59"/>
      <c r="M59"/>
      <c r="N59"/>
      <c r="O59"/>
      <c r="P59"/>
    </row>
    <row r="60" spans="2:34" ht="31" hidden="1" customHeight="1" outlineLevel="1">
      <c r="B60" s="264" t="s">
        <v>1379</v>
      </c>
      <c r="C60" s="269">
        <f>$D$25</f>
        <v>0.2478097748223648</v>
      </c>
      <c r="D60" s="565"/>
      <c r="E60" s="545">
        <f>SUMPRODUCT('Fiche levier - 3.2'!H26:K26,'Fiche levier - 3.2'!H20:K20)/SUM('Fiche levier - 3.2'!H20:K20)</f>
        <v>0.45726541754135824</v>
      </c>
      <c r="F60" s="264"/>
      <c r="G60"/>
      <c r="I60"/>
      <c r="J60"/>
      <c r="K60"/>
      <c r="L60"/>
      <c r="M60"/>
      <c r="N60"/>
      <c r="O60"/>
      <c r="P60"/>
    </row>
    <row r="61" spans="2:34" ht="31" hidden="1" customHeight="1" outlineLevel="1">
      <c r="B61" s="264" t="s">
        <v>201</v>
      </c>
      <c r="C61" s="269">
        <f>$D$26</f>
        <v>1.7693291138859535E-2</v>
      </c>
      <c r="D61" s="565"/>
      <c r="E61" s="598">
        <f>SUMPRODUCT('Fiche levier - 3.2'!H24:K24,'Fiche levier - 3.2'!H20:K20)/SUM('Fiche levier - 3.2'!H20:K20)</f>
        <v>9.5116248898388198E-2</v>
      </c>
      <c r="F61" s="264"/>
      <c r="G61"/>
      <c r="I61"/>
      <c r="J61"/>
      <c r="K61"/>
      <c r="L61"/>
      <c r="M61"/>
      <c r="N61"/>
      <c r="O61"/>
      <c r="P61"/>
    </row>
    <row r="62" spans="2:34" ht="31" hidden="1" customHeight="1" outlineLevel="1">
      <c r="B62" s="264" t="s">
        <v>1371</v>
      </c>
      <c r="C62" s="269">
        <f>$D$27</f>
        <v>1.4935094817859096E-2</v>
      </c>
      <c r="D62" s="565"/>
      <c r="E62" s="545">
        <f>SUMPRODUCT('Fiche levier - 3.2'!H25:K25,'Fiche levier - 3.2'!H20:K20)/SUM('Fiche levier - 3.2'!H20:K20)</f>
        <v>3.1292579618371431E-2</v>
      </c>
      <c r="F62" s="264"/>
      <c r="G62"/>
      <c r="I62"/>
      <c r="J62"/>
      <c r="K62"/>
      <c r="L62"/>
      <c r="M62"/>
      <c r="N62"/>
      <c r="O62"/>
      <c r="P62"/>
    </row>
    <row r="63" spans="2:34" ht="31" hidden="1" customHeight="1" outlineLevel="1">
      <c r="B63" s="264" t="s">
        <v>114</v>
      </c>
      <c r="C63" s="269"/>
      <c r="D63" s="1430">
        <f>$E$28</f>
        <v>1.125E-2</v>
      </c>
      <c r="E63" s="545"/>
      <c r="F63" s="911">
        <f>K144</f>
        <v>0.21121875000000001</v>
      </c>
      <c r="G63"/>
      <c r="I63"/>
      <c r="J63"/>
      <c r="K63"/>
      <c r="L63"/>
      <c r="M63"/>
      <c r="N63"/>
      <c r="O63"/>
      <c r="P63"/>
    </row>
    <row r="64" spans="2:34" ht="31" hidden="1" customHeight="1" outlineLevel="1">
      <c r="B64" s="264" t="s">
        <v>1152</v>
      </c>
      <c r="C64" s="694"/>
      <c r="D64" s="565">
        <f>$E$29</f>
        <v>0.42624999999999991</v>
      </c>
      <c r="E64" s="264"/>
      <c r="F64" s="269">
        <f>I144</f>
        <v>0.42334375000000007</v>
      </c>
      <c r="G64"/>
      <c r="I64"/>
      <c r="J64"/>
      <c r="K64"/>
      <c r="L64"/>
      <c r="M64"/>
      <c r="N64"/>
      <c r="O64"/>
      <c r="P64"/>
    </row>
    <row r="65" spans="2:16" ht="31" hidden="1" customHeight="1" outlineLevel="1">
      <c r="B65" s="264" t="s">
        <v>654</v>
      </c>
      <c r="C65" s="694"/>
      <c r="D65" s="1430">
        <f>$E$30</f>
        <v>3.7499999999999999E-3</v>
      </c>
      <c r="E65" s="264"/>
      <c r="F65" s="1433">
        <f>J144</f>
        <v>3.7499999999999995E-4</v>
      </c>
      <c r="G65"/>
      <c r="I65"/>
      <c r="J65"/>
      <c r="K65"/>
      <c r="L65"/>
      <c r="M65"/>
      <c r="N65"/>
      <c r="O65"/>
      <c r="P65"/>
    </row>
    <row r="66" spans="2:16" ht="31" hidden="1" customHeight="1" outlineLevel="1">
      <c r="B66" s="270" t="s">
        <v>0</v>
      </c>
      <c r="C66" s="1427">
        <f>SUM(C59:C65)</f>
        <v>1</v>
      </c>
      <c r="D66" s="1427">
        <f t="shared" ref="D66:F66" si="30">SUM(D59:D65)</f>
        <v>1.0037499999999999</v>
      </c>
      <c r="E66" s="1439">
        <f>SUM(E59:E65)</f>
        <v>0.99999999999999989</v>
      </c>
      <c r="F66" s="1439">
        <f t="shared" si="30"/>
        <v>1.0000000000000002</v>
      </c>
      <c r="G66"/>
      <c r="I66"/>
      <c r="J66"/>
      <c r="K66"/>
      <c r="L66"/>
      <c r="M66"/>
      <c r="N66"/>
      <c r="O66"/>
      <c r="P66"/>
    </row>
    <row r="67" spans="2:16" ht="36" hidden="1" customHeight="1" outlineLevel="1">
      <c r="J67"/>
    </row>
    <row r="68" spans="2:16" customFormat="1" ht="36" hidden="1" customHeight="1" outlineLevel="1">
      <c r="B68" s="1425" t="s">
        <v>1388</v>
      </c>
      <c r="C68" s="32"/>
      <c r="D68" s="32"/>
      <c r="E68" s="32"/>
    </row>
    <row r="69" spans="2:16" customFormat="1" ht="31" hidden="1" customHeight="1" outlineLevel="1">
      <c r="B69" s="1435" t="s">
        <v>1383</v>
      </c>
      <c r="C69" s="32"/>
      <c r="D69" s="32"/>
      <c r="E69" s="32"/>
    </row>
    <row r="70" spans="2:16" customFormat="1" ht="31" hidden="1" customHeight="1" outlineLevel="1">
      <c r="B70" s="35" t="s">
        <v>1385</v>
      </c>
      <c r="C70" s="1438"/>
      <c r="D70" s="1438"/>
      <c r="E70" s="1438"/>
    </row>
    <row r="71" spans="2:16" customFormat="1" ht="31" hidden="1" customHeight="1" outlineLevel="1">
      <c r="B71" s="2154" t="s">
        <v>1386</v>
      </c>
      <c r="C71" s="2154"/>
      <c r="D71" s="2154"/>
      <c r="E71" s="2154"/>
    </row>
    <row r="72" spans="2:16" customFormat="1" ht="31" hidden="1" customHeight="1" outlineLevel="1">
      <c r="B72" s="1435" t="s">
        <v>1391</v>
      </c>
      <c r="C72" s="1434"/>
      <c r="D72" s="1434"/>
      <c r="E72" s="1434"/>
    </row>
    <row r="73" spans="2:16" customFormat="1" ht="31" hidden="1" customHeight="1" outlineLevel="1">
      <c r="B73" s="1436" t="s">
        <v>1393</v>
      </c>
      <c r="C73" s="1437"/>
      <c r="D73" s="1437"/>
      <c r="E73" s="1437"/>
    </row>
    <row r="74" spans="2:16" customFormat="1" ht="31" hidden="1" customHeight="1" outlineLevel="1">
      <c r="B74" s="35" t="s">
        <v>667</v>
      </c>
      <c r="C74" s="1437"/>
      <c r="D74" s="1437"/>
      <c r="E74" s="1437"/>
    </row>
    <row r="75" spans="2:16" customFormat="1" ht="31" hidden="1" customHeight="1" outlineLevel="1">
      <c r="B75" s="1435" t="s">
        <v>1384</v>
      </c>
      <c r="C75" s="1437"/>
      <c r="D75" s="1437"/>
      <c r="E75" s="1437"/>
    </row>
    <row r="76" spans="2:16" customFormat="1" ht="31" hidden="1" customHeight="1" outlineLevel="1">
      <c r="B76" s="1435" t="s">
        <v>352</v>
      </c>
      <c r="C76" s="1435"/>
      <c r="D76" s="1435"/>
      <c r="E76" s="1435"/>
    </row>
    <row r="77" spans="2:16" customFormat="1" ht="31" hidden="1" customHeight="1" outlineLevel="1">
      <c r="B77" s="2149" t="s">
        <v>1387</v>
      </c>
      <c r="C77" s="2177"/>
      <c r="D77" s="2177"/>
      <c r="E77" s="2177"/>
      <c r="F77" s="2150"/>
    </row>
    <row r="78" spans="2:16" customFormat="1" ht="30.5" hidden="1" customHeight="1" outlineLevel="1">
      <c r="B78" s="1426"/>
      <c r="C78" s="2149">
        <v>2022</v>
      </c>
      <c r="D78" s="2150"/>
      <c r="E78" s="2149">
        <v>2050</v>
      </c>
      <c r="F78" s="2150"/>
    </row>
    <row r="79" spans="2:16" customFormat="1" ht="23.5" hidden="1" customHeight="1" outlineLevel="1">
      <c r="B79" s="824" t="s">
        <v>56</v>
      </c>
      <c r="C79" s="824" t="s">
        <v>1381</v>
      </c>
      <c r="D79" s="824" t="s">
        <v>1382</v>
      </c>
      <c r="E79" s="824" t="s">
        <v>1381</v>
      </c>
      <c r="F79" s="824" t="s">
        <v>1382</v>
      </c>
    </row>
    <row r="80" spans="2:16" customFormat="1" ht="30.5" hidden="1" customHeight="1" outlineLevel="1">
      <c r="B80" s="264" t="s">
        <v>345</v>
      </c>
      <c r="C80" s="269">
        <f>$D$24</f>
        <v>0.71956183922091654</v>
      </c>
      <c r="D80" s="565">
        <f>G24</f>
        <v>0.69</v>
      </c>
      <c r="E80" s="545">
        <f>E59</f>
        <v>0.41632575394188198</v>
      </c>
      <c r="F80" s="911">
        <f>G152</f>
        <v>0.4478100000000001</v>
      </c>
    </row>
    <row r="81" spans="2:6" customFormat="1" ht="30.5" hidden="1" customHeight="1" outlineLevel="1">
      <c r="B81" s="264" t="s">
        <v>1379</v>
      </c>
      <c r="C81" s="269">
        <f>$D$25</f>
        <v>0.2478097748223648</v>
      </c>
      <c r="D81" s="565"/>
      <c r="E81" s="545">
        <f t="shared" ref="E81:E83" si="31">E60</f>
        <v>0.45726541754135824</v>
      </c>
      <c r="F81" s="264"/>
    </row>
    <row r="82" spans="2:6" customFormat="1" ht="30.5" hidden="1" customHeight="1" outlineLevel="1">
      <c r="B82" s="264" t="s">
        <v>201</v>
      </c>
      <c r="C82" s="269">
        <f>$D$26</f>
        <v>1.7693291138859535E-2</v>
      </c>
      <c r="D82" s="565"/>
      <c r="E82" s="545">
        <f t="shared" si="31"/>
        <v>9.5116248898388198E-2</v>
      </c>
      <c r="F82" s="264"/>
    </row>
    <row r="83" spans="2:6" customFormat="1" ht="30.5" hidden="1" customHeight="1" outlineLevel="1">
      <c r="B83" s="264" t="s">
        <v>1371</v>
      </c>
      <c r="C83" s="269">
        <f>$D$27</f>
        <v>1.4935094817859096E-2</v>
      </c>
      <c r="D83" s="565"/>
      <c r="E83" s="545">
        <f t="shared" si="31"/>
        <v>3.1292579618371431E-2</v>
      </c>
      <c r="F83" s="264"/>
    </row>
    <row r="84" spans="2:6" customFormat="1" ht="30.5" hidden="1" customHeight="1" outlineLevel="1">
      <c r="B84" s="264" t="s">
        <v>114</v>
      </c>
      <c r="C84" s="269"/>
      <c r="D84" s="1430">
        <f t="shared" ref="D84:D85" si="32">G28</f>
        <v>0.01</v>
      </c>
      <c r="E84" s="545"/>
      <c r="F84" s="911">
        <f>I152</f>
        <v>8.2657000000000008E-2</v>
      </c>
    </row>
    <row r="85" spans="2:6" customFormat="1" ht="30.5" hidden="1" customHeight="1" outlineLevel="1">
      <c r="B85" s="264" t="s">
        <v>1152</v>
      </c>
      <c r="C85" s="694"/>
      <c r="D85" s="565">
        <f t="shared" si="32"/>
        <v>0.3</v>
      </c>
      <c r="E85" s="264"/>
      <c r="F85" s="269">
        <f>H152</f>
        <v>0.46953300000000003</v>
      </c>
    </row>
    <row r="86" spans="2:6" customFormat="1" ht="30.5" hidden="1" customHeight="1" outlineLevel="1">
      <c r="B86" s="264" t="s">
        <v>654</v>
      </c>
      <c r="C86" s="694"/>
      <c r="D86" s="565"/>
      <c r="E86" s="264"/>
      <c r="F86" s="1433"/>
    </row>
    <row r="87" spans="2:6" customFormat="1" ht="36" hidden="1" customHeight="1" outlineLevel="1">
      <c r="B87" s="270" t="s">
        <v>0</v>
      </c>
      <c r="C87" s="1427">
        <f>SUM(C80:C86)</f>
        <v>1</v>
      </c>
      <c r="D87" s="1427">
        <f t="shared" ref="D87:E87" si="33">SUM(D80:D86)</f>
        <v>1</v>
      </c>
      <c r="E87" s="1439">
        <f t="shared" si="33"/>
        <v>0.99999999999999989</v>
      </c>
      <c r="F87" s="1439">
        <f t="shared" ref="F87" si="34">SUM(F80:F86)</f>
        <v>1.0000000000000002</v>
      </c>
    </row>
    <row r="88" spans="2:6" customFormat="1" ht="31" hidden="1" customHeight="1" outlineLevel="1"/>
    <row r="89" spans="2:6" customFormat="1" ht="31" hidden="1" customHeight="1" outlineLevel="1">
      <c r="B89" s="1425" t="s">
        <v>1389</v>
      </c>
      <c r="C89" s="32"/>
      <c r="D89" s="32"/>
      <c r="E89" s="32"/>
    </row>
    <row r="90" spans="2:6" customFormat="1" ht="31" hidden="1" customHeight="1" outlineLevel="1">
      <c r="B90" s="1435" t="s">
        <v>1383</v>
      </c>
      <c r="C90" s="32"/>
      <c r="D90" s="32"/>
      <c r="E90" s="32"/>
    </row>
    <row r="91" spans="2:6" customFormat="1" ht="36" hidden="1" customHeight="1" outlineLevel="1">
      <c r="B91" s="35" t="s">
        <v>1385</v>
      </c>
      <c r="C91" s="1438"/>
      <c r="D91" s="1438"/>
      <c r="E91" s="1438"/>
    </row>
    <row r="92" spans="2:6" customFormat="1" ht="31" hidden="1" customHeight="1" outlineLevel="1">
      <c r="B92" s="2154" t="s">
        <v>1386</v>
      </c>
      <c r="C92" s="2154"/>
      <c r="D92" s="2154"/>
      <c r="E92" s="2154"/>
    </row>
    <row r="93" spans="2:6" customFormat="1" ht="31" hidden="1" customHeight="1" outlineLevel="1">
      <c r="B93" s="1435" t="s">
        <v>1369</v>
      </c>
      <c r="C93" s="1434"/>
      <c r="D93" s="1434"/>
      <c r="E93" s="1434"/>
    </row>
    <row r="94" spans="2:6" customFormat="1" ht="31" hidden="1" customHeight="1" outlineLevel="1">
      <c r="B94" s="1436" t="s">
        <v>1392</v>
      </c>
      <c r="C94" s="1437"/>
      <c r="D94" s="1437"/>
      <c r="E94" s="1437"/>
    </row>
    <row r="95" spans="2:6" customFormat="1" ht="31" hidden="1" customHeight="1" outlineLevel="1">
      <c r="B95" s="35" t="s">
        <v>667</v>
      </c>
      <c r="C95" s="1437"/>
      <c r="D95" s="1437"/>
      <c r="E95" s="1437"/>
    </row>
    <row r="96" spans="2:6" customFormat="1" ht="31" hidden="1" customHeight="1" outlineLevel="1">
      <c r="B96" s="1435" t="s">
        <v>1384</v>
      </c>
      <c r="C96" s="1437"/>
      <c r="D96" s="1437"/>
      <c r="E96" s="1437"/>
    </row>
    <row r="97" spans="2:6" customFormat="1" ht="31" hidden="1" customHeight="1" outlineLevel="1">
      <c r="B97" s="1435" t="s">
        <v>352</v>
      </c>
      <c r="C97" s="1435"/>
      <c r="D97" s="1435"/>
      <c r="E97" s="1435"/>
    </row>
    <row r="98" spans="2:6" customFormat="1" ht="31" hidden="1" customHeight="1" outlineLevel="1">
      <c r="B98" s="2149" t="s">
        <v>1390</v>
      </c>
      <c r="C98" s="2177"/>
      <c r="D98" s="2177"/>
      <c r="E98" s="2177"/>
      <c r="F98" s="2150"/>
    </row>
    <row r="99" spans="2:6" customFormat="1" ht="31" hidden="1" customHeight="1" outlineLevel="1">
      <c r="B99" s="1426"/>
      <c r="C99" s="2149">
        <v>2022</v>
      </c>
      <c r="D99" s="2150"/>
      <c r="E99" s="2149">
        <v>2050</v>
      </c>
      <c r="F99" s="2150"/>
    </row>
    <row r="100" spans="2:6" customFormat="1" ht="36" hidden="1" customHeight="1" outlineLevel="1">
      <c r="B100" s="824" t="s">
        <v>56</v>
      </c>
      <c r="C100" s="824" t="s">
        <v>1381</v>
      </c>
      <c r="D100" s="824" t="s">
        <v>1382</v>
      </c>
      <c r="E100" s="824" t="s">
        <v>1381</v>
      </c>
      <c r="F100" s="824" t="s">
        <v>1382</v>
      </c>
    </row>
    <row r="101" spans="2:6" customFormat="1" ht="36" hidden="1" customHeight="1" outlineLevel="1">
      <c r="B101" s="264" t="s">
        <v>345</v>
      </c>
      <c r="C101" s="269">
        <f>$D$24</f>
        <v>0.71956183922091654</v>
      </c>
      <c r="D101" s="565">
        <f>I24</f>
        <v>0.93</v>
      </c>
      <c r="E101" s="545">
        <f>E80</f>
        <v>0.41632575394188198</v>
      </c>
      <c r="F101" s="911">
        <f>G160</f>
        <v>0.43380526315789475</v>
      </c>
    </row>
    <row r="102" spans="2:6" customFormat="1" ht="36" hidden="1" customHeight="1" outlineLevel="1">
      <c r="B102" s="264" t="s">
        <v>1379</v>
      </c>
      <c r="C102" s="269">
        <f>$D$25</f>
        <v>0.2478097748223648</v>
      </c>
      <c r="D102" s="565"/>
      <c r="E102" s="545">
        <f t="shared" ref="E102:E104" si="35">E81</f>
        <v>0.45726541754135824</v>
      </c>
      <c r="F102" s="264"/>
    </row>
    <row r="103" spans="2:6" customFormat="1" ht="36" hidden="1" customHeight="1" outlineLevel="1">
      <c r="B103" s="264" t="s">
        <v>201</v>
      </c>
      <c r="C103" s="269">
        <f>$D$26</f>
        <v>1.7693291138859535E-2</v>
      </c>
      <c r="D103" s="565"/>
      <c r="E103" s="545">
        <f t="shared" si="35"/>
        <v>9.5116248898388198E-2</v>
      </c>
      <c r="F103" s="264"/>
    </row>
    <row r="104" spans="2:6" customFormat="1" ht="36" hidden="1" customHeight="1" outlineLevel="1">
      <c r="B104" s="264" t="s">
        <v>1371</v>
      </c>
      <c r="C104" s="269">
        <f>$D$27</f>
        <v>1.4935094817859096E-2</v>
      </c>
      <c r="D104" s="565"/>
      <c r="E104" s="545">
        <f t="shared" si="35"/>
        <v>3.1292579618371431E-2</v>
      </c>
      <c r="F104" s="264"/>
    </row>
    <row r="105" spans="2:6" customFormat="1" ht="36" hidden="1" customHeight="1" outlineLevel="1">
      <c r="B105" s="264" t="s">
        <v>114</v>
      </c>
      <c r="C105" s="269"/>
      <c r="D105" s="1430"/>
      <c r="E105" s="545"/>
      <c r="F105" s="911">
        <f>I160</f>
        <v>4.6923157894736854E-2</v>
      </c>
    </row>
    <row r="106" spans="2:6" customFormat="1" ht="36" hidden="1" customHeight="1" outlineLevel="1">
      <c r="B106" s="264" t="s">
        <v>1152</v>
      </c>
      <c r="C106" s="694"/>
      <c r="D106" s="565">
        <f>I29</f>
        <v>7.0000000000000007E-2</v>
      </c>
      <c r="E106" s="264"/>
      <c r="F106" s="269">
        <f>H160</f>
        <v>0.51927157894736842</v>
      </c>
    </row>
    <row r="107" spans="2:6" customFormat="1" ht="36" hidden="1" customHeight="1" outlineLevel="1">
      <c r="B107" s="264" t="s">
        <v>654</v>
      </c>
      <c r="C107" s="694"/>
      <c r="D107" s="565"/>
      <c r="E107" s="264"/>
      <c r="F107" s="1433"/>
    </row>
    <row r="108" spans="2:6" customFormat="1" ht="34.5" hidden="1" customHeight="1" outlineLevel="1">
      <c r="B108" s="270" t="s">
        <v>0</v>
      </c>
      <c r="C108" s="1427">
        <f>SUM(C101:C107)</f>
        <v>1</v>
      </c>
      <c r="D108" s="1427">
        <f t="shared" ref="D108" si="36">SUM(D101:D107)</f>
        <v>1</v>
      </c>
      <c r="E108" s="1439">
        <f t="shared" ref="E108:F108" si="37">SUM(E101:E107)</f>
        <v>0.99999999999999989</v>
      </c>
      <c r="F108" s="1439">
        <f t="shared" si="37"/>
        <v>1</v>
      </c>
    </row>
    <row r="109" spans="2:6" customFormat="1" ht="27" hidden="1" customHeight="1" outlineLevel="1"/>
    <row r="110" spans="2:6" ht="36" customHeight="1" collapsed="1"/>
    <row r="111" spans="2:6" ht="26" customHeight="1">
      <c r="B111" s="1458" t="s">
        <v>1372</v>
      </c>
    </row>
    <row r="112" spans="2:6" ht="26" customHeight="1">
      <c r="B112" s="561"/>
    </row>
    <row r="113" spans="2:4" ht="26" customHeight="1">
      <c r="B113" s="1102" t="s">
        <v>1373</v>
      </c>
    </row>
    <row r="114" spans="2:4" ht="26" customHeight="1">
      <c r="B114" s="271" t="s">
        <v>1395</v>
      </c>
    </row>
    <row r="115" spans="2:4" ht="26" customHeight="1">
      <c r="B115" s="271" t="s">
        <v>1374</v>
      </c>
    </row>
    <row r="116" spans="2:4" ht="26" customHeight="1">
      <c r="B116" s="271" t="s">
        <v>1375</v>
      </c>
    </row>
    <row r="117" spans="2:4" ht="26" customHeight="1">
      <c r="B117" s="271" t="s">
        <v>1434</v>
      </c>
    </row>
    <row r="118" spans="2:4" ht="26" customHeight="1" thickBot="1">
      <c r="B118" s="271"/>
    </row>
    <row r="119" spans="2:4" ht="56" customHeight="1">
      <c r="B119" s="272" t="s">
        <v>354</v>
      </c>
      <c r="C119" s="273" t="s">
        <v>542</v>
      </c>
      <c r="D119" s="273" t="s">
        <v>543</v>
      </c>
    </row>
    <row r="120" spans="2:4" ht="26" customHeight="1">
      <c r="B120" s="274" t="s">
        <v>1376</v>
      </c>
      <c r="C120" s="275">
        <v>-8.2560000000000022E-2</v>
      </c>
      <c r="D120" s="275">
        <v>-8.2560000000000022E-2</v>
      </c>
    </row>
    <row r="121" spans="2:4" ht="26" customHeight="1">
      <c r="B121" s="274" t="s">
        <v>1377</v>
      </c>
      <c r="C121" s="276">
        <v>-0.90044884955752214</v>
      </c>
      <c r="D121" s="276">
        <v>-0.8542067256637168</v>
      </c>
    </row>
    <row r="122" spans="2:4" ht="26" customHeight="1">
      <c r="B122" s="274" t="s">
        <v>355</v>
      </c>
      <c r="C122" s="276">
        <v>-0.86160600917757668</v>
      </c>
      <c r="D122" s="276">
        <v>-0.69938008225420534</v>
      </c>
    </row>
    <row r="123" spans="2:4" ht="26" customHeight="1" thickBot="1">
      <c r="B123" s="277" t="s">
        <v>1378</v>
      </c>
      <c r="C123" s="278">
        <v>-0.73726341340880996</v>
      </c>
      <c r="D123" s="278">
        <v>-0.32608695652173914</v>
      </c>
    </row>
    <row r="124" spans="2:4" ht="19" customHeight="1"/>
    <row r="125" spans="2:4" ht="23">
      <c r="B125" s="1458" t="s">
        <v>1398</v>
      </c>
    </row>
    <row r="126" spans="2:4" ht="17" thickBot="1"/>
    <row r="127" spans="2:4" ht="23" customHeight="1" thickBot="1">
      <c r="B127" s="571" t="s">
        <v>1750</v>
      </c>
    </row>
    <row r="129" spans="2:12" ht="23">
      <c r="B129" s="1458" t="s">
        <v>1399</v>
      </c>
    </row>
    <row r="130" spans="2:12" ht="17" thickBot="1"/>
    <row r="131" spans="2:12" ht="22" customHeight="1" thickBot="1">
      <c r="B131" s="571" t="s">
        <v>1750</v>
      </c>
    </row>
    <row r="132" spans="2:12" ht="22" customHeight="1"/>
    <row r="134" spans="2:12">
      <c r="B134"/>
      <c r="C134"/>
      <c r="D134"/>
      <c r="E134"/>
      <c r="F134"/>
      <c r="G134"/>
      <c r="H134"/>
      <c r="I134"/>
    </row>
    <row r="135" spans="2:12">
      <c r="B135"/>
      <c r="C135"/>
      <c r="D135"/>
      <c r="E135"/>
      <c r="F135"/>
      <c r="G135"/>
      <c r="H135"/>
      <c r="I135"/>
    </row>
    <row r="136" spans="2:12" ht="25">
      <c r="B136" s="260" t="s">
        <v>1435</v>
      </c>
      <c r="C136"/>
      <c r="D136"/>
      <c r="E136"/>
      <c r="F136"/>
      <c r="G136"/>
      <c r="H136"/>
      <c r="I136"/>
    </row>
    <row r="137" spans="2:12" ht="25" hidden="1" outlineLevel="1">
      <c r="B137" s="260"/>
      <c r="C137"/>
      <c r="D137"/>
      <c r="E137"/>
      <c r="F137"/>
      <c r="G137"/>
      <c r="H137"/>
      <c r="I137"/>
    </row>
    <row r="138" spans="2:12" ht="28" hidden="1" customHeight="1" outlineLevel="1">
      <c r="B138" s="158" t="s">
        <v>1429</v>
      </c>
      <c r="C138" s="9"/>
      <c r="D138" s="9"/>
      <c r="E138" s="9"/>
      <c r="F138" s="9"/>
      <c r="G138" s="9"/>
      <c r="L138"/>
    </row>
    <row r="139" spans="2:12" ht="28" hidden="1" customHeight="1" outlineLevel="1" thickBot="1">
      <c r="B139" s="158"/>
      <c r="C139" s="9"/>
      <c r="D139" s="9"/>
      <c r="E139" s="9"/>
      <c r="F139" s="9"/>
      <c r="G139" s="9"/>
      <c r="L139"/>
    </row>
    <row r="140" spans="2:12" s="1135" customFormat="1" ht="28" hidden="1" customHeight="1" outlineLevel="1" thickBot="1">
      <c r="B140" s="1405"/>
      <c r="D140" s="2146">
        <v>2022</v>
      </c>
      <c r="E140" s="2147"/>
      <c r="F140" s="2147"/>
      <c r="G140" s="2148"/>
      <c r="H140" s="2146">
        <v>2050</v>
      </c>
      <c r="I140" s="2147"/>
      <c r="J140" s="2147"/>
      <c r="K140" s="2148"/>
      <c r="L140" s="1122"/>
    </row>
    <row r="141" spans="2:12" s="1435" customFormat="1" ht="28" hidden="1" customHeight="1" outlineLevel="1" thickBot="1">
      <c r="B141" s="1574" t="s">
        <v>1402</v>
      </c>
      <c r="C141" s="1582" t="s">
        <v>1360</v>
      </c>
      <c r="D141" s="1579" t="s">
        <v>345</v>
      </c>
      <c r="E141" s="1571" t="s">
        <v>1361</v>
      </c>
      <c r="F141" s="1571" t="s">
        <v>654</v>
      </c>
      <c r="G141" s="1572" t="s">
        <v>114</v>
      </c>
      <c r="H141" s="1573" t="s">
        <v>345</v>
      </c>
      <c r="I141" s="1571" t="s">
        <v>1361</v>
      </c>
      <c r="J141" s="1571" t="s">
        <v>654</v>
      </c>
      <c r="K141" s="1585" t="s">
        <v>114</v>
      </c>
      <c r="L141" s="1588" t="s">
        <v>268</v>
      </c>
    </row>
    <row r="142" spans="2:12" ht="28" hidden="1" customHeight="1" outlineLevel="1">
      <c r="B142" s="1570" t="s">
        <v>1362</v>
      </c>
      <c r="C142" s="1583">
        <f>'3.1 - Déplacement match '!C553</f>
        <v>50</v>
      </c>
      <c r="D142" s="1580">
        <v>0.9</v>
      </c>
      <c r="E142" s="1566">
        <v>0.1</v>
      </c>
      <c r="F142" s="1566">
        <v>0</v>
      </c>
      <c r="G142" s="1567">
        <v>0</v>
      </c>
      <c r="H142" s="1578">
        <f>$D$142*(1-35.1%)</f>
        <v>0.58410000000000006</v>
      </c>
      <c r="I142" s="269">
        <f>E142+(D142*35.1%*0.5)+(F142*90%*0.5)</f>
        <v>0.25795000000000001</v>
      </c>
      <c r="J142" s="269">
        <f>$F$142*(1-90%)</f>
        <v>0</v>
      </c>
      <c r="K142" s="1586">
        <f>G142+(D142*35.1%*0.5)+(F142*90%*0.5)</f>
        <v>0.15795000000000001</v>
      </c>
      <c r="L142" s="1000" t="s">
        <v>1431</v>
      </c>
    </row>
    <row r="143" spans="2:12" ht="28" hidden="1" customHeight="1" outlineLevel="1" thickBot="1">
      <c r="B143" s="1569" t="s">
        <v>1363</v>
      </c>
      <c r="C143" s="1583">
        <f>'3.1 - Déplacement match '!C554</f>
        <v>30</v>
      </c>
      <c r="D143" s="1581">
        <v>0</v>
      </c>
      <c r="E143" s="1575">
        <v>0.97</v>
      </c>
      <c r="F143" s="1575">
        <v>0.01</v>
      </c>
      <c r="G143" s="1576">
        <v>0.03</v>
      </c>
      <c r="H143" s="1577">
        <v>0</v>
      </c>
      <c r="I143" s="588">
        <f>1-J143-K143</f>
        <v>0.69900000000000007</v>
      </c>
      <c r="J143" s="1584">
        <f>$F$143*(1-90%)</f>
        <v>9.999999999999998E-4</v>
      </c>
      <c r="K143" s="1587">
        <v>0.3</v>
      </c>
      <c r="L143" s="1598" t="s">
        <v>1430</v>
      </c>
    </row>
    <row r="144" spans="2:12" ht="28" hidden="1" customHeight="1" outlineLevel="1" thickBot="1">
      <c r="B144" s="425"/>
      <c r="C144" s="1603" t="s">
        <v>603</v>
      </c>
      <c r="D144" s="1601">
        <f>SUMPRODUCT(D142:D143,$C$142:$C$143)/SUM($C$142:$C$143)</f>
        <v>0.5625</v>
      </c>
      <c r="E144" s="1604">
        <f t="shared" ref="E144" si="38">SUMPRODUCT(E142:E143,$C$142:$C$143)/SUM($C$142:$C$143)</f>
        <v>0.42624999999999991</v>
      </c>
      <c r="F144" s="1604">
        <f t="shared" ref="F144" si="39">SUMPRODUCT(F142:F143,$C$142:$C$143)/SUM($C$142:$C$143)</f>
        <v>3.7499999999999999E-3</v>
      </c>
      <c r="G144" s="1606">
        <f t="shared" ref="G144" si="40">SUMPRODUCT(G142:G143,$C$142:$C$143)/SUM($C$142:$C$143)</f>
        <v>1.125E-2</v>
      </c>
      <c r="H144" s="1600">
        <f>SUMPRODUCT(H142:H143,$C$142:$C$143)/SUM($C$142:$C$143)</f>
        <v>0.36506250000000001</v>
      </c>
      <c r="I144" s="1604">
        <f t="shared" ref="I144:K144" si="41">SUMPRODUCT(I142:I143,$C$142:$C$143)/SUM($C$142:$C$143)</f>
        <v>0.42334375000000007</v>
      </c>
      <c r="J144" s="1604">
        <f t="shared" si="41"/>
        <v>3.7499999999999995E-4</v>
      </c>
      <c r="K144" s="1605">
        <f t="shared" si="41"/>
        <v>0.21121875000000001</v>
      </c>
    </row>
    <row r="145" spans="2:12" ht="28" hidden="1" customHeight="1" outlineLevel="1">
      <c r="B145" s="9"/>
      <c r="C145" s="425"/>
      <c r="D145" s="9"/>
      <c r="E145" s="9"/>
      <c r="F145" s="9"/>
      <c r="G145" s="9"/>
    </row>
    <row r="146" spans="2:12" ht="28" hidden="1" customHeight="1" outlineLevel="1">
      <c r="B146" s="158" t="s">
        <v>1366</v>
      </c>
      <c r="C146" s="425"/>
      <c r="D146" s="9"/>
      <c r="E146" s="9"/>
      <c r="F146" s="9"/>
      <c r="G146" s="9"/>
    </row>
    <row r="147" spans="2:12" ht="28" hidden="1" customHeight="1" outlineLevel="1" thickBot="1">
      <c r="B147" s="158"/>
      <c r="C147" s="425"/>
      <c r="D147" s="9"/>
      <c r="E147" s="9"/>
      <c r="F147" s="9"/>
      <c r="G147" s="9"/>
    </row>
    <row r="148" spans="2:12" ht="28" hidden="1" customHeight="1" outlineLevel="1" thickBot="1">
      <c r="B148" s="1405"/>
      <c r="C148" s="1135"/>
      <c r="D148" s="2146">
        <v>2022</v>
      </c>
      <c r="E148" s="2147"/>
      <c r="F148" s="2148"/>
      <c r="G148" s="2146">
        <v>2050</v>
      </c>
      <c r="H148" s="2147"/>
      <c r="I148" s="2148"/>
      <c r="J148"/>
      <c r="K148"/>
      <c r="L148"/>
    </row>
    <row r="149" spans="2:12" ht="28" hidden="1" customHeight="1" outlineLevel="1" thickBot="1">
      <c r="B149" s="1574" t="s">
        <v>1402</v>
      </c>
      <c r="C149" s="1582" t="s">
        <v>1360</v>
      </c>
      <c r="D149" s="1589" t="s">
        <v>345</v>
      </c>
      <c r="E149" s="1590" t="s">
        <v>1361</v>
      </c>
      <c r="F149" s="1591" t="s">
        <v>114</v>
      </c>
      <c r="G149" s="1589" t="s">
        <v>345</v>
      </c>
      <c r="H149" s="1590" t="s">
        <v>1152</v>
      </c>
      <c r="I149" s="1591" t="s">
        <v>114</v>
      </c>
      <c r="J149" s="1588" t="s">
        <v>268</v>
      </c>
      <c r="K149"/>
      <c r="L149"/>
    </row>
    <row r="150" spans="2:12" ht="28" hidden="1" customHeight="1" outlineLevel="1">
      <c r="B150" s="1570" t="s">
        <v>1362</v>
      </c>
      <c r="C150" s="1583">
        <f>'3.1 - Déplacement match '!C559</f>
        <v>40</v>
      </c>
      <c r="D150" s="1578">
        <f>'3.1 - Déplacement match '!D559</f>
        <v>0.9</v>
      </c>
      <c r="E150" s="1593">
        <f>'3.1 - Déplacement match '!E559</f>
        <v>0.1</v>
      </c>
      <c r="F150" s="1594">
        <f>'3.1 - Déplacement match '!F559</f>
        <v>0</v>
      </c>
      <c r="G150" s="1578">
        <f>$D$150*(1-35.1%)</f>
        <v>0.58410000000000006</v>
      </c>
      <c r="H150" s="1593">
        <f>$E$150+($D$150*35.1%*0.7)</f>
        <v>0.32113000000000003</v>
      </c>
      <c r="I150" s="1594">
        <f>$F$150+($D$150*35.1%*0.3)</f>
        <v>9.4770000000000007E-2</v>
      </c>
      <c r="J150" s="1607" t="s">
        <v>1432</v>
      </c>
      <c r="K150"/>
      <c r="L150"/>
    </row>
    <row r="151" spans="2:12" ht="28" hidden="1" customHeight="1" outlineLevel="1" thickBot="1">
      <c r="B151" s="1569" t="s">
        <v>1363</v>
      </c>
      <c r="C151" s="1583">
        <f>'3.1 - Déplacement match '!C560</f>
        <v>20</v>
      </c>
      <c r="D151" s="1595">
        <f>'3.1 - Déplacement match '!D560</f>
        <v>0.27</v>
      </c>
      <c r="E151" s="1596">
        <f>'3.1 - Déplacement match '!E560</f>
        <v>0.7</v>
      </c>
      <c r="F151" s="1597">
        <f>'3.1 - Déplacement match '!F560</f>
        <v>0.03</v>
      </c>
      <c r="G151" s="1568">
        <f>$D$151*(1-35.1%)</f>
        <v>0.17523000000000002</v>
      </c>
      <c r="H151" s="1580">
        <f>$E$151+($D$151*35.1%*0.7)</f>
        <v>0.76633899999999999</v>
      </c>
      <c r="I151" s="1599">
        <f>$F$151+($D$151*35.1%*0.3)</f>
        <v>5.8431000000000004E-2</v>
      </c>
      <c r="J151" s="1608" t="s">
        <v>1432</v>
      </c>
      <c r="K151"/>
      <c r="L151"/>
    </row>
    <row r="152" spans="2:12" ht="28" hidden="1" customHeight="1" outlineLevel="1" thickBot="1">
      <c r="B152" s="9"/>
      <c r="C152" s="1603" t="s">
        <v>603</v>
      </c>
      <c r="D152" s="1600">
        <f>'3.1 - Déplacement match '!D561</f>
        <v>0.69</v>
      </c>
      <c r="E152" s="1601">
        <f>'3.1 - Déplacement match '!E561</f>
        <v>0.3</v>
      </c>
      <c r="F152" s="1602">
        <f>'3.1 - Déplacement match '!F561</f>
        <v>0.01</v>
      </c>
      <c r="G152" s="1600">
        <f>SUMPRODUCT(G150:G151,$C$150:$C$151)/SUM($C$150:$C$151)</f>
        <v>0.4478100000000001</v>
      </c>
      <c r="H152" s="1604">
        <f>SUMPRODUCT(H150:H151,$C$150:$C$151)/SUM($C$150:$C$151)</f>
        <v>0.46953300000000003</v>
      </c>
      <c r="I152" s="1605">
        <f>SUMPRODUCT(I150:I151,$C$150:$C$151)/SUM($C$150:$C$151)</f>
        <v>8.2657000000000008E-2</v>
      </c>
      <c r="J152"/>
      <c r="K152"/>
      <c r="L152"/>
    </row>
    <row r="153" spans="2:12" ht="28" hidden="1" customHeight="1" outlineLevel="1">
      <c r="B153" s="9"/>
      <c r="C153" s="425"/>
      <c r="D153" s="9"/>
      <c r="E153" s="9"/>
      <c r="F153" s="9"/>
      <c r="G153" s="9"/>
      <c r="K153"/>
      <c r="L153"/>
    </row>
    <row r="154" spans="2:12" ht="28" hidden="1" customHeight="1" outlineLevel="1">
      <c r="B154" s="158" t="s">
        <v>1367</v>
      </c>
      <c r="C154" s="425"/>
      <c r="D154" s="9"/>
      <c r="E154" s="9"/>
      <c r="F154" s="9"/>
      <c r="G154" s="9"/>
      <c r="K154"/>
      <c r="L154"/>
    </row>
    <row r="155" spans="2:12" ht="28" hidden="1" customHeight="1" outlineLevel="1" thickBot="1">
      <c r="B155" s="158"/>
      <c r="C155" s="425"/>
      <c r="D155" s="9"/>
      <c r="E155" s="9"/>
      <c r="F155" s="9"/>
      <c r="G155" s="9"/>
      <c r="K155"/>
      <c r="L155"/>
    </row>
    <row r="156" spans="2:12" ht="28" hidden="1" customHeight="1" outlineLevel="1" thickBot="1">
      <c r="B156" s="1405"/>
      <c r="C156" s="1135"/>
      <c r="D156" s="2146">
        <v>2022</v>
      </c>
      <c r="E156" s="2147"/>
      <c r="F156" s="2148"/>
      <c r="G156" s="2146">
        <v>2050</v>
      </c>
      <c r="H156" s="2147"/>
      <c r="I156" s="2148"/>
      <c r="J156"/>
      <c r="K156"/>
      <c r="L156"/>
    </row>
    <row r="157" spans="2:12" ht="28" hidden="1" customHeight="1" outlineLevel="1" thickBot="1">
      <c r="B157" s="1574" t="s">
        <v>1402</v>
      </c>
      <c r="C157" s="1582" t="s">
        <v>1360</v>
      </c>
      <c r="D157" s="1589" t="s">
        <v>345</v>
      </c>
      <c r="E157" s="1590" t="s">
        <v>1361</v>
      </c>
      <c r="F157" s="1591" t="s">
        <v>114</v>
      </c>
      <c r="G157" s="1589" t="s">
        <v>345</v>
      </c>
      <c r="H157" s="1590" t="s">
        <v>1152</v>
      </c>
      <c r="I157" s="1591" t="s">
        <v>114</v>
      </c>
      <c r="J157" s="1588" t="s">
        <v>268</v>
      </c>
      <c r="K157"/>
      <c r="L157"/>
    </row>
    <row r="158" spans="2:12" ht="28" hidden="1" customHeight="1" outlineLevel="1">
      <c r="B158" s="1570" t="s">
        <v>1362</v>
      </c>
      <c r="C158" s="1609">
        <f>'3.1 - Déplacement match '!C565</f>
        <v>20</v>
      </c>
      <c r="D158" s="1610">
        <f>'3.1 - Déplacement match '!D565</f>
        <v>1</v>
      </c>
      <c r="E158" s="1611">
        <f>'3.1 - Déplacement match '!E565</f>
        <v>0</v>
      </c>
      <c r="F158" s="1612">
        <f>'3.1 - Déplacement match '!F565</f>
        <v>0</v>
      </c>
      <c r="G158" s="1593">
        <f>$D$158*(1-35.1%)</f>
        <v>0.64900000000000002</v>
      </c>
      <c r="H158" s="1593">
        <f>$E$158+($D$158*35.1%*0.8)</f>
        <v>0.28080000000000005</v>
      </c>
      <c r="I158" s="1594">
        <f>$F$158+($D$158*35.1%*0.2)</f>
        <v>7.0200000000000012E-2</v>
      </c>
      <c r="J158" s="1607" t="s">
        <v>1433</v>
      </c>
    </row>
    <row r="159" spans="2:12" ht="28" hidden="1" customHeight="1" outlineLevel="1" thickBot="1">
      <c r="B159" s="1569" t="s">
        <v>1363</v>
      </c>
      <c r="C159" s="1609">
        <f>'3.1 - Déplacement match '!C566</f>
        <v>18</v>
      </c>
      <c r="D159" s="1613">
        <f>'3.1 - Déplacement match '!D566</f>
        <v>0.3</v>
      </c>
      <c r="E159" s="1614">
        <f>'3.1 - Déplacement match '!E566</f>
        <v>0.7</v>
      </c>
      <c r="F159" s="1615">
        <f>'3.1 - Déplacement match '!F566</f>
        <v>0</v>
      </c>
      <c r="G159" s="1592">
        <f>$D$159*(1-35.1%)</f>
        <v>0.19470000000000001</v>
      </c>
      <c r="H159" s="1592">
        <f>$E$159+($D$159*35.1%*0.8)</f>
        <v>0.78423999999999994</v>
      </c>
      <c r="I159" s="1619">
        <f>$F$159+($D$159*35.1%*0.2)</f>
        <v>2.1060000000000002E-2</v>
      </c>
      <c r="J159" s="1608" t="s">
        <v>1433</v>
      </c>
    </row>
    <row r="160" spans="2:12" ht="28" hidden="1" customHeight="1" outlineLevel="1" thickBot="1">
      <c r="B160" s="9"/>
      <c r="C160" s="1603" t="s">
        <v>603</v>
      </c>
      <c r="D160" s="1616">
        <f>'3.1 - Déplacement match '!D567</f>
        <v>0.93</v>
      </c>
      <c r="E160" s="1617">
        <f>'3.1 - Déplacement match '!E567</f>
        <v>7.0000000000000007E-2</v>
      </c>
      <c r="F160" s="1618">
        <f>'3.1 - Déplacement match '!F567</f>
        <v>0</v>
      </c>
      <c r="G160" s="1600">
        <f>SUMPRODUCT(G158:G159,$C$158:$C$159)/SUM($C$158:$C$159)</f>
        <v>0.43380526315789475</v>
      </c>
      <c r="H160" s="1604">
        <f>SUMPRODUCT(H158:H159,$C$158:$C$159)/SUM($C$158:$C$159)</f>
        <v>0.51927157894736842</v>
      </c>
      <c r="I160" s="1605">
        <f>SUMPRODUCT(I158:I159,$C$158:$C$159)/SUM($C$158:$C$159)</f>
        <v>4.6923157894736854E-2</v>
      </c>
      <c r="J160"/>
    </row>
    <row r="161" spans="2:5" ht="28" hidden="1" customHeight="1" outlineLevel="1"/>
    <row r="162" spans="2:5" hidden="1" outlineLevel="1"/>
    <row r="163" spans="2:5" hidden="1" outlineLevel="1"/>
    <row r="164" spans="2:5" hidden="1" outlineLevel="1"/>
    <row r="165" spans="2:5" hidden="1" outlineLevel="1"/>
    <row r="166" spans="2:5" ht="17" hidden="1" outlineLevel="1" thickBot="1"/>
    <row r="167" spans="2:5" hidden="1" outlineLevel="1">
      <c r="C167" s="1782"/>
      <c r="D167" s="1783">
        <v>2020</v>
      </c>
      <c r="E167" s="1758">
        <v>2050</v>
      </c>
    </row>
    <row r="168" spans="2:5" ht="17" hidden="1" outlineLevel="1">
      <c r="C168" s="1759" t="s">
        <v>1619</v>
      </c>
      <c r="D168" s="1760">
        <f>C6</f>
        <v>301568.1399647597</v>
      </c>
      <c r="E168" s="1761"/>
    </row>
    <row r="169" spans="2:5" ht="17" hidden="1" outlineLevel="1">
      <c r="B169" s="1791">
        <f>E169/$D$168</f>
        <v>0.2898841152448875</v>
      </c>
      <c r="C169" s="1759" t="s">
        <v>1620</v>
      </c>
      <c r="D169" s="1760">
        <f>(D21*D22*D23*(D31*J24+D33*J25+D34*J26+D35*J27)
+E21*E22*E23*(E32*K24+E36*K28+E37*K29+E38*K30)
+F21*F22*F23*(F31*L24+F33*L25+F34*L26+F35*L27)
+G21*G22*G23*(G32*M24+G36*M28+G37*M29)
+H21*H22*H23*(H31*N24+H33*N25+H34*N26+H35*N27)
+I21*I22*I23*(I32*O24+I36*O28+I37*O29))/1000</f>
        <v>214148.32652502894</v>
      </c>
      <c r="E169" s="1761">
        <f>D168-D169</f>
        <v>87419.813439730759</v>
      </c>
    </row>
    <row r="170" spans="2:5" ht="17" hidden="1" outlineLevel="1">
      <c r="B170" s="1791">
        <f t="shared" ref="B170:B171" si="42">E170/$D$168</f>
        <v>7.6795398864068609E-2</v>
      </c>
      <c r="C170" s="1759" t="s">
        <v>1686</v>
      </c>
      <c r="D170" s="1760">
        <f>(D21*D22*D23*(D31*(1-15%)*J24+D33*J25+D34*J26+D35*J27)
+E21*E22*E23*(E32*(1-15%)*K24+E36*K28+E37*K29+E38*K30)
+F21*F22*F23*(F31*(1-15%)*L24+F33*L25+F34*L26+F35*L27)
+G21*G22*G23*(G32*(1-15%)*M24+G36*M28+G37*M29)
+H21*H22*H23*(H31*(1-15%)*N24+H33*N25+H34*N26+H35*N27)
+I21*I22*I23*(I32*(1-15%)*O24+I36*O28+I37*O29))/1000</f>
        <v>190989.28093173995</v>
      </c>
      <c r="E170" s="1761">
        <f>D169-D170</f>
        <v>23159.045593288989</v>
      </c>
    </row>
    <row r="171" spans="2:5" ht="34" hidden="1" outlineLevel="1">
      <c r="B171" s="1791">
        <f t="shared" si="42"/>
        <v>0.4705407273568632</v>
      </c>
      <c r="C171" s="1759" t="s">
        <v>1687</v>
      </c>
      <c r="D171" s="1760">
        <f>(D21*D22*D23*(P31*(1-15%)*J24+P33*J25+P34*J26+P35*J27)
+E21*E22*E23*(Q32*(1-15%)*K24+Q36*K28+Q37*K29+Q38*K30)
+F21*F22*F23*(R31*(1-15%)*L24+R33*L25+R34*L26+R35*L27)
+G21*G22*G23*(S32*(1-15%)*M24+S36*M28+S37*M29)
+H21*H22*H23*(T31*(1-15%)*N24+T33*N25+T34*N26+T35*N27)
+I21*I22*I23*(U32*(1-15%)*O24+U36*O28+U37*O29))/1000</f>
        <v>49089.189005065586</v>
      </c>
      <c r="E171" s="1761">
        <f>D170-D171</f>
        <v>141900.09192667436</v>
      </c>
    </row>
    <row r="172" spans="2:5" ht="18" hidden="1" outlineLevel="1" thickBot="1">
      <c r="B172" s="1791"/>
      <c r="C172" s="1762" t="s">
        <v>1621</v>
      </c>
      <c r="D172" s="1793">
        <f>D171</f>
        <v>49089.189005065586</v>
      </c>
      <c r="E172" s="1763"/>
    </row>
    <row r="173" spans="2:5" hidden="1" outlineLevel="1"/>
    <row r="174" spans="2:5" hidden="1" outlineLevel="1"/>
    <row r="175" spans="2:5" hidden="1" outlineLevel="1"/>
    <row r="176" spans="2:5" hidden="1" outlineLevel="1"/>
    <row r="177" hidden="1" outlineLevel="1"/>
    <row r="178" hidden="1" outlineLevel="1"/>
    <row r="179" hidden="1" outlineLevel="1"/>
    <row r="180" hidden="1" outlineLevel="1"/>
    <row r="181" hidden="1" outlineLevel="1"/>
    <row r="182" hidden="1" outlineLevel="1"/>
    <row r="183" hidden="1" outlineLevel="1"/>
    <row r="184" hidden="1" outlineLevel="1"/>
    <row r="185" hidden="1" outlineLevel="1"/>
    <row r="186" hidden="1" outlineLevel="1"/>
    <row r="187" hidden="1" outlineLevel="1"/>
    <row r="188" hidden="1" outlineLevel="1"/>
    <row r="189" hidden="1" outlineLevel="1"/>
    <row r="190" hidden="1" outlineLevel="1"/>
    <row r="191" hidden="1" outlineLevel="1"/>
    <row r="192" collapsed="1"/>
  </sheetData>
  <mergeCells count="40">
    <mergeCell ref="P18:U18"/>
    <mergeCell ref="P19:Q19"/>
    <mergeCell ref="R19:S19"/>
    <mergeCell ref="T19:U19"/>
    <mergeCell ref="H19:I19"/>
    <mergeCell ref="D18:I18"/>
    <mergeCell ref="J19:K19"/>
    <mergeCell ref="L19:M19"/>
    <mergeCell ref="N19:O19"/>
    <mergeCell ref="J18:O18"/>
    <mergeCell ref="D19:E19"/>
    <mergeCell ref="F19:G19"/>
    <mergeCell ref="B2:D2"/>
    <mergeCell ref="B5:D5"/>
    <mergeCell ref="C7:D7"/>
    <mergeCell ref="E7:F7"/>
    <mergeCell ref="C9:D9"/>
    <mergeCell ref="E9:F9"/>
    <mergeCell ref="E99:F99"/>
    <mergeCell ref="B22:B23"/>
    <mergeCell ref="B24:B30"/>
    <mergeCell ref="B31:B38"/>
    <mergeCell ref="B50:E50"/>
    <mergeCell ref="B39:C39"/>
    <mergeCell ref="C56:F56"/>
    <mergeCell ref="C57:D57"/>
    <mergeCell ref="E57:F57"/>
    <mergeCell ref="C99:D99"/>
    <mergeCell ref="B71:E71"/>
    <mergeCell ref="B77:F77"/>
    <mergeCell ref="C78:D78"/>
    <mergeCell ref="E78:F78"/>
    <mergeCell ref="B92:E92"/>
    <mergeCell ref="B98:F98"/>
    <mergeCell ref="D148:F148"/>
    <mergeCell ref="G148:I148"/>
    <mergeCell ref="D156:F156"/>
    <mergeCell ref="G156:I156"/>
    <mergeCell ref="H140:K140"/>
    <mergeCell ref="D140:G140"/>
  </mergeCells>
  <conditionalFormatting sqref="D10">
    <cfRule type="containsText" dxfId="53" priority="54" operator="containsText" text="Pas ok">
      <formula>NOT(ISERROR(SEARCH("Pas ok",D10)))</formula>
    </cfRule>
    <cfRule type="containsText" dxfId="52" priority="55" operator="containsText" text="Calcul brouillon, ordre de grandeur">
      <formula>NOT(ISERROR(SEARCH("Calcul brouillon, ordre de grandeur",D10)))</formula>
    </cfRule>
    <cfRule type="containsText" dxfId="51" priority="56" operator="containsText" text="Bon ordre de grandeur">
      <formula>NOT(ISERROR(SEARCH("Bon ordre de grandeur",D10)))</formula>
    </cfRule>
    <cfRule type="containsText" dxfId="50" priority="57" operator="containsText" text="Calcul validé">
      <formula>NOT(ISERROR(SEARCH("Calcul validé",D10)))</formula>
    </cfRule>
    <cfRule type="containsText" dxfId="49" priority="58" operator="containsText" text="Pas ok">
      <formula>NOT(ISERROR(SEARCH("Pas ok",D10)))</formula>
    </cfRule>
    <cfRule type="containsText" dxfId="48" priority="59" operator="containsText" text="Calcul brouillon, ordre de grandeur">
      <formula>NOT(ISERROR(SEARCH("Calcul brouillon, ordre de grandeur",D10)))</formula>
    </cfRule>
    <cfRule type="containsText" dxfId="47" priority="60" operator="containsText" text="Bon ordre de grandeur">
      <formula>NOT(ISERROR(SEARCH("Bon ordre de grandeur",D10)))</formula>
    </cfRule>
    <cfRule type="containsText" dxfId="46" priority="61" operator="containsText" text="Calcul validé">
      <formula>NOT(ISERROR(SEARCH("Calcul validé",D10)))</formula>
    </cfRule>
  </conditionalFormatting>
  <conditionalFormatting sqref="D10:E10">
    <cfRule type="containsText" dxfId="45" priority="62" operator="containsText" text="Calcul brouillon, odg">
      <formula>NOT(ISERROR(SEARCH("Calcul brouillon, odg",D10)))</formula>
    </cfRule>
  </conditionalFormatting>
  <conditionalFormatting sqref="D31:I38">
    <cfRule type="colorScale" priority="52">
      <colorScale>
        <cfvo type="min"/>
        <cfvo type="percentile" val="50"/>
        <cfvo type="max"/>
        <color rgb="FF63BE7B"/>
        <color rgb="FFFFEB84"/>
        <color rgb="FFF8696B"/>
      </colorScale>
    </cfRule>
  </conditionalFormatting>
  <conditionalFormatting sqref="J33">
    <cfRule type="colorScale" priority="51">
      <colorScale>
        <cfvo type="min"/>
        <cfvo type="percentile" val="50"/>
        <cfvo type="max"/>
        <color rgb="FF63BE7B"/>
        <color rgb="FFFFEB84"/>
        <color rgb="FFF8696B"/>
      </colorScale>
    </cfRule>
  </conditionalFormatting>
  <conditionalFormatting sqref="J35">
    <cfRule type="colorScale" priority="27">
      <colorScale>
        <cfvo type="min"/>
        <cfvo type="percentile" val="50"/>
        <cfvo type="max"/>
        <color rgb="FF63BE7B"/>
        <color rgb="FFFFEB84"/>
        <color rgb="FFF8696B"/>
      </colorScale>
    </cfRule>
  </conditionalFormatting>
  <conditionalFormatting sqref="J31:O34 J36:O38 K35 M35 O35">
    <cfRule type="colorScale" priority="45">
      <colorScale>
        <cfvo type="min"/>
        <cfvo type="percentile" val="50"/>
        <cfvo type="max"/>
        <color rgb="FF63BE7B"/>
        <color rgb="FFFFEB84"/>
        <color rgb="FFF8696B"/>
      </colorScale>
    </cfRule>
  </conditionalFormatting>
  <conditionalFormatting sqref="J31:O38">
    <cfRule type="colorScale" priority="21">
      <colorScale>
        <cfvo type="min"/>
        <cfvo type="percentile" val="50"/>
        <cfvo type="max"/>
        <color rgb="FF63BE7B"/>
        <color rgb="FFFFEB84"/>
        <color rgb="FFF8696B"/>
      </colorScale>
    </cfRule>
  </conditionalFormatting>
  <conditionalFormatting sqref="L33">
    <cfRule type="colorScale" priority="50">
      <colorScale>
        <cfvo type="min"/>
        <cfvo type="percentile" val="50"/>
        <cfvo type="max"/>
        <color rgb="FF63BE7B"/>
        <color rgb="FFFFEB84"/>
        <color rgb="FFF8696B"/>
      </colorScale>
    </cfRule>
  </conditionalFormatting>
  <conditionalFormatting sqref="L35">
    <cfRule type="colorScale" priority="26">
      <colorScale>
        <cfvo type="min"/>
        <cfvo type="percentile" val="50"/>
        <cfvo type="max"/>
        <color rgb="FF63BE7B"/>
        <color rgb="FFFFEB84"/>
        <color rgb="FFF8696B"/>
      </colorScale>
    </cfRule>
  </conditionalFormatting>
  <conditionalFormatting sqref="N33">
    <cfRule type="colorScale" priority="49">
      <colorScale>
        <cfvo type="min"/>
        <cfvo type="percentile" val="50"/>
        <cfvo type="max"/>
        <color rgb="FF63BE7B"/>
        <color rgb="FFFFEB84"/>
        <color rgb="FFF8696B"/>
      </colorScale>
    </cfRule>
  </conditionalFormatting>
  <conditionalFormatting sqref="N35">
    <cfRule type="colorScale" priority="25">
      <colorScale>
        <cfvo type="min"/>
        <cfvo type="percentile" val="50"/>
        <cfvo type="max"/>
        <color rgb="FF63BE7B"/>
        <color rgb="FFFFEB84"/>
        <color rgb="FFF8696B"/>
      </colorScale>
    </cfRule>
  </conditionalFormatting>
  <conditionalFormatting sqref="P31">
    <cfRule type="colorScale" priority="44">
      <colorScale>
        <cfvo type="min"/>
        <cfvo type="percentile" val="50"/>
        <cfvo type="max"/>
        <color rgb="FF63BE7B"/>
        <color rgb="FFFFEB84"/>
        <color rgb="FFF8696B"/>
      </colorScale>
    </cfRule>
  </conditionalFormatting>
  <conditionalFormatting sqref="P33">
    <cfRule type="colorScale" priority="37">
      <colorScale>
        <cfvo type="min"/>
        <cfvo type="percentile" val="50"/>
        <cfvo type="max"/>
        <color rgb="FF63BE7B"/>
        <color rgb="FFFFEB84"/>
        <color rgb="FFF8696B"/>
      </colorScale>
    </cfRule>
    <cfRule type="colorScale" priority="38">
      <colorScale>
        <cfvo type="min"/>
        <cfvo type="percentile" val="50"/>
        <cfvo type="max"/>
        <color rgb="FF63BE7B"/>
        <color rgb="FFFFEB84"/>
        <color rgb="FFF8696B"/>
      </colorScale>
    </cfRule>
  </conditionalFormatting>
  <conditionalFormatting sqref="P34">
    <cfRule type="colorScale" priority="32">
      <colorScale>
        <cfvo type="min"/>
        <cfvo type="percentile" val="50"/>
        <cfvo type="max"/>
        <color rgb="FF63BE7B"/>
        <color rgb="FFFFEB84"/>
        <color rgb="FFF8696B"/>
      </colorScale>
    </cfRule>
  </conditionalFormatting>
  <conditionalFormatting sqref="P35">
    <cfRule type="colorScale" priority="24">
      <colorScale>
        <cfvo type="min"/>
        <cfvo type="percentile" val="50"/>
        <cfvo type="max"/>
        <color rgb="FF63BE7B"/>
        <color rgb="FFFFEB84"/>
        <color rgb="FFF8696B"/>
      </colorScale>
    </cfRule>
  </conditionalFormatting>
  <conditionalFormatting sqref="P31:U38">
    <cfRule type="colorScale" priority="1">
      <colorScale>
        <cfvo type="min"/>
        <cfvo type="percentile" val="50"/>
        <cfvo type="max"/>
        <color rgb="FF63BE7B"/>
        <color rgb="FFFFEB84"/>
        <color rgb="FFF8696B"/>
      </colorScale>
    </cfRule>
  </conditionalFormatting>
  <conditionalFormatting sqref="Q32">
    <cfRule type="colorScale" priority="41">
      <colorScale>
        <cfvo type="min"/>
        <cfvo type="percentile" val="50"/>
        <cfvo type="max"/>
        <color rgb="FF63BE7B"/>
        <color rgb="FFFFEB84"/>
        <color rgb="FFF8696B"/>
      </colorScale>
    </cfRule>
  </conditionalFormatting>
  <conditionalFormatting sqref="Q36">
    <cfRule type="colorScale" priority="18">
      <colorScale>
        <cfvo type="min"/>
        <cfvo type="percentile" val="50"/>
        <cfvo type="max"/>
        <color rgb="FF63BE7B"/>
        <color rgb="FFFFEB84"/>
        <color rgb="FFF8696B"/>
      </colorScale>
    </cfRule>
    <cfRule type="colorScale" priority="19">
      <colorScale>
        <cfvo type="min"/>
        <cfvo type="percentile" val="50"/>
        <cfvo type="max"/>
        <color rgb="FF63BE7B"/>
        <color rgb="FFFFEB84"/>
        <color rgb="FFF8696B"/>
      </colorScale>
    </cfRule>
  </conditionalFormatting>
  <conditionalFormatting sqref="Q37">
    <cfRule type="colorScale" priority="12">
      <colorScale>
        <cfvo type="min"/>
        <cfvo type="percentile" val="50"/>
        <cfvo type="max"/>
        <color rgb="FF63BE7B"/>
        <color rgb="FFFFEB84"/>
        <color rgb="FFF8696B"/>
      </colorScale>
    </cfRule>
    <cfRule type="colorScale" priority="13">
      <colorScale>
        <cfvo type="min"/>
        <cfvo type="percentile" val="50"/>
        <cfvo type="max"/>
        <color rgb="FF63BE7B"/>
        <color rgb="FFFFEB84"/>
        <color rgb="FFF8696B"/>
      </colorScale>
    </cfRule>
  </conditionalFormatting>
  <conditionalFormatting sqref="Q38">
    <cfRule type="colorScale" priority="6">
      <colorScale>
        <cfvo type="min"/>
        <cfvo type="percentile" val="50"/>
        <cfvo type="max"/>
        <color rgb="FF63BE7B"/>
        <color rgb="FFFFEB84"/>
        <color rgb="FFF8696B"/>
      </colorScale>
    </cfRule>
    <cfRule type="colorScale" priority="7">
      <colorScale>
        <cfvo type="min"/>
        <cfvo type="percentile" val="50"/>
        <cfvo type="max"/>
        <color rgb="FF63BE7B"/>
        <color rgb="FFFFEB84"/>
        <color rgb="FFF8696B"/>
      </colorScale>
    </cfRule>
  </conditionalFormatting>
  <conditionalFormatting sqref="R31">
    <cfRule type="colorScale" priority="43">
      <colorScale>
        <cfvo type="min"/>
        <cfvo type="percentile" val="50"/>
        <cfvo type="max"/>
        <color rgb="FF63BE7B"/>
        <color rgb="FFFFEB84"/>
        <color rgb="FFF8696B"/>
      </colorScale>
    </cfRule>
  </conditionalFormatting>
  <conditionalFormatting sqref="R33">
    <cfRule type="colorScale" priority="35">
      <colorScale>
        <cfvo type="min"/>
        <cfvo type="percentile" val="50"/>
        <cfvo type="max"/>
        <color rgb="FF63BE7B"/>
        <color rgb="FFFFEB84"/>
        <color rgb="FFF8696B"/>
      </colorScale>
    </cfRule>
    <cfRule type="colorScale" priority="36">
      <colorScale>
        <cfvo type="min"/>
        <cfvo type="percentile" val="50"/>
        <cfvo type="max"/>
        <color rgb="FF63BE7B"/>
        <color rgb="FFFFEB84"/>
        <color rgb="FFF8696B"/>
      </colorScale>
    </cfRule>
  </conditionalFormatting>
  <conditionalFormatting sqref="R34">
    <cfRule type="colorScale" priority="31">
      <colorScale>
        <cfvo type="min"/>
        <cfvo type="percentile" val="50"/>
        <cfvo type="max"/>
        <color rgb="FF63BE7B"/>
        <color rgb="FFFFEB84"/>
        <color rgb="FFF8696B"/>
      </colorScale>
    </cfRule>
  </conditionalFormatting>
  <conditionalFormatting sqref="R35">
    <cfRule type="colorScale" priority="23">
      <colorScale>
        <cfvo type="min"/>
        <cfvo type="percentile" val="50"/>
        <cfvo type="max"/>
        <color rgb="FF63BE7B"/>
        <color rgb="FFFFEB84"/>
        <color rgb="FFF8696B"/>
      </colorScale>
    </cfRule>
  </conditionalFormatting>
  <conditionalFormatting sqref="S32">
    <cfRule type="colorScale" priority="40">
      <colorScale>
        <cfvo type="min"/>
        <cfvo type="percentile" val="50"/>
        <cfvo type="max"/>
        <color rgb="FF63BE7B"/>
        <color rgb="FFFFEB84"/>
        <color rgb="FFF8696B"/>
      </colorScale>
    </cfRule>
  </conditionalFormatting>
  <conditionalFormatting sqref="S36">
    <cfRule type="colorScale" priority="16">
      <colorScale>
        <cfvo type="min"/>
        <cfvo type="percentile" val="50"/>
        <cfvo type="max"/>
        <color rgb="FF63BE7B"/>
        <color rgb="FFFFEB84"/>
        <color rgb="FFF8696B"/>
      </colorScale>
    </cfRule>
    <cfRule type="colorScale" priority="17">
      <colorScale>
        <cfvo type="min"/>
        <cfvo type="percentile" val="50"/>
        <cfvo type="max"/>
        <color rgb="FF63BE7B"/>
        <color rgb="FFFFEB84"/>
        <color rgb="FFF8696B"/>
      </colorScale>
    </cfRule>
  </conditionalFormatting>
  <conditionalFormatting sqref="S37">
    <cfRule type="colorScale" priority="10">
      <colorScale>
        <cfvo type="min"/>
        <cfvo type="percentile" val="50"/>
        <cfvo type="max"/>
        <color rgb="FF63BE7B"/>
        <color rgb="FFFFEB84"/>
        <color rgb="FFF8696B"/>
      </colorScale>
    </cfRule>
    <cfRule type="colorScale" priority="11">
      <colorScale>
        <cfvo type="min"/>
        <cfvo type="percentile" val="50"/>
        <cfvo type="max"/>
        <color rgb="FF63BE7B"/>
        <color rgb="FFFFEB84"/>
        <color rgb="FFF8696B"/>
      </colorScale>
    </cfRule>
  </conditionalFormatting>
  <conditionalFormatting sqref="S38">
    <cfRule type="colorScale" priority="4">
      <colorScale>
        <cfvo type="min"/>
        <cfvo type="percentile" val="50"/>
        <cfvo type="max"/>
        <color rgb="FF63BE7B"/>
        <color rgb="FFFFEB84"/>
        <color rgb="FFF8696B"/>
      </colorScale>
    </cfRule>
    <cfRule type="colorScale" priority="5">
      <colorScale>
        <cfvo type="min"/>
        <cfvo type="percentile" val="50"/>
        <cfvo type="max"/>
        <color rgb="FF63BE7B"/>
        <color rgb="FFFFEB84"/>
        <color rgb="FFF8696B"/>
      </colorScale>
    </cfRule>
  </conditionalFormatting>
  <conditionalFormatting sqref="T31">
    <cfRule type="colorScale" priority="42">
      <colorScale>
        <cfvo type="min"/>
        <cfvo type="percentile" val="50"/>
        <cfvo type="max"/>
        <color rgb="FF63BE7B"/>
        <color rgb="FFFFEB84"/>
        <color rgb="FFF8696B"/>
      </colorScale>
    </cfRule>
  </conditionalFormatting>
  <conditionalFormatting sqref="T33">
    <cfRule type="colorScale" priority="33">
      <colorScale>
        <cfvo type="min"/>
        <cfvo type="percentile" val="50"/>
        <cfvo type="max"/>
        <color rgb="FF63BE7B"/>
        <color rgb="FFFFEB84"/>
        <color rgb="FFF8696B"/>
      </colorScale>
    </cfRule>
    <cfRule type="colorScale" priority="34">
      <colorScale>
        <cfvo type="min"/>
        <cfvo type="percentile" val="50"/>
        <cfvo type="max"/>
        <color rgb="FF63BE7B"/>
        <color rgb="FFFFEB84"/>
        <color rgb="FFF8696B"/>
      </colorScale>
    </cfRule>
  </conditionalFormatting>
  <conditionalFormatting sqref="T34">
    <cfRule type="colorScale" priority="30">
      <colorScale>
        <cfvo type="min"/>
        <cfvo type="percentile" val="50"/>
        <cfvo type="max"/>
        <color rgb="FF63BE7B"/>
        <color rgb="FFFFEB84"/>
        <color rgb="FFF8696B"/>
      </colorScale>
    </cfRule>
  </conditionalFormatting>
  <conditionalFormatting sqref="T35">
    <cfRule type="colorScale" priority="22">
      <colorScale>
        <cfvo type="min"/>
        <cfvo type="percentile" val="50"/>
        <cfvo type="max"/>
        <color rgb="FF63BE7B"/>
        <color rgb="FFFFEB84"/>
        <color rgb="FFF8696B"/>
      </colorScale>
    </cfRule>
  </conditionalFormatting>
  <conditionalFormatting sqref="U32">
    <cfRule type="colorScale" priority="39">
      <colorScale>
        <cfvo type="min"/>
        <cfvo type="percentile" val="50"/>
        <cfvo type="max"/>
        <color rgb="FF63BE7B"/>
        <color rgb="FFFFEB84"/>
        <color rgb="FFF8696B"/>
      </colorScale>
    </cfRule>
  </conditionalFormatting>
  <conditionalFormatting sqref="U36">
    <cfRule type="colorScale" priority="14">
      <colorScale>
        <cfvo type="min"/>
        <cfvo type="percentile" val="50"/>
        <cfvo type="max"/>
        <color rgb="FF63BE7B"/>
        <color rgb="FFFFEB84"/>
        <color rgb="FFF8696B"/>
      </colorScale>
    </cfRule>
    <cfRule type="colorScale" priority="15">
      <colorScale>
        <cfvo type="min"/>
        <cfvo type="percentile" val="50"/>
        <cfvo type="max"/>
        <color rgb="FF63BE7B"/>
        <color rgb="FFFFEB84"/>
        <color rgb="FFF8696B"/>
      </colorScale>
    </cfRule>
  </conditionalFormatting>
  <conditionalFormatting sqref="U37">
    <cfRule type="colorScale" priority="8">
      <colorScale>
        <cfvo type="min"/>
        <cfvo type="percentile" val="50"/>
        <cfvo type="max"/>
        <color rgb="FF63BE7B"/>
        <color rgb="FFFFEB84"/>
        <color rgb="FFF8696B"/>
      </colorScale>
    </cfRule>
    <cfRule type="colorScale" priority="9">
      <colorScale>
        <cfvo type="min"/>
        <cfvo type="percentile" val="50"/>
        <cfvo type="max"/>
        <color rgb="FF63BE7B"/>
        <color rgb="FFFFEB84"/>
        <color rgb="FFF8696B"/>
      </colorScale>
    </cfRule>
  </conditionalFormatting>
  <conditionalFormatting sqref="U38">
    <cfRule type="colorScale" priority="2">
      <colorScale>
        <cfvo type="min"/>
        <cfvo type="percentile" val="50"/>
        <cfvo type="max"/>
        <color rgb="FF63BE7B"/>
        <color rgb="FFFFEB84"/>
        <color rgb="FFF8696B"/>
      </colorScale>
    </cfRule>
    <cfRule type="colorScale" priority="3">
      <colorScale>
        <cfvo type="min"/>
        <cfvo type="percentile" val="50"/>
        <cfvo type="max"/>
        <color rgb="FF63BE7B"/>
        <color rgb="FFFFEB84"/>
        <color rgb="FFF8696B"/>
      </colorScale>
    </cfRule>
  </conditionalFormatting>
  <pageMargins left="0.7" right="0.7" top="0.75" bottom="0.75" header="0.3" footer="0.3"/>
  <pageSetup paperSize="9" orientation="portrait" horizontalDpi="0" verticalDpi="0"/>
  <ignoredErrors>
    <ignoredError sqref="J142" formula="1"/>
  </ignoredErrors>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12"/>
  <sheetViews>
    <sheetView topLeftCell="A72" zoomScale="60" zoomScaleNormal="83" workbookViewId="0">
      <selection activeCell="C90" sqref="C90"/>
    </sheetView>
  </sheetViews>
  <sheetFormatPr baseColWidth="10" defaultRowHeight="14" outlineLevelRow="1"/>
  <cols>
    <col min="1" max="1" width="10.83203125" style="5"/>
    <col min="2" max="2" width="44.33203125" style="5" customWidth="1"/>
    <col min="3" max="3" width="29.6640625" style="5" customWidth="1"/>
    <col min="4" max="4" width="39.5" style="5" customWidth="1"/>
    <col min="5" max="5" width="28" style="5" customWidth="1"/>
    <col min="6" max="6" width="24.1640625" style="5" customWidth="1"/>
    <col min="7" max="8" width="26.1640625" style="5" customWidth="1"/>
    <col min="9" max="9" width="57.83203125" style="5" customWidth="1"/>
    <col min="10" max="10" width="40" style="5" customWidth="1"/>
    <col min="11" max="12" width="16.33203125" style="5" customWidth="1"/>
    <col min="13" max="13" width="11.83203125" style="5" bestFit="1" customWidth="1"/>
    <col min="14" max="14" width="11" style="5" bestFit="1" customWidth="1"/>
    <col min="15" max="16384" width="10.83203125" style="5"/>
  </cols>
  <sheetData>
    <row r="1" spans="1:11" ht="15" thickBot="1"/>
    <row r="2" spans="1:11" ht="26" customHeight="1" thickBot="1">
      <c r="B2" s="2201" t="s">
        <v>1532</v>
      </c>
      <c r="C2" s="2202"/>
      <c r="D2" s="6"/>
      <c r="E2" s="6"/>
      <c r="F2" s="6"/>
      <c r="G2" s="6"/>
      <c r="H2" s="6"/>
      <c r="I2" s="6"/>
      <c r="J2" s="6"/>
      <c r="K2" s="6"/>
    </row>
    <row r="3" spans="1:11" ht="26" customHeight="1" thickBot="1">
      <c r="B3" s="7"/>
      <c r="C3" s="7"/>
      <c r="D3" s="8"/>
      <c r="E3"/>
      <c r="F3"/>
      <c r="G3"/>
      <c r="H3"/>
      <c r="I3"/>
      <c r="J3"/>
      <c r="K3"/>
    </row>
    <row r="4" spans="1:11" ht="19" customHeight="1" thickBot="1">
      <c r="B4" s="1965" t="s">
        <v>2</v>
      </c>
      <c r="C4" s="1966"/>
      <c r="D4" s="1967"/>
      <c r="E4"/>
      <c r="F4"/>
      <c r="G4"/>
      <c r="H4"/>
      <c r="I4"/>
      <c r="J4"/>
      <c r="K4"/>
    </row>
    <row r="5" spans="1:11" ht="19" customHeight="1">
      <c r="B5" s="142" t="s">
        <v>45</v>
      </c>
      <c r="C5" s="131">
        <f>C86</f>
        <v>428785.76071909629</v>
      </c>
      <c r="D5" s="129" t="s">
        <v>3</v>
      </c>
      <c r="E5"/>
      <c r="F5"/>
      <c r="G5"/>
      <c r="H5"/>
      <c r="I5" s="749"/>
      <c r="J5"/>
      <c r="K5"/>
    </row>
    <row r="6" spans="1:11" ht="19" customHeight="1">
      <c r="B6" s="143" t="s">
        <v>4</v>
      </c>
      <c r="C6" s="2130" t="s">
        <v>1570</v>
      </c>
      <c r="D6" s="2131"/>
      <c r="E6"/>
      <c r="F6"/>
      <c r="G6"/>
      <c r="H6"/>
      <c r="I6"/>
      <c r="J6"/>
      <c r="K6"/>
    </row>
    <row r="7" spans="1:11" ht="19" customHeight="1" thickBot="1">
      <c r="B7" s="144" t="s">
        <v>5</v>
      </c>
      <c r="C7" s="2203"/>
      <c r="D7" s="2204"/>
      <c r="E7"/>
      <c r="F7"/>
      <c r="G7"/>
      <c r="H7"/>
      <c r="I7"/>
      <c r="J7"/>
      <c r="K7"/>
    </row>
    <row r="8" spans="1:11" ht="30" customHeight="1" thickBot="1">
      <c r="B8"/>
      <c r="C8"/>
      <c r="D8"/>
      <c r="E8" s="8"/>
      <c r="F8" s="8"/>
      <c r="G8" s="8"/>
      <c r="H8" s="8"/>
      <c r="I8" s="8"/>
      <c r="J8" s="8"/>
      <c r="K8" s="8"/>
    </row>
    <row r="9" spans="1:11" ht="24" customHeight="1" thickBot="1">
      <c r="B9" s="2057" t="s">
        <v>6</v>
      </c>
      <c r="C9" s="2058"/>
      <c r="D9" s="2058"/>
      <c r="E9" s="2058"/>
      <c r="F9" s="2058"/>
      <c r="G9" s="2058"/>
      <c r="H9" s="2058"/>
      <c r="I9" s="2058"/>
      <c r="J9" s="2058"/>
      <c r="K9" s="2059"/>
    </row>
    <row r="10" spans="1:11" ht="198" customHeight="1">
      <c r="A10" s="2365"/>
      <c r="B10" s="12" t="s">
        <v>7</v>
      </c>
      <c r="C10" s="1979" t="s">
        <v>1806</v>
      </c>
      <c r="D10" s="1980"/>
      <c r="E10" s="1980"/>
      <c r="F10" s="1980"/>
      <c r="G10" s="1980"/>
      <c r="H10" s="1980"/>
      <c r="I10" s="1980"/>
      <c r="J10" s="1980"/>
      <c r="K10" s="1981"/>
    </row>
    <row r="11" spans="1:11" ht="69" customHeight="1">
      <c r="A11" s="2365"/>
      <c r="B11" s="13" t="s">
        <v>8</v>
      </c>
      <c r="C11" s="1975" t="s">
        <v>1808</v>
      </c>
      <c r="D11" s="1976"/>
      <c r="E11" s="1976"/>
      <c r="F11" s="1976"/>
      <c r="G11" s="1976"/>
      <c r="H11" s="1976"/>
      <c r="I11" s="1976"/>
      <c r="J11" s="1976"/>
      <c r="K11" s="1977"/>
    </row>
    <row r="12" spans="1:11" ht="51" customHeight="1">
      <c r="A12" s="2365"/>
      <c r="B12" s="13" t="s">
        <v>9</v>
      </c>
      <c r="C12" s="2137" t="s">
        <v>272</v>
      </c>
      <c r="D12" s="1983"/>
      <c r="E12" s="1983"/>
      <c r="F12" s="1983"/>
      <c r="G12" s="1983"/>
      <c r="H12" s="1983"/>
      <c r="I12" s="1983"/>
      <c r="J12" s="1983"/>
      <c r="K12" s="1984"/>
    </row>
    <row r="13" spans="1:11" ht="73" customHeight="1">
      <c r="A13" s="2366"/>
      <c r="B13" s="13" t="s">
        <v>11</v>
      </c>
      <c r="C13" s="1975" t="s">
        <v>1558</v>
      </c>
      <c r="D13" s="1976"/>
      <c r="E13" s="1976"/>
      <c r="F13" s="1976"/>
      <c r="G13" s="1976"/>
      <c r="H13" s="1976"/>
      <c r="I13" s="1976"/>
      <c r="J13" s="1976"/>
      <c r="K13" s="1977"/>
    </row>
    <row r="14" spans="1:11" ht="28" customHeight="1">
      <c r="A14" s="2366"/>
      <c r="B14" s="13" t="s">
        <v>12</v>
      </c>
      <c r="C14" s="2137" t="s">
        <v>1556</v>
      </c>
      <c r="D14" s="1983"/>
      <c r="E14" s="1983"/>
      <c r="F14" s="1983"/>
      <c r="G14" s="1983"/>
      <c r="H14" s="1983"/>
      <c r="I14" s="1983"/>
      <c r="J14" s="1983"/>
      <c r="K14" s="1984"/>
    </row>
    <row r="15" spans="1:11" ht="28" customHeight="1" thickBot="1">
      <c r="A15" s="2366"/>
      <c r="B15" s="14" t="s">
        <v>13</v>
      </c>
      <c r="C15" s="1985" t="s">
        <v>271</v>
      </c>
      <c r="D15" s="1986"/>
      <c r="E15" s="1986"/>
      <c r="F15" s="1986"/>
      <c r="G15" s="1986"/>
      <c r="H15" s="1986"/>
      <c r="I15" s="1986"/>
      <c r="J15" s="1986"/>
      <c r="K15" s="1987"/>
    </row>
    <row r="16" spans="1:11" ht="19" customHeight="1"/>
    <row r="17" spans="2:12" ht="19" customHeight="1"/>
    <row r="18" spans="2:12" ht="19" customHeight="1">
      <c r="B18" s="378" t="s">
        <v>424</v>
      </c>
    </row>
    <row r="19" spans="2:12" ht="19" customHeight="1">
      <c r="H19" s="2"/>
      <c r="I19" s="9"/>
      <c r="J19" s="9"/>
      <c r="K19" s="4"/>
      <c r="L19" s="43"/>
    </row>
    <row r="20" spans="2:12" ht="25" customHeight="1">
      <c r="B20" s="427" t="s">
        <v>459</v>
      </c>
      <c r="H20" s="1"/>
      <c r="I20" s="9"/>
      <c r="J20" s="9"/>
      <c r="K20" s="4"/>
      <c r="L20" s="43"/>
    </row>
    <row r="21" spans="2:12" ht="19" hidden="1" customHeight="1" outlineLevel="1">
      <c r="B21" s="44"/>
      <c r="H21" s="1"/>
      <c r="I21" s="9"/>
      <c r="J21" s="9"/>
      <c r="K21" s="4"/>
      <c r="L21" s="43"/>
    </row>
    <row r="22" spans="2:12" ht="19" hidden="1" customHeight="1" outlineLevel="1">
      <c r="B22" s="426" t="s">
        <v>426</v>
      </c>
      <c r="C22" s="32"/>
      <c r="D22" s="32"/>
      <c r="E22" s="32"/>
      <c r="F22" s="32"/>
      <c r="H22" s="1"/>
      <c r="I22" s="9"/>
      <c r="J22" s="9"/>
      <c r="K22" s="4"/>
      <c r="L22" s="43"/>
    </row>
    <row r="23" spans="2:12" ht="22" hidden="1" customHeight="1" outlineLevel="1">
      <c r="B23" s="10" t="s">
        <v>1156</v>
      </c>
      <c r="C23" s="71"/>
      <c r="D23" s="71"/>
      <c r="E23" s="71"/>
      <c r="F23" s="71"/>
      <c r="H23" s="1"/>
      <c r="I23" s="9"/>
      <c r="J23" s="9"/>
      <c r="K23" s="4"/>
      <c r="L23" s="43"/>
    </row>
    <row r="24" spans="2:12" ht="22" hidden="1" customHeight="1" outlineLevel="1">
      <c r="B24" s="31" t="s">
        <v>1548</v>
      </c>
      <c r="C24" s="71"/>
      <c r="D24" s="71"/>
      <c r="E24" s="71"/>
      <c r="F24" s="71"/>
      <c r="H24" s="1"/>
      <c r="I24" s="9"/>
      <c r="J24" s="9"/>
      <c r="K24" s="4"/>
      <c r="L24" s="43"/>
    </row>
    <row r="25" spans="2:12" ht="22" hidden="1" customHeight="1" outlineLevel="1">
      <c r="B25" s="10" t="s">
        <v>1157</v>
      </c>
      <c r="C25" s="71"/>
      <c r="D25" s="71"/>
      <c r="E25" s="71"/>
      <c r="F25" s="71"/>
      <c r="H25" s="1"/>
      <c r="I25" s="9"/>
      <c r="J25" s="9"/>
      <c r="K25" s="4"/>
      <c r="L25" s="43"/>
    </row>
    <row r="26" spans="2:12" ht="30" hidden="1" customHeight="1" outlineLevel="1">
      <c r="B26" s="41" t="s">
        <v>16</v>
      </c>
      <c r="C26" s="41" t="s">
        <v>17</v>
      </c>
      <c r="D26" s="1929" t="s">
        <v>26</v>
      </c>
      <c r="E26" s="1929"/>
      <c r="F26" s="1929"/>
      <c r="G26" s="1929"/>
      <c r="H26" s="1929"/>
    </row>
    <row r="27" spans="2:12" ht="44" hidden="1" customHeight="1" outlineLevel="1">
      <c r="B27" s="56" t="s">
        <v>108</v>
      </c>
      <c r="C27" s="45">
        <v>2</v>
      </c>
      <c r="D27" s="1900" t="s">
        <v>1549</v>
      </c>
      <c r="E27" s="1900"/>
      <c r="F27" s="1900"/>
      <c r="G27" s="1900"/>
      <c r="H27" s="1900"/>
    </row>
    <row r="28" spans="2:12" ht="33" hidden="1" customHeight="1" outlineLevel="1">
      <c r="B28" s="56" t="s">
        <v>109</v>
      </c>
      <c r="C28" s="45">
        <v>40</v>
      </c>
      <c r="D28" s="1900" t="s">
        <v>1550</v>
      </c>
      <c r="E28" s="1900"/>
      <c r="F28" s="1900"/>
      <c r="G28" s="1900"/>
      <c r="H28" s="1900"/>
    </row>
    <row r="29" spans="2:12" ht="24" hidden="1" customHeight="1" outlineLevel="1">
      <c r="B29" s="56" t="s">
        <v>210</v>
      </c>
      <c r="C29" s="53">
        <v>14000</v>
      </c>
      <c r="D29" s="1913" t="s">
        <v>792</v>
      </c>
      <c r="E29" s="1913"/>
      <c r="F29" s="1913"/>
      <c r="G29" s="1913"/>
      <c r="H29" s="1913"/>
    </row>
    <row r="30" spans="2:12" ht="24" hidden="1" customHeight="1" outlineLevel="1">
      <c r="B30" s="56" t="s">
        <v>209</v>
      </c>
      <c r="C30" s="53">
        <f>'Fiche d''identité'!C11</f>
        <v>2126178</v>
      </c>
      <c r="D30" s="1913" t="s">
        <v>792</v>
      </c>
      <c r="E30" s="1913"/>
      <c r="F30" s="1913"/>
      <c r="G30" s="1913"/>
      <c r="H30" s="1913"/>
    </row>
    <row r="31" spans="2:12" ht="44" hidden="1" customHeight="1" outlineLevel="1">
      <c r="B31" s="56" t="s">
        <v>218</v>
      </c>
      <c r="C31" s="45">
        <f>C30*0.2</f>
        <v>425235.60000000003</v>
      </c>
      <c r="D31" s="1900" t="s">
        <v>1551</v>
      </c>
      <c r="E31" s="1900"/>
      <c r="F31" s="1900"/>
      <c r="G31" s="1900"/>
      <c r="H31" s="1900"/>
    </row>
    <row r="32" spans="2:12" ht="33" hidden="1" customHeight="1" outlineLevel="1">
      <c r="B32" s="56" t="s">
        <v>484</v>
      </c>
      <c r="C32" s="45">
        <f>'Fiche d''identité'!C28+'Fiche d''identité'!C39</f>
        <v>324575.3</v>
      </c>
      <c r="D32" s="1900" t="s">
        <v>1552</v>
      </c>
      <c r="E32" s="1900"/>
      <c r="F32" s="1900"/>
      <c r="G32" s="1900"/>
      <c r="H32" s="1900"/>
      <c r="J32" s="209"/>
    </row>
    <row r="33" spans="2:8" ht="43" hidden="1" customHeight="1" outlineLevel="1">
      <c r="B33" s="56" t="s">
        <v>1278</v>
      </c>
      <c r="C33" s="45">
        <f>C29*3</f>
        <v>42000</v>
      </c>
      <c r="D33" s="1900" t="s">
        <v>1553</v>
      </c>
      <c r="E33" s="1900"/>
      <c r="F33" s="1900"/>
      <c r="G33" s="1900"/>
      <c r="H33" s="1900"/>
    </row>
    <row r="34" spans="2:8" ht="19" hidden="1" customHeight="1" outlineLevel="1">
      <c r="G34"/>
    </row>
    <row r="35" spans="2:8" ht="19" hidden="1" customHeight="1" outlineLevel="1">
      <c r="B35" s="426" t="s">
        <v>426</v>
      </c>
    </row>
    <row r="36" spans="2:8" ht="30" hidden="1" customHeight="1" outlineLevel="1">
      <c r="B36" s="431" t="s">
        <v>601</v>
      </c>
      <c r="C36" s="432"/>
      <c r="D36" s="432"/>
    </row>
    <row r="37" spans="2:8" ht="30" hidden="1" customHeight="1" outlineLevel="1">
      <c r="B37" s="433" t="s">
        <v>488</v>
      </c>
      <c r="C37" s="433" t="s">
        <v>454</v>
      </c>
      <c r="D37" s="433" t="s">
        <v>485</v>
      </c>
      <c r="F37" s="490"/>
    </row>
    <row r="38" spans="2:8" ht="30" hidden="1" customHeight="1" outlineLevel="1">
      <c r="B38" s="434" t="s">
        <v>453</v>
      </c>
      <c r="C38" s="435">
        <f>C27*C30</f>
        <v>4252356</v>
      </c>
      <c r="D38" s="436">
        <f>C38*$C$28</f>
        <v>170094240</v>
      </c>
      <c r="F38" s="28"/>
    </row>
    <row r="39" spans="2:8" ht="30" hidden="1" customHeight="1" outlineLevel="1">
      <c r="B39" s="434" t="s">
        <v>455</v>
      </c>
      <c r="C39" s="435">
        <f>C27*C31+(C32*(1/5)*5+C32*4/5*1.5)+C33*2</f>
        <v>1648536.8599999999</v>
      </c>
      <c r="D39" s="436">
        <f>C39*$C$28</f>
        <v>65941474.399999991</v>
      </c>
    </row>
    <row r="40" spans="2:8" ht="30" hidden="1" customHeight="1" outlineLevel="1">
      <c r="B40" s="437" t="s">
        <v>0</v>
      </c>
      <c r="C40" s="438">
        <f>SUM(C38:C39)</f>
        <v>5900892.8599999994</v>
      </c>
      <c r="D40" s="439">
        <f>C40*$C$28</f>
        <v>236035714.39999998</v>
      </c>
    </row>
    <row r="41" spans="2:8" ht="30" customHeight="1" collapsed="1">
      <c r="B41" s="440"/>
      <c r="C41" s="441"/>
      <c r="D41" s="442"/>
    </row>
    <row r="42" spans="2:8" ht="25" customHeight="1">
      <c r="B42" s="427" t="s">
        <v>456</v>
      </c>
    </row>
    <row r="43" spans="2:8" ht="18" hidden="1" customHeight="1" outlineLevel="1">
      <c r="B43" s="427"/>
    </row>
    <row r="44" spans="2:8" ht="19" hidden="1" customHeight="1" outlineLevel="1">
      <c r="B44" s="426" t="s">
        <v>426</v>
      </c>
      <c r="C44" s="428"/>
      <c r="D44" s="70"/>
      <c r="E44" s="70"/>
      <c r="F44" s="70"/>
    </row>
    <row r="45" spans="2:8" ht="19" hidden="1" customHeight="1" outlineLevel="1">
      <c r="B45" s="10" t="s">
        <v>1554</v>
      </c>
      <c r="C45" s="428"/>
      <c r="D45" s="70"/>
      <c r="E45" s="70"/>
      <c r="F45" s="70"/>
    </row>
    <row r="46" spans="2:8" ht="19" hidden="1" customHeight="1" outlineLevel="1">
      <c r="B46" s="10" t="s">
        <v>1557</v>
      </c>
      <c r="C46" s="428"/>
      <c r="D46" s="70"/>
      <c r="E46" s="70"/>
      <c r="F46" s="70"/>
    </row>
    <row r="47" spans="2:8" ht="19" hidden="1" customHeight="1" outlineLevel="1" thickBot="1">
      <c r="B47" s="65"/>
      <c r="C47" s="428"/>
      <c r="D47" s="70"/>
      <c r="E47" s="70"/>
      <c r="F47" s="70"/>
      <c r="G47" s="429"/>
      <c r="H47" s="430"/>
    </row>
    <row r="48" spans="2:8" ht="38" hidden="1" customHeight="1" outlineLevel="1" thickBot="1">
      <c r="B48" s="1696" t="s">
        <v>481</v>
      </c>
      <c r="C48" s="1695" t="s">
        <v>57</v>
      </c>
      <c r="D48" s="669" t="s">
        <v>480</v>
      </c>
      <c r="E48" s="500" t="s">
        <v>458</v>
      </c>
      <c r="F48" s="500" t="s">
        <v>477</v>
      </c>
      <c r="G48" s="500" t="s">
        <v>487</v>
      </c>
      <c r="H48" s="670" t="s">
        <v>457</v>
      </c>
    </row>
    <row r="49" spans="2:10" ht="23" hidden="1" customHeight="1" outlineLevel="1">
      <c r="B49" s="2190" t="str">
        <f>B158</f>
        <v>Communes densément peuplées</v>
      </c>
      <c r="C49" s="1692" t="str">
        <f>C158</f>
        <v>Mobilités actives (marche, vélo, etc.)</v>
      </c>
      <c r="D49" s="483">
        <f>D158</f>
        <v>0.4</v>
      </c>
      <c r="E49" s="673">
        <f>E158*$C$28*$C$27</f>
        <v>11520252.717697414</v>
      </c>
      <c r="F49" s="484">
        <v>0</v>
      </c>
      <c r="G49" s="498">
        <f>$F$119</f>
        <v>11.56131529283112</v>
      </c>
      <c r="H49" s="485">
        <f t="shared" ref="H49:H63" si="0">E49*F49*G49/1000</f>
        <v>0</v>
      </c>
    </row>
    <row r="50" spans="2:10" ht="23" hidden="1" customHeight="1" outlineLevel="1">
      <c r="B50" s="2191"/>
      <c r="C50" s="1693" t="str">
        <f t="shared" ref="C50:D63" si="1">C159</f>
        <v>Automobile</v>
      </c>
      <c r="D50" s="96">
        <f t="shared" si="1"/>
        <v>0.5</v>
      </c>
      <c r="E50" s="53">
        <f>E159*$C$28*$C$27</f>
        <v>14400315.897121765</v>
      </c>
      <c r="F50" s="466">
        <f>$C$97</f>
        <v>0.11612903225806451</v>
      </c>
      <c r="G50" s="99">
        <f>$F$119</f>
        <v>11.56131529283112</v>
      </c>
      <c r="H50" s="486">
        <f t="shared" si="0"/>
        <v>19333.926859702406</v>
      </c>
    </row>
    <row r="51" spans="2:10" ht="23" hidden="1" customHeight="1" outlineLevel="1">
      <c r="B51" s="2191"/>
      <c r="C51" s="1693" t="str">
        <f t="shared" si="1"/>
        <v>Bus</v>
      </c>
      <c r="D51" s="96">
        <f t="shared" si="1"/>
        <v>2.8571428571428571E-3</v>
      </c>
      <c r="E51" s="53">
        <f>E160*$C$28*$C$27</f>
        <v>82287.519412124369</v>
      </c>
      <c r="F51" s="466">
        <f>$C$99</f>
        <v>0.13700000000000001</v>
      </c>
      <c r="G51" s="99">
        <f>$F$119</f>
        <v>11.56131529283112</v>
      </c>
      <c r="H51" s="486">
        <f t="shared" si="0"/>
        <v>130.33521805262876</v>
      </c>
    </row>
    <row r="52" spans="2:10" ht="23" hidden="1" customHeight="1" outlineLevel="1" thickBot="1">
      <c r="B52" s="2192"/>
      <c r="C52" s="1694" t="str">
        <f t="shared" si="1"/>
        <v>Metro / tramway / TER</v>
      </c>
      <c r="D52" s="487">
        <f t="shared" si="1"/>
        <v>9.7142857142857142E-2</v>
      </c>
      <c r="E52" s="674">
        <f>E161*$C$28*$C$27</f>
        <v>2797775.6600122289</v>
      </c>
      <c r="F52" s="488">
        <f>$C$107</f>
        <v>5.0299999999999997E-3</v>
      </c>
      <c r="G52" s="499">
        <f>$F$119</f>
        <v>11.56131529283112</v>
      </c>
      <c r="H52" s="489">
        <f t="shared" si="0"/>
        <v>162.70021161577063</v>
      </c>
    </row>
    <row r="53" spans="2:10" ht="23" hidden="1" customHeight="1" outlineLevel="1">
      <c r="B53" s="2190" t="str">
        <f>B162</f>
        <v>Communes de densité intermédiaire</v>
      </c>
      <c r="C53" s="1692" t="str">
        <f>C162</f>
        <v>Mobilités actives (marche, vélo, etc.)</v>
      </c>
      <c r="D53" s="483">
        <f>D162</f>
        <v>0.26714801444043323</v>
      </c>
      <c r="E53" s="673">
        <f>E162*$C$28*$C$27</f>
        <v>37745322.424791828</v>
      </c>
      <c r="F53" s="484">
        <v>0</v>
      </c>
      <c r="G53" s="498">
        <f>$F$124</f>
        <v>17.634778227018838</v>
      </c>
      <c r="H53" s="485">
        <f t="shared" si="0"/>
        <v>0</v>
      </c>
    </row>
    <row r="54" spans="2:10" ht="23" hidden="1" customHeight="1" outlineLevel="1">
      <c r="B54" s="2191"/>
      <c r="C54" s="1693" t="str">
        <f t="shared" si="1"/>
        <v>Automobile</v>
      </c>
      <c r="D54" s="96">
        <f t="shared" si="1"/>
        <v>0.70758122743682306</v>
      </c>
      <c r="E54" s="53">
        <f>E163*$C$28*$C$27</f>
        <v>99974097.233232394</v>
      </c>
      <c r="F54" s="466">
        <f>$C$97</f>
        <v>0.11612903225806451</v>
      </c>
      <c r="G54" s="99">
        <f>$F$124</f>
        <v>17.634778227018838</v>
      </c>
      <c r="H54" s="486">
        <f t="shared" si="0"/>
        <v>204737.92643084176</v>
      </c>
    </row>
    <row r="55" spans="2:10" ht="23" hidden="1" customHeight="1" outlineLevel="1">
      <c r="B55" s="2191"/>
      <c r="C55" s="1693" t="str">
        <f t="shared" si="1"/>
        <v>Bus</v>
      </c>
      <c r="D55" s="96">
        <f t="shared" si="1"/>
        <v>2.1660649819494584E-2</v>
      </c>
      <c r="E55" s="53">
        <f>E164*$C$28*$C$27</f>
        <v>3060431.5479560937</v>
      </c>
      <c r="F55" s="466">
        <f>$C$99</f>
        <v>0.13700000000000001</v>
      </c>
      <c r="G55" s="99">
        <f>$F$124</f>
        <v>17.634778227018838</v>
      </c>
      <c r="H55" s="486">
        <f t="shared" si="0"/>
        <v>7393.8943329233425</v>
      </c>
    </row>
    <row r="56" spans="2:10" ht="23" hidden="1" customHeight="1" outlineLevel="1" thickBot="1">
      <c r="B56" s="2192"/>
      <c r="C56" s="1694" t="str">
        <f t="shared" si="1"/>
        <v>TER</v>
      </c>
      <c r="D56" s="487">
        <f t="shared" si="1"/>
        <v>3.6101083032490976E-3</v>
      </c>
      <c r="E56" s="674">
        <f>E165*$C$28*$C$27</f>
        <v>510071.92465934897</v>
      </c>
      <c r="F56" s="488">
        <f>$C$105</f>
        <v>3.1699999999999999E-2</v>
      </c>
      <c r="G56" s="499">
        <f>$F$124</f>
        <v>17.634778227018838</v>
      </c>
      <c r="H56" s="489">
        <f t="shared" si="0"/>
        <v>285.14166709692205</v>
      </c>
    </row>
    <row r="57" spans="2:10" ht="23" hidden="1" customHeight="1" outlineLevel="1">
      <c r="B57" s="2190" t="str">
        <f>B166</f>
        <v>Communes peu denses</v>
      </c>
      <c r="C57" s="1692" t="str">
        <f>C166</f>
        <v>Mobilités actives (marche, vélo, etc.)</v>
      </c>
      <c r="D57" s="483">
        <f>D166</f>
        <v>0.14625850340136054</v>
      </c>
      <c r="E57" s="673">
        <f>E166*$C$28*$C$27</f>
        <v>7679270.5515458304</v>
      </c>
      <c r="F57" s="484">
        <v>0</v>
      </c>
      <c r="G57" s="498">
        <f>$F$129</f>
        <v>27.613972735146199</v>
      </c>
      <c r="H57" s="485">
        <f t="shared" si="0"/>
        <v>0</v>
      </c>
    </row>
    <row r="58" spans="2:10" ht="23" hidden="1" customHeight="1" outlineLevel="1">
      <c r="B58" s="2191"/>
      <c r="C58" s="1693" t="str">
        <f t="shared" si="1"/>
        <v>Automobile</v>
      </c>
      <c r="D58" s="96">
        <f t="shared" si="1"/>
        <v>0.84013605442176875</v>
      </c>
      <c r="E58" s="53">
        <f>E167*$C$28*$C$27</f>
        <v>44111158.749577217</v>
      </c>
      <c r="F58" s="466">
        <f>$C$97</f>
        <v>0.11612903225806451</v>
      </c>
      <c r="G58" s="99">
        <f>$F$129</f>
        <v>27.613972735146199</v>
      </c>
      <c r="H58" s="486">
        <f t="shared" si="0"/>
        <v>141454.95503533905</v>
      </c>
    </row>
    <row r="59" spans="2:10" ht="23" hidden="1" customHeight="1" outlineLevel="1">
      <c r="B59" s="2191"/>
      <c r="C59" s="1693" t="str">
        <f t="shared" si="1"/>
        <v>Bus</v>
      </c>
      <c r="D59" s="96">
        <f t="shared" si="1"/>
        <v>1.020408163265306E-2</v>
      </c>
      <c r="E59" s="53">
        <f>E168*$C$28*$C$27</f>
        <v>535763.06173575565</v>
      </c>
      <c r="F59" s="466">
        <f>$C$99</f>
        <v>0.13700000000000001</v>
      </c>
      <c r="G59" s="99">
        <f>$F$129</f>
        <v>27.613972735146199</v>
      </c>
      <c r="H59" s="486">
        <f t="shared" si="0"/>
        <v>2026.8528813599362</v>
      </c>
    </row>
    <row r="60" spans="2:10" ht="23" hidden="1" customHeight="1" outlineLevel="1" thickBot="1">
      <c r="B60" s="2192"/>
      <c r="C60" s="1694" t="str">
        <f t="shared" si="1"/>
        <v>TER</v>
      </c>
      <c r="D60" s="487">
        <f t="shared" si="1"/>
        <v>3.4013605442176869E-3</v>
      </c>
      <c r="E60" s="674">
        <f>E169*$C$28*$C$27</f>
        <v>178587.68724525187</v>
      </c>
      <c r="F60" s="488">
        <f>$C$105</f>
        <v>3.1699999999999999E-2</v>
      </c>
      <c r="G60" s="499">
        <f>$F$129</f>
        <v>27.613972735146199</v>
      </c>
      <c r="H60" s="489">
        <f t="shared" si="0"/>
        <v>156.3290421876155</v>
      </c>
      <c r="I60"/>
    </row>
    <row r="61" spans="2:10" ht="23" hidden="1" customHeight="1" outlineLevel="1">
      <c r="B61" s="2193" t="str">
        <f>B170</f>
        <v>Communes très peu denses</v>
      </c>
      <c r="C61" s="1697" t="str">
        <f>C170</f>
        <v>Mobilités actives (marche, vélo, etc.)</v>
      </c>
      <c r="D61" s="1698">
        <f>D170</f>
        <v>8.3333333333333329E-2</v>
      </c>
      <c r="E61" s="1699">
        <f>E170*$C$28*$C$27</f>
        <v>903648.08541773004</v>
      </c>
      <c r="F61" s="1700">
        <v>0</v>
      </c>
      <c r="G61" s="1540">
        <f>$F$133</f>
        <v>45.95</v>
      </c>
      <c r="H61" s="1701">
        <f t="shared" si="0"/>
        <v>0</v>
      </c>
      <c r="I61"/>
    </row>
    <row r="62" spans="2:10" ht="23" hidden="1" customHeight="1" outlineLevel="1">
      <c r="B62" s="2191"/>
      <c r="C62" s="1693" t="str">
        <f t="shared" si="1"/>
        <v>Automobile</v>
      </c>
      <c r="D62" s="96">
        <f t="shared" si="1"/>
        <v>0.875</v>
      </c>
      <c r="E62" s="53">
        <f>E171*$C$28*$C$27</f>
        <v>9488304.8968861643</v>
      </c>
      <c r="F62" s="466">
        <f>$C$97</f>
        <v>0.11612903225806451</v>
      </c>
      <c r="G62" s="99">
        <f>$F$133</f>
        <v>45.95</v>
      </c>
      <c r="H62" s="486">
        <f t="shared" si="0"/>
        <v>50630.819227190623</v>
      </c>
      <c r="I62"/>
    </row>
    <row r="63" spans="2:10" ht="23" hidden="1" customHeight="1" outlineLevel="1" thickBot="1">
      <c r="B63" s="2192"/>
      <c r="C63" s="1694" t="str">
        <f t="shared" si="1"/>
        <v>Bus</v>
      </c>
      <c r="D63" s="487">
        <f t="shared" si="1"/>
        <v>4.1666666666666664E-2</v>
      </c>
      <c r="E63" s="674">
        <f>E172*$C$28*$C$27</f>
        <v>451824.04270886502</v>
      </c>
      <c r="F63" s="488">
        <f>$C$99</f>
        <v>0.13700000000000001</v>
      </c>
      <c r="G63" s="499">
        <f>$F$133</f>
        <v>45.95</v>
      </c>
      <c r="H63" s="489">
        <f t="shared" si="0"/>
        <v>2844.3001224587119</v>
      </c>
      <c r="I63"/>
      <c r="J63"/>
    </row>
    <row r="64" spans="2:10" ht="23" hidden="1" customHeight="1" outlineLevel="1" thickBot="1">
      <c r="B64" s="10"/>
      <c r="C64" s="10"/>
      <c r="D64" s="10"/>
      <c r="E64" s="10"/>
      <c r="G64" s="671" t="s">
        <v>139</v>
      </c>
      <c r="H64" s="672">
        <f>SUM(H49:H63)</f>
        <v>429157.18102876877</v>
      </c>
      <c r="J64"/>
    </row>
    <row r="65" spans="2:10" ht="26" customHeight="1" collapsed="1">
      <c r="B65" s="65"/>
      <c r="J65"/>
    </row>
    <row r="66" spans="2:10" ht="25" customHeight="1">
      <c r="B66" s="427" t="s">
        <v>490</v>
      </c>
      <c r="J66"/>
    </row>
    <row r="67" spans="2:10" ht="20">
      <c r="B67" s="427"/>
      <c r="J67"/>
    </row>
    <row r="68" spans="2:10" ht="24" customHeight="1" thickBot="1">
      <c r="B68" s="32" t="s">
        <v>496</v>
      </c>
      <c r="J68"/>
    </row>
    <row r="69" spans="2:10" ht="22" customHeight="1" thickBot="1">
      <c r="B69" s="427"/>
      <c r="D69"/>
      <c r="E69"/>
      <c r="F69"/>
      <c r="G69"/>
      <c r="J69"/>
    </row>
    <row r="70" spans="2:10" ht="37" customHeight="1" thickBot="1">
      <c r="B70" s="261"/>
      <c r="C70" s="504"/>
      <c r="D70" s="520" t="str">
        <f>B49</f>
        <v>Communes densément peuplées</v>
      </c>
      <c r="E70" s="520" t="str">
        <f>B53</f>
        <v>Communes de densité intermédiaire</v>
      </c>
      <c r="F70" s="520" t="str">
        <f>B57</f>
        <v>Communes peu denses</v>
      </c>
      <c r="G70" s="508" t="str">
        <f>B61</f>
        <v>Communes très peu denses</v>
      </c>
      <c r="J70"/>
    </row>
    <row r="71" spans="2:10" ht="40" customHeight="1" thickBot="1">
      <c r="B71" s="503" t="s">
        <v>343</v>
      </c>
      <c r="C71" s="505" t="s">
        <v>343</v>
      </c>
      <c r="D71" s="521">
        <f>SUM(E158:E161)</f>
        <v>360007.89742804418</v>
      </c>
      <c r="E71" s="521">
        <f>SUM(E162:E165)</f>
        <v>1766124.0391329958</v>
      </c>
      <c r="F71" s="521">
        <f>SUM(E166:E169)</f>
        <v>656309.75062630069</v>
      </c>
      <c r="G71" s="509">
        <f>SUM(E170:E172)</f>
        <v>135547.21281265951</v>
      </c>
      <c r="J71"/>
    </row>
    <row r="72" spans="2:10" ht="40" customHeight="1">
      <c r="B72" s="2197" t="s">
        <v>344</v>
      </c>
      <c r="C72" s="506" t="s">
        <v>495</v>
      </c>
      <c r="D72" s="522">
        <f>$C$28*$C$27</f>
        <v>80</v>
      </c>
      <c r="E72" s="522">
        <f>$C$28*$C$27</f>
        <v>80</v>
      </c>
      <c r="F72" s="522">
        <f>$C$28*$C$27</f>
        <v>80</v>
      </c>
      <c r="G72" s="510">
        <f>$C$28*$C$27</f>
        <v>80</v>
      </c>
      <c r="J72"/>
    </row>
    <row r="73" spans="2:10" ht="40" customHeight="1" thickBot="1">
      <c r="B73" s="2198"/>
      <c r="C73" s="507" t="s">
        <v>494</v>
      </c>
      <c r="D73" s="523">
        <f>F119</f>
        <v>11.56131529283112</v>
      </c>
      <c r="E73" s="523">
        <f>F124</f>
        <v>17.634778227018838</v>
      </c>
      <c r="F73" s="523">
        <f>F129</f>
        <v>27.613972735146199</v>
      </c>
      <c r="G73" s="511">
        <f>F133</f>
        <v>45.95</v>
      </c>
      <c r="J73"/>
    </row>
    <row r="74" spans="2:10" ht="40" customHeight="1">
      <c r="B74" s="2194" t="s">
        <v>57</v>
      </c>
      <c r="C74" s="298" t="s">
        <v>345</v>
      </c>
      <c r="D74" s="524">
        <f>D50</f>
        <v>0.5</v>
      </c>
      <c r="E74" s="532">
        <f>D54</f>
        <v>0.70758122743682306</v>
      </c>
      <c r="F74" s="524">
        <f>D58</f>
        <v>0.84013605442176875</v>
      </c>
      <c r="G74" s="512">
        <f>D62</f>
        <v>0.875</v>
      </c>
      <c r="J74"/>
    </row>
    <row r="75" spans="2:10" ht="40" customHeight="1">
      <c r="B75" s="2195"/>
      <c r="C75" s="304" t="s">
        <v>201</v>
      </c>
      <c r="D75" s="525">
        <f>D51</f>
        <v>2.8571428571428571E-3</v>
      </c>
      <c r="E75" s="533">
        <f>D55</f>
        <v>2.1660649819494584E-2</v>
      </c>
      <c r="F75" s="526">
        <f>D59</f>
        <v>1.020408163265306E-2</v>
      </c>
      <c r="G75" s="513">
        <f>D63</f>
        <v>4.1666666666666664E-2</v>
      </c>
      <c r="J75"/>
    </row>
    <row r="76" spans="2:10" ht="40" customHeight="1">
      <c r="B76" s="2195"/>
      <c r="C76" s="304" t="s">
        <v>551</v>
      </c>
      <c r="D76" s="526">
        <f>D52</f>
        <v>9.7142857142857142E-2</v>
      </c>
      <c r="E76" s="534">
        <f>D56</f>
        <v>3.6101083032490976E-3</v>
      </c>
      <c r="F76" s="526">
        <f>D60</f>
        <v>3.4013605442176869E-3</v>
      </c>
      <c r="G76" s="514">
        <v>0</v>
      </c>
      <c r="J76"/>
    </row>
    <row r="77" spans="2:10" ht="40" customHeight="1" thickBot="1">
      <c r="B77" s="2196"/>
      <c r="C77" s="311" t="s">
        <v>1700</v>
      </c>
      <c r="D77" s="527">
        <f>D49</f>
        <v>0.4</v>
      </c>
      <c r="E77" s="535">
        <f>D53</f>
        <v>0.26714801444043323</v>
      </c>
      <c r="F77" s="527">
        <f>D57</f>
        <v>0.14625850340136054</v>
      </c>
      <c r="G77" s="515">
        <f>D61</f>
        <v>8.3333333333333329E-2</v>
      </c>
      <c r="J77"/>
    </row>
    <row r="78" spans="2:10" ht="40" customHeight="1">
      <c r="B78" s="2194" t="s">
        <v>346</v>
      </c>
      <c r="C78" s="298" t="s">
        <v>446</v>
      </c>
      <c r="D78" s="528">
        <f>$C$97</f>
        <v>0.11612903225806451</v>
      </c>
      <c r="E78" s="528">
        <f>$C$97</f>
        <v>0.11612903225806451</v>
      </c>
      <c r="F78" s="528">
        <f>$C$97</f>
        <v>0.11612903225806451</v>
      </c>
      <c r="G78" s="516">
        <f>$C$97</f>
        <v>0.11612903225806451</v>
      </c>
      <c r="J78"/>
    </row>
    <row r="79" spans="2:10" ht="40" customHeight="1">
      <c r="B79" s="2195"/>
      <c r="C79" s="304" t="s">
        <v>447</v>
      </c>
      <c r="D79" s="529">
        <f>$C$99</f>
        <v>0.13700000000000001</v>
      </c>
      <c r="E79" s="529">
        <f>$C$99</f>
        <v>0.13700000000000001</v>
      </c>
      <c r="F79" s="529">
        <f>$C$99</f>
        <v>0.13700000000000001</v>
      </c>
      <c r="G79" s="517">
        <f>$C$99</f>
        <v>0.13700000000000001</v>
      </c>
      <c r="J79"/>
    </row>
    <row r="80" spans="2:10" ht="40" customHeight="1">
      <c r="B80" s="2195"/>
      <c r="C80" s="304" t="s">
        <v>491</v>
      </c>
      <c r="D80" s="529">
        <f>$C$107</f>
        <v>5.0299999999999997E-3</v>
      </c>
      <c r="E80" s="529">
        <f>$C$107</f>
        <v>5.0299999999999997E-3</v>
      </c>
      <c r="F80" s="529">
        <f>$C$107</f>
        <v>5.0299999999999997E-3</v>
      </c>
      <c r="G80" s="517">
        <f>$C$107</f>
        <v>5.0299999999999997E-3</v>
      </c>
      <c r="J80"/>
    </row>
    <row r="81" spans="2:10" ht="40" customHeight="1" thickBot="1">
      <c r="B81" s="2196"/>
      <c r="C81" s="311" t="s">
        <v>448</v>
      </c>
      <c r="D81" s="530">
        <v>0</v>
      </c>
      <c r="E81" s="530">
        <v>0</v>
      </c>
      <c r="F81" s="530">
        <v>0</v>
      </c>
      <c r="G81" s="518">
        <v>0</v>
      </c>
      <c r="J81"/>
    </row>
    <row r="82" spans="2:10" ht="40" customHeight="1" thickBot="1">
      <c r="B82" s="2199" t="s">
        <v>347</v>
      </c>
      <c r="C82" s="2200"/>
      <c r="D82" s="531">
        <f>SUMPRODUCT(D74:D77,D78:D81)*D73*D72*D71/1000</f>
        <v>19626.962289370804</v>
      </c>
      <c r="E82" s="531">
        <f t="shared" ref="E82:G82" si="2">SUMPRODUCT(E74:E77,E78:E81)*E73*E72*E71/1000</f>
        <v>212177.06564027924</v>
      </c>
      <c r="F82" s="531">
        <f t="shared" si="2"/>
        <v>143506.6134397969</v>
      </c>
      <c r="G82" s="519">
        <f t="shared" si="2"/>
        <v>53475.119349649343</v>
      </c>
      <c r="J82"/>
    </row>
    <row r="83" spans="2:10" ht="40" customHeight="1" thickBot="1">
      <c r="B83" s="2199" t="s">
        <v>489</v>
      </c>
      <c r="C83" s="2200"/>
      <c r="D83" s="531">
        <f>SUM(D82:G82)</f>
        <v>428785.76071909629</v>
      </c>
      <c r="E83" s="9"/>
      <c r="F83" s="9"/>
      <c r="G83" s="9"/>
      <c r="J83"/>
    </row>
    <row r="84" spans="2:10" ht="26" customHeight="1">
      <c r="B84"/>
      <c r="J84"/>
    </row>
    <row r="85" spans="2:10" ht="26" customHeight="1" thickBot="1">
      <c r="B85" s="427"/>
      <c r="J85"/>
    </row>
    <row r="86" spans="2:10" ht="26" customHeight="1" thickBot="1">
      <c r="B86" s="501" t="s">
        <v>106</v>
      </c>
      <c r="C86" s="502">
        <f>D83</f>
        <v>428785.76071909629</v>
      </c>
      <c r="D86" s="502" t="s">
        <v>123</v>
      </c>
      <c r="J86"/>
    </row>
    <row r="87" spans="2:10" ht="18" customHeight="1">
      <c r="B87" s="427"/>
      <c r="J87"/>
    </row>
    <row r="88" spans="2:10" ht="18" customHeight="1">
      <c r="B88" s="427"/>
      <c r="J88"/>
    </row>
    <row r="89" spans="2:10" ht="18" customHeight="1">
      <c r="G89" s="43"/>
      <c r="H89" s="43"/>
      <c r="I89" s="43"/>
      <c r="J89" s="43"/>
    </row>
    <row r="90" spans="2:10" ht="18" customHeight="1"/>
    <row r="91" spans="2:10" ht="18" customHeight="1">
      <c r="B91"/>
      <c r="C91"/>
      <c r="D91"/>
    </row>
    <row r="92" spans="2:10" ht="23">
      <c r="B92" s="378" t="s">
        <v>431</v>
      </c>
    </row>
    <row r="93" spans="2:10" hidden="1" outlineLevel="1"/>
    <row r="94" spans="2:10" ht="20" hidden="1" outlineLevel="1">
      <c r="B94" s="443" t="s">
        <v>432</v>
      </c>
    </row>
    <row r="95" spans="2:10" hidden="1" outlineLevel="1"/>
    <row r="96" spans="2:10" ht="18" hidden="1" customHeight="1" outlineLevel="1">
      <c r="B96" s="41" t="s">
        <v>16</v>
      </c>
      <c r="C96" s="41" t="s">
        <v>17</v>
      </c>
      <c r="D96" s="41" t="s">
        <v>18</v>
      </c>
      <c r="E96" s="41" t="s">
        <v>19</v>
      </c>
      <c r="F96" s="4"/>
      <c r="G96" s="65" t="s">
        <v>59</v>
      </c>
      <c r="H96" s="10"/>
      <c r="I96" s="10"/>
      <c r="J96"/>
    </row>
    <row r="97" spans="2:10" ht="18" hidden="1" customHeight="1" outlineLevel="1">
      <c r="B97" s="34" t="s">
        <v>60</v>
      </c>
      <c r="C97" s="72">
        <f>H100</f>
        <v>0.11612903225806451</v>
      </c>
      <c r="D97" s="34" t="s">
        <v>80</v>
      </c>
      <c r="E97" s="17" t="s">
        <v>62</v>
      </c>
      <c r="F97" s="4"/>
      <c r="G97" s="57"/>
      <c r="H97" s="41" t="s">
        <v>63</v>
      </c>
      <c r="I97" s="463" t="s">
        <v>26</v>
      </c>
      <c r="J97"/>
    </row>
    <row r="98" spans="2:10" ht="18" hidden="1" customHeight="1" outlineLevel="1">
      <c r="B98" s="34" t="s">
        <v>68</v>
      </c>
      <c r="C98" s="69">
        <v>0.14599999999999999</v>
      </c>
      <c r="D98" s="34" t="s">
        <v>61</v>
      </c>
      <c r="E98" s="34" t="s">
        <v>49</v>
      </c>
      <c r="F98" s="4"/>
      <c r="G98" s="17" t="s">
        <v>66</v>
      </c>
      <c r="H98" s="243">
        <v>0.216</v>
      </c>
      <c r="I98" s="464"/>
      <c r="J98"/>
    </row>
    <row r="99" spans="2:10" ht="18" hidden="1" customHeight="1" outlineLevel="1">
      <c r="B99" s="34" t="s">
        <v>71</v>
      </c>
      <c r="C99" s="69">
        <v>0.13700000000000001</v>
      </c>
      <c r="D99" s="34" t="s">
        <v>61</v>
      </c>
      <c r="E99" s="34" t="s">
        <v>49</v>
      </c>
      <c r="F99" s="4"/>
      <c r="G99" s="17" t="s">
        <v>69</v>
      </c>
      <c r="H99" s="253">
        <v>1.86</v>
      </c>
      <c r="I99" s="470" t="s">
        <v>1555</v>
      </c>
      <c r="J99"/>
    </row>
    <row r="100" spans="2:10" ht="18" hidden="1" customHeight="1" outlineLevel="1">
      <c r="B100" s="34" t="s">
        <v>73</v>
      </c>
      <c r="C100" s="69">
        <v>0.129</v>
      </c>
      <c r="D100" s="34" t="s">
        <v>61</v>
      </c>
      <c r="E100" s="34" t="s">
        <v>49</v>
      </c>
      <c r="F100" s="4"/>
      <c r="G100" s="17" t="s">
        <v>72</v>
      </c>
      <c r="H100" s="243">
        <f>H98/H99</f>
        <v>0.11612903225806451</v>
      </c>
      <c r="I100" s="464"/>
      <c r="J100"/>
    </row>
    <row r="101" spans="2:10" ht="18" hidden="1" customHeight="1" outlineLevel="1">
      <c r="B101" s="34" t="s">
        <v>74</v>
      </c>
      <c r="C101" s="69">
        <v>2.9499999999999998E-2</v>
      </c>
      <c r="D101" s="34" t="s">
        <v>61</v>
      </c>
      <c r="E101" s="34" t="s">
        <v>49</v>
      </c>
      <c r="F101"/>
    </row>
    <row r="102" spans="2:10" ht="18" hidden="1" customHeight="1" outlineLevel="1">
      <c r="B102" s="34" t="s">
        <v>75</v>
      </c>
      <c r="C102" s="69">
        <v>0.25800000000000001</v>
      </c>
      <c r="D102" s="34" t="s">
        <v>61</v>
      </c>
      <c r="E102" s="34" t="s">
        <v>49</v>
      </c>
      <c r="F102"/>
    </row>
    <row r="103" spans="2:10" ht="18" hidden="1" customHeight="1" outlineLevel="1">
      <c r="B103" s="34" t="s">
        <v>76</v>
      </c>
      <c r="C103" s="69">
        <v>0.187</v>
      </c>
      <c r="D103" s="34" t="s">
        <v>61</v>
      </c>
      <c r="E103" s="34" t="s">
        <v>49</v>
      </c>
      <c r="F103"/>
    </row>
    <row r="104" spans="2:10" ht="18" hidden="1" customHeight="1" outlineLevel="1">
      <c r="B104" s="34" t="s">
        <v>77</v>
      </c>
      <c r="C104" s="69">
        <v>0.152</v>
      </c>
      <c r="D104" s="34" t="s">
        <v>61</v>
      </c>
      <c r="E104" s="34" t="s">
        <v>49</v>
      </c>
      <c r="F104"/>
    </row>
    <row r="105" spans="2:10" ht="18" hidden="1" customHeight="1" outlineLevel="1">
      <c r="B105" s="34" t="s">
        <v>58</v>
      </c>
      <c r="C105" s="69">
        <v>3.1699999999999999E-2</v>
      </c>
      <c r="D105" s="34" t="s">
        <v>61</v>
      </c>
      <c r="E105" s="34" t="s">
        <v>49</v>
      </c>
      <c r="F105"/>
    </row>
    <row r="106" spans="2:10" ht="18" hidden="1" customHeight="1" outlineLevel="1">
      <c r="B106" s="34" t="s">
        <v>78</v>
      </c>
      <c r="C106" s="69">
        <f>3.34*10^-3</f>
        <v>3.3400000000000001E-3</v>
      </c>
      <c r="D106" s="34" t="s">
        <v>61</v>
      </c>
      <c r="E106" s="34" t="s">
        <v>49</v>
      </c>
      <c r="F106"/>
    </row>
    <row r="107" spans="2:10" ht="18" hidden="1" customHeight="1" outlineLevel="1">
      <c r="B107" s="68" t="s">
        <v>478</v>
      </c>
      <c r="C107" s="467">
        <v>5.0299999999999997E-3</v>
      </c>
      <c r="D107" s="68" t="s">
        <v>61</v>
      </c>
      <c r="E107" s="1114" t="s">
        <v>479</v>
      </c>
      <c r="F107" s="43"/>
    </row>
    <row r="108" spans="2:10" hidden="1" outlineLevel="1"/>
    <row r="109" spans="2:10" hidden="1" outlineLevel="1"/>
    <row r="110" spans="2:10" ht="20" hidden="1" outlineLevel="1">
      <c r="B110" s="443" t="s">
        <v>1559</v>
      </c>
    </row>
    <row r="111" spans="2:10" ht="19" hidden="1" customHeight="1" outlineLevel="1">
      <c r="B111"/>
      <c r="C111"/>
      <c r="D111"/>
      <c r="E111"/>
      <c r="F111"/>
      <c r="G111"/>
    </row>
    <row r="112" spans="2:10" ht="19" hidden="1" customHeight="1" outlineLevel="1">
      <c r="B112" s="121" t="s">
        <v>265</v>
      </c>
      <c r="C112"/>
      <c r="D112"/>
      <c r="E112"/>
      <c r="F112"/>
      <c r="G112"/>
      <c r="H112"/>
    </row>
    <row r="113" spans="2:8" ht="19" hidden="1" customHeight="1" outlineLevel="1">
      <c r="B113" s="425" t="s">
        <v>1560</v>
      </c>
      <c r="C113"/>
      <c r="D113"/>
      <c r="E113"/>
      <c r="F113"/>
      <c r="G113"/>
      <c r="H113"/>
    </row>
    <row r="114" spans="2:8" ht="38" hidden="1" customHeight="1" outlineLevel="1">
      <c r="B114" s="858" t="s">
        <v>183</v>
      </c>
      <c r="C114" s="858" t="s">
        <v>465</v>
      </c>
      <c r="D114" s="858" t="s">
        <v>466</v>
      </c>
      <c r="E114" s="858" t="s">
        <v>89</v>
      </c>
      <c r="F114" s="1137" t="s">
        <v>486</v>
      </c>
      <c r="G114"/>
      <c r="H114"/>
    </row>
    <row r="115" spans="2:8" ht="19" hidden="1" customHeight="1" outlineLevel="1">
      <c r="B115" s="2186" t="s">
        <v>461</v>
      </c>
      <c r="C115" s="444" t="s">
        <v>467</v>
      </c>
      <c r="D115" s="496">
        <v>140</v>
      </c>
      <c r="E115" s="497">
        <f>D115/$D$119</f>
        <v>0.4</v>
      </c>
      <c r="F115" s="1689"/>
      <c r="G115"/>
      <c r="H115"/>
    </row>
    <row r="116" spans="2:8" ht="19" hidden="1" customHeight="1" outlineLevel="1">
      <c r="B116" s="2186"/>
      <c r="C116" s="444" t="s">
        <v>468</v>
      </c>
      <c r="D116" s="496">
        <v>175</v>
      </c>
      <c r="E116" s="497">
        <f t="shared" ref="E116:E118" si="3">D116/$D$119</f>
        <v>0.5</v>
      </c>
      <c r="F116" s="1689"/>
      <c r="G116"/>
      <c r="H116"/>
    </row>
    <row r="117" spans="2:8" ht="19" hidden="1" customHeight="1" outlineLevel="1">
      <c r="B117" s="2186"/>
      <c r="C117" s="444" t="s">
        <v>469</v>
      </c>
      <c r="D117" s="496">
        <v>1</v>
      </c>
      <c r="E117" s="497">
        <f t="shared" si="3"/>
        <v>2.8571428571428571E-3</v>
      </c>
      <c r="F117" s="1689"/>
      <c r="G117"/>
      <c r="H117"/>
    </row>
    <row r="118" spans="2:8" ht="19" hidden="1" customHeight="1" outlineLevel="1">
      <c r="B118" s="2186"/>
      <c r="C118" s="444" t="s">
        <v>476</v>
      </c>
      <c r="D118" s="496">
        <v>34</v>
      </c>
      <c r="E118" s="497">
        <f t="shared" si="3"/>
        <v>9.7142857142857142E-2</v>
      </c>
      <c r="F118" s="1689"/>
      <c r="G118"/>
      <c r="H118"/>
    </row>
    <row r="119" spans="2:8" ht="19" hidden="1" customHeight="1" outlineLevel="1">
      <c r="B119" s="858"/>
      <c r="C119" s="117" t="s">
        <v>139</v>
      </c>
      <c r="D119" s="117">
        <f>SUM(D115:D118)</f>
        <v>350</v>
      </c>
      <c r="E119" s="1690">
        <f>SUM(E115:E118)</f>
        <v>1</v>
      </c>
      <c r="F119" s="1691">
        <f>5.78065764641556*2</f>
        <v>11.56131529283112</v>
      </c>
      <c r="G119"/>
      <c r="H119"/>
    </row>
    <row r="120" spans="2:8" ht="19" hidden="1" customHeight="1" outlineLevel="1">
      <c r="B120" s="2185" t="s">
        <v>462</v>
      </c>
      <c r="C120" s="444" t="s">
        <v>467</v>
      </c>
      <c r="D120" s="496">
        <v>74</v>
      </c>
      <c r="E120" s="497">
        <f>D120/$D$124</f>
        <v>0.26714801444043323</v>
      </c>
      <c r="F120" s="1689"/>
      <c r="G120"/>
      <c r="H120"/>
    </row>
    <row r="121" spans="2:8" ht="19" hidden="1" customHeight="1" outlineLevel="1">
      <c r="B121" s="2186"/>
      <c r="C121" s="444" t="s">
        <v>468</v>
      </c>
      <c r="D121" s="496">
        <v>196</v>
      </c>
      <c r="E121" s="497">
        <f t="shared" ref="E121:E123" si="4">D121/$D$124</f>
        <v>0.70758122743682306</v>
      </c>
      <c r="F121" s="1689"/>
      <c r="G121"/>
      <c r="H121"/>
    </row>
    <row r="122" spans="2:8" ht="19" hidden="1" customHeight="1" outlineLevel="1">
      <c r="B122" s="2186"/>
      <c r="C122" s="444" t="s">
        <v>469</v>
      </c>
      <c r="D122" s="496">
        <v>6</v>
      </c>
      <c r="E122" s="497">
        <f t="shared" si="4"/>
        <v>2.1660649819494584E-2</v>
      </c>
      <c r="F122" s="1689"/>
      <c r="G122"/>
      <c r="H122"/>
    </row>
    <row r="123" spans="2:8" ht="19" hidden="1" customHeight="1" outlineLevel="1">
      <c r="B123" s="2186"/>
      <c r="C123" s="444" t="s">
        <v>79</v>
      </c>
      <c r="D123" s="496">
        <v>1</v>
      </c>
      <c r="E123" s="497">
        <f t="shared" si="4"/>
        <v>3.6101083032490976E-3</v>
      </c>
      <c r="F123" s="183"/>
      <c r="G123"/>
      <c r="H123"/>
    </row>
    <row r="124" spans="2:8" ht="19" hidden="1" customHeight="1" outlineLevel="1">
      <c r="B124" s="1650"/>
      <c r="C124" s="117" t="s">
        <v>139</v>
      </c>
      <c r="D124" s="117">
        <f>SUM(D120:D123)</f>
        <v>277</v>
      </c>
      <c r="E124" s="1690">
        <f>SUM(E120:E123)</f>
        <v>1</v>
      </c>
      <c r="F124" s="1691">
        <f>8.81738911350942*2</f>
        <v>17.634778227018838</v>
      </c>
      <c r="G124"/>
      <c r="H124"/>
    </row>
    <row r="125" spans="2:8" ht="19" hidden="1" customHeight="1" outlineLevel="1">
      <c r="B125" s="2185" t="s">
        <v>463</v>
      </c>
      <c r="C125" s="444" t="s">
        <v>467</v>
      </c>
      <c r="D125" s="496">
        <v>43</v>
      </c>
      <c r="E125" s="497">
        <f>D125/$D$129</f>
        <v>0.14625850340136054</v>
      </c>
      <c r="F125" s="1689"/>
      <c r="G125"/>
      <c r="H125"/>
    </row>
    <row r="126" spans="2:8" ht="19" hidden="1" customHeight="1" outlineLevel="1">
      <c r="B126" s="2186"/>
      <c r="C126" s="444" t="s">
        <v>468</v>
      </c>
      <c r="D126" s="496">
        <v>247</v>
      </c>
      <c r="E126" s="497">
        <f t="shared" ref="E126:E128" si="5">D126/$D$129</f>
        <v>0.84013605442176875</v>
      </c>
      <c r="F126" s="1689"/>
      <c r="G126"/>
      <c r="H126"/>
    </row>
    <row r="127" spans="2:8" ht="19" hidden="1" customHeight="1" outlineLevel="1">
      <c r="B127" s="2186"/>
      <c r="C127" s="444" t="s">
        <v>469</v>
      </c>
      <c r="D127" s="496">
        <v>3</v>
      </c>
      <c r="E127" s="497">
        <f t="shared" si="5"/>
        <v>1.020408163265306E-2</v>
      </c>
      <c r="F127" s="1689"/>
      <c r="G127"/>
      <c r="H127"/>
    </row>
    <row r="128" spans="2:8" ht="19" hidden="1" customHeight="1" outlineLevel="1">
      <c r="B128" s="2186"/>
      <c r="C128" s="444" t="s">
        <v>79</v>
      </c>
      <c r="D128" s="496">
        <v>1</v>
      </c>
      <c r="E128" s="497">
        <f t="shared" si="5"/>
        <v>3.4013605442176869E-3</v>
      </c>
      <c r="F128" s="1689"/>
      <c r="G128"/>
      <c r="H128"/>
    </row>
    <row r="129" spans="2:8" ht="19" hidden="1" customHeight="1" outlineLevel="1">
      <c r="B129" s="1650"/>
      <c r="C129" s="117" t="s">
        <v>139</v>
      </c>
      <c r="D129" s="117">
        <f>SUM(D125:D128)</f>
        <v>294</v>
      </c>
      <c r="E129" s="1690">
        <f>SUM(E125:E128)</f>
        <v>1</v>
      </c>
      <c r="F129" s="1691">
        <f>13.8069863675731*2</f>
        <v>27.613972735146199</v>
      </c>
      <c r="G129"/>
      <c r="H129"/>
    </row>
    <row r="130" spans="2:8" ht="19" hidden="1" customHeight="1" outlineLevel="1">
      <c r="B130" s="2185" t="s">
        <v>464</v>
      </c>
      <c r="C130" s="444" t="s">
        <v>467</v>
      </c>
      <c r="D130" s="496">
        <v>2</v>
      </c>
      <c r="E130" s="497">
        <f>D130/$D$133</f>
        <v>8.3333333333333329E-2</v>
      </c>
      <c r="F130" s="1689"/>
      <c r="G130"/>
      <c r="H130"/>
    </row>
    <row r="131" spans="2:8" ht="19" hidden="1" customHeight="1" outlineLevel="1">
      <c r="B131" s="2186"/>
      <c r="C131" s="444" t="s">
        <v>468</v>
      </c>
      <c r="D131" s="496">
        <v>21</v>
      </c>
      <c r="E131" s="497">
        <f>D131/$D$133</f>
        <v>0.875</v>
      </c>
      <c r="F131" s="1689"/>
      <c r="G131"/>
      <c r="H131"/>
    </row>
    <row r="132" spans="2:8" ht="19" hidden="1" customHeight="1" outlineLevel="1">
      <c r="B132" s="2186"/>
      <c r="C132" s="444" t="s">
        <v>201</v>
      </c>
      <c r="D132" s="496">
        <v>1</v>
      </c>
      <c r="E132" s="497">
        <f>D132/$D$133</f>
        <v>4.1666666666666664E-2</v>
      </c>
      <c r="F132" s="1689"/>
      <c r="G132"/>
      <c r="H132"/>
    </row>
    <row r="133" spans="2:8" ht="19" hidden="1" customHeight="1" outlineLevel="1">
      <c r="B133" s="496"/>
      <c r="C133" s="117" t="s">
        <v>139</v>
      </c>
      <c r="D133" s="117">
        <f>SUM(D130:D132)</f>
        <v>24</v>
      </c>
      <c r="E133" s="1690">
        <f>SUM(E130:E132)</f>
        <v>1</v>
      </c>
      <c r="F133" s="1691">
        <f>22.975*2</f>
        <v>45.95</v>
      </c>
      <c r="G133"/>
      <c r="H133"/>
    </row>
    <row r="134" spans="2:8" ht="19" hidden="1" customHeight="1" outlineLevel="1">
      <c r="B134"/>
      <c r="C134" s="454"/>
      <c r="D134" s="454"/>
      <c r="E134" s="455"/>
      <c r="F134"/>
      <c r="G134"/>
      <c r="H134"/>
    </row>
    <row r="135" spans="2:8" ht="19" hidden="1" customHeight="1" outlineLevel="1">
      <c r="B135" s="452" t="s">
        <v>482</v>
      </c>
      <c r="C135"/>
      <c r="D135"/>
      <c r="E135"/>
      <c r="F135"/>
      <c r="G135"/>
      <c r="H135"/>
    </row>
    <row r="136" spans="2:8" ht="19" hidden="1" customHeight="1" outlineLevel="1">
      <c r="B136" s="425"/>
      <c r="C136" s="9"/>
      <c r="D136" s="9"/>
      <c r="E136" s="858" t="s">
        <v>474</v>
      </c>
      <c r="F136" s="859" t="s">
        <v>297</v>
      </c>
      <c r="G136"/>
      <c r="H136"/>
    </row>
    <row r="137" spans="2:8" ht="19" hidden="1" customHeight="1" outlineLevel="1">
      <c r="B137" s="2187" t="s">
        <v>183</v>
      </c>
      <c r="C137" s="2188" t="s">
        <v>470</v>
      </c>
      <c r="D137" s="456" t="s">
        <v>184</v>
      </c>
      <c r="E137" s="457">
        <v>0</v>
      </c>
      <c r="F137" s="458">
        <v>0.15755871650678135</v>
      </c>
      <c r="G137"/>
      <c r="H137"/>
    </row>
    <row r="138" spans="2:8" ht="19" hidden="1" customHeight="1" outlineLevel="1">
      <c r="B138" s="2187"/>
      <c r="C138" s="2188"/>
      <c r="D138" s="456" t="s">
        <v>186</v>
      </c>
      <c r="E138" s="457">
        <v>3142</v>
      </c>
      <c r="F138" s="458">
        <v>0.10393648693350976</v>
      </c>
      <c r="G138"/>
      <c r="H138"/>
    </row>
    <row r="139" spans="2:8" ht="19" hidden="1" customHeight="1" outlineLevel="1">
      <c r="B139" s="2187"/>
      <c r="C139" s="2188" t="s">
        <v>471</v>
      </c>
      <c r="D139" s="456" t="s">
        <v>185</v>
      </c>
      <c r="E139" s="457">
        <v>8123</v>
      </c>
      <c r="F139" s="458">
        <v>0.26870658286470395</v>
      </c>
      <c r="G139"/>
      <c r="H139"/>
    </row>
    <row r="140" spans="2:8" ht="19" hidden="1" customHeight="1" outlineLevel="1">
      <c r="B140" s="2187"/>
      <c r="C140" s="2189"/>
      <c r="D140" s="456" t="s">
        <v>188</v>
      </c>
      <c r="E140" s="457">
        <v>7291</v>
      </c>
      <c r="F140" s="458">
        <v>0.24118425405226596</v>
      </c>
      <c r="G140"/>
      <c r="H140"/>
    </row>
    <row r="141" spans="2:8" ht="19" hidden="1" customHeight="1" outlineLevel="1">
      <c r="B141" s="2187"/>
      <c r="C141" s="2188" t="s">
        <v>472</v>
      </c>
      <c r="D141" s="456" t="s">
        <v>187</v>
      </c>
      <c r="E141" s="457">
        <v>3592</v>
      </c>
      <c r="F141" s="458">
        <v>0.11882236189216011</v>
      </c>
      <c r="G141"/>
      <c r="H141"/>
    </row>
    <row r="142" spans="2:8" ht="19" hidden="1" customHeight="1" outlineLevel="1">
      <c r="B142" s="2187"/>
      <c r="C142" s="2189"/>
      <c r="D142" s="459" t="s">
        <v>190</v>
      </c>
      <c r="E142" s="457">
        <v>2136</v>
      </c>
      <c r="F142" s="458">
        <v>7.0658286470393655E-2</v>
      </c>
      <c r="G142"/>
    </row>
    <row r="143" spans="2:8" ht="19" hidden="1" customHeight="1" outlineLevel="1">
      <c r="B143" s="2187"/>
      <c r="C143" s="462" t="s">
        <v>473</v>
      </c>
      <c r="D143" s="456" t="s">
        <v>189</v>
      </c>
      <c r="E143" s="457">
        <v>1183</v>
      </c>
      <c r="F143" s="458">
        <v>3.9133311280185247E-2</v>
      </c>
      <c r="G143"/>
      <c r="H143"/>
    </row>
    <row r="144" spans="2:8" ht="19" hidden="1" customHeight="1" outlineLevel="1">
      <c r="B144"/>
      <c r="C144"/>
      <c r="D144"/>
      <c r="E144"/>
      <c r="F144"/>
      <c r="G144"/>
      <c r="H144"/>
    </row>
    <row r="145" spans="2:8" ht="19" hidden="1" customHeight="1" outlineLevel="1">
      <c r="B145" s="425" t="s">
        <v>1807</v>
      </c>
      <c r="C145"/>
      <c r="D145"/>
      <c r="E145"/>
      <c r="F145"/>
      <c r="G145"/>
      <c r="H145"/>
    </row>
    <row r="146" spans="2:8" ht="19" hidden="1" customHeight="1" outlineLevel="1">
      <c r="B146" s="465" t="s">
        <v>493</v>
      </c>
      <c r="C146" s="421">
        <f>SUM(C30:C33)</f>
        <v>2917988.9</v>
      </c>
      <c r="D146"/>
      <c r="E146"/>
      <c r="F146"/>
      <c r="G146"/>
      <c r="H146"/>
    </row>
    <row r="147" spans="2:8" ht="31" hidden="1" customHeight="1" outlineLevel="1">
      <c r="B147" s="9"/>
      <c r="C147" s="9"/>
      <c r="D147" s="858" t="s">
        <v>474</v>
      </c>
      <c r="E147" s="859" t="s">
        <v>297</v>
      </c>
      <c r="F147" s="1137" t="s">
        <v>475</v>
      </c>
      <c r="G147" s="1137" t="s">
        <v>602</v>
      </c>
      <c r="H147"/>
    </row>
    <row r="148" spans="2:8" ht="19" hidden="1" customHeight="1" outlineLevel="1">
      <c r="B148" s="2178" t="s">
        <v>183</v>
      </c>
      <c r="C148" s="444" t="s">
        <v>470</v>
      </c>
      <c r="D148" s="460">
        <f>E137+E138</f>
        <v>3142</v>
      </c>
      <c r="E148" s="461">
        <f>D148/$D$152</f>
        <v>0.12337534849020301</v>
      </c>
      <c r="F148" s="471">
        <f>E148*$C$146</f>
        <v>360007.89742804412</v>
      </c>
      <c r="G148" s="750">
        <f>F119</f>
        <v>11.56131529283112</v>
      </c>
      <c r="H148"/>
    </row>
    <row r="149" spans="2:8" ht="19" hidden="1" customHeight="1" outlineLevel="1">
      <c r="B149" s="2179"/>
      <c r="C149" s="444" t="s">
        <v>471</v>
      </c>
      <c r="D149" s="460">
        <f>E139+E140</f>
        <v>15414</v>
      </c>
      <c r="E149" s="461">
        <f t="shared" ref="E149:E151" si="6">D149/$D$152</f>
        <v>0.60525385793379671</v>
      </c>
      <c r="F149" s="471">
        <f t="shared" ref="F149:F151" si="7">E149*$C$146</f>
        <v>1766124.0391329958</v>
      </c>
      <c r="G149" s="750">
        <f>F124</f>
        <v>17.634778227018838</v>
      </c>
      <c r="H149"/>
    </row>
    <row r="150" spans="2:8" ht="19" hidden="1" customHeight="1" outlineLevel="1">
      <c r="B150" s="2179"/>
      <c r="C150" s="444" t="s">
        <v>472</v>
      </c>
      <c r="D150" s="460">
        <f>E141+E142</f>
        <v>5728</v>
      </c>
      <c r="E150" s="461">
        <f t="shared" si="6"/>
        <v>0.22491852200887422</v>
      </c>
      <c r="F150" s="471">
        <f t="shared" si="7"/>
        <v>656309.75062630069</v>
      </c>
      <c r="G150" s="750">
        <f>F129</f>
        <v>27.613972735146199</v>
      </c>
      <c r="H150"/>
    </row>
    <row r="151" spans="2:8" ht="19" hidden="1" customHeight="1" outlineLevel="1">
      <c r="B151" s="2180"/>
      <c r="C151" s="444" t="s">
        <v>473</v>
      </c>
      <c r="D151" s="460">
        <f>E143</f>
        <v>1183</v>
      </c>
      <c r="E151" s="461">
        <f t="shared" si="6"/>
        <v>4.6452271567126086E-2</v>
      </c>
      <c r="F151" s="471">
        <f t="shared" si="7"/>
        <v>135547.21281265951</v>
      </c>
      <c r="G151" s="750">
        <f>F133</f>
        <v>45.95</v>
      </c>
      <c r="H151"/>
    </row>
    <row r="152" spans="2:8" ht="19" hidden="1" customHeight="1" outlineLevel="1">
      <c r="B152" s="9"/>
      <c r="C152" s="117" t="s">
        <v>139</v>
      </c>
      <c r="D152" s="472">
        <f>SUM(D148:D151)</f>
        <v>25467</v>
      </c>
      <c r="E152" s="473">
        <f>SUM(E148:E151)</f>
        <v>1</v>
      </c>
      <c r="F152" s="495">
        <f>SUM(F148:F151)</f>
        <v>2917988.8999999994</v>
      </c>
      <c r="G152" s="751" t="s">
        <v>391</v>
      </c>
      <c r="H152"/>
    </row>
    <row r="153" spans="2:8" ht="19" hidden="1" customHeight="1" outlineLevel="1">
      <c r="B153"/>
      <c r="C153"/>
      <c r="D153"/>
      <c r="E153" s="454"/>
      <c r="F153" s="752" t="s">
        <v>603</v>
      </c>
      <c r="G153" s="1138">
        <f>SUMPRODUCT(F148:F151,G148:G151)/SUM(F148:F151)</f>
        <v>20.445274671860105</v>
      </c>
      <c r="H153"/>
    </row>
    <row r="154" spans="2:8" ht="19" hidden="1" customHeight="1" outlineLevel="1">
      <c r="C154"/>
      <c r="D154"/>
      <c r="E154"/>
      <c r="F154" s="137"/>
      <c r="G154" s="137"/>
      <c r="H154"/>
    </row>
    <row r="155" spans="2:8" s="10" customFormat="1" ht="19" hidden="1" customHeight="1" outlineLevel="1">
      <c r="B155" s="425" t="s">
        <v>483</v>
      </c>
      <c r="C155" s="9"/>
      <c r="D155" s="9"/>
      <c r="E155" s="9"/>
      <c r="F155" s="9"/>
      <c r="G155" s="9"/>
      <c r="H155" s="9"/>
    </row>
    <row r="156" spans="2:8" s="10" customFormat="1" ht="19" hidden="1" customHeight="1" outlineLevel="1" thickBot="1">
      <c r="B156" s="425"/>
      <c r="C156" s="9"/>
      <c r="D156" s="9"/>
      <c r="E156" s="9"/>
      <c r="F156" s="9"/>
      <c r="G156" s="9"/>
      <c r="H156" s="9"/>
    </row>
    <row r="157" spans="2:8" ht="19" hidden="1" customHeight="1" outlineLevel="1" thickBot="1">
      <c r="B157" s="9"/>
      <c r="C157" s="9"/>
      <c r="D157" s="477" t="s">
        <v>57</v>
      </c>
      <c r="E157" s="478" t="s">
        <v>492</v>
      </c>
      <c r="F157"/>
      <c r="G157"/>
      <c r="H157"/>
    </row>
    <row r="158" spans="2:8" ht="19" hidden="1" customHeight="1" outlineLevel="1">
      <c r="B158" s="2181" t="s">
        <v>470</v>
      </c>
      <c r="C158" s="474" t="s">
        <v>1700</v>
      </c>
      <c r="D158" s="479">
        <f>E115</f>
        <v>0.4</v>
      </c>
      <c r="E158" s="491">
        <f>D158*$F$148</f>
        <v>144003.15897121766</v>
      </c>
      <c r="F158"/>
      <c r="G158" s="445"/>
      <c r="H158"/>
    </row>
    <row r="159" spans="2:8" ht="19" hidden="1" customHeight="1" outlineLevel="1">
      <c r="B159" s="2182"/>
      <c r="C159" s="475" t="s">
        <v>468</v>
      </c>
      <c r="D159" s="480">
        <f>E116</f>
        <v>0.5</v>
      </c>
      <c r="E159" s="492">
        <f>D159*$F$148</f>
        <v>180003.94871402206</v>
      </c>
      <c r="F159"/>
      <c r="G159" s="445"/>
      <c r="H159"/>
    </row>
    <row r="160" spans="2:8" ht="19" hidden="1" customHeight="1" outlineLevel="1">
      <c r="B160" s="2182"/>
      <c r="C160" s="475" t="s">
        <v>201</v>
      </c>
      <c r="D160" s="480">
        <f>E117</f>
        <v>2.8571428571428571E-3</v>
      </c>
      <c r="E160" s="492">
        <f>D160*$F$148</f>
        <v>1028.5939926515546</v>
      </c>
      <c r="F160"/>
      <c r="G160" s="445"/>
      <c r="H160"/>
    </row>
    <row r="161" spans="2:8" ht="19" hidden="1" customHeight="1" outlineLevel="1" thickBot="1">
      <c r="B161" s="2183"/>
      <c r="C161" s="476" t="s">
        <v>476</v>
      </c>
      <c r="D161" s="481">
        <f>E118</f>
        <v>9.7142857142857142E-2</v>
      </c>
      <c r="E161" s="493">
        <f>D161*$F$148</f>
        <v>34972.19575015286</v>
      </c>
      <c r="F161"/>
      <c r="G161" s="445"/>
      <c r="H161"/>
    </row>
    <row r="162" spans="2:8" ht="19" hidden="1" customHeight="1" outlineLevel="1">
      <c r="B162" s="2181" t="s">
        <v>471</v>
      </c>
      <c r="C162" s="474" t="s">
        <v>1700</v>
      </c>
      <c r="D162" s="479">
        <f>E120</f>
        <v>0.26714801444043323</v>
      </c>
      <c r="E162" s="491">
        <f>D162*$F$149</f>
        <v>471816.53030989785</v>
      </c>
      <c r="F162"/>
      <c r="G162" s="445"/>
      <c r="H162"/>
    </row>
    <row r="163" spans="2:8" ht="19" hidden="1" customHeight="1" outlineLevel="1">
      <c r="B163" s="2182"/>
      <c r="C163" s="475" t="s">
        <v>468</v>
      </c>
      <c r="D163" s="480">
        <f>E121</f>
        <v>0.70758122743682306</v>
      </c>
      <c r="E163" s="492">
        <f t="shared" ref="E163:E165" si="8">D163*$F$149</f>
        <v>1249676.2154154049</v>
      </c>
      <c r="F163"/>
      <c r="G163" s="445"/>
      <c r="H163"/>
    </row>
    <row r="164" spans="2:8" ht="19" hidden="1" customHeight="1" outlineLevel="1">
      <c r="B164" s="2182"/>
      <c r="C164" s="475" t="s">
        <v>201</v>
      </c>
      <c r="D164" s="480">
        <f>E122</f>
        <v>2.1660649819494584E-2</v>
      </c>
      <c r="E164" s="492">
        <f t="shared" si="8"/>
        <v>38255.39434945117</v>
      </c>
      <c r="F164"/>
      <c r="G164" s="445"/>
      <c r="H164"/>
    </row>
    <row r="165" spans="2:8" ht="19" hidden="1" customHeight="1" outlineLevel="1" thickBot="1">
      <c r="B165" s="2183"/>
      <c r="C165" s="476" t="s">
        <v>79</v>
      </c>
      <c r="D165" s="481">
        <f>E123</f>
        <v>3.6101083032490976E-3</v>
      </c>
      <c r="E165" s="493">
        <f t="shared" si="8"/>
        <v>6375.8990582418619</v>
      </c>
      <c r="F165"/>
      <c r="G165" s="445"/>
      <c r="H165"/>
    </row>
    <row r="166" spans="2:8" ht="19" hidden="1" customHeight="1" outlineLevel="1">
      <c r="B166" s="2181" t="s">
        <v>472</v>
      </c>
      <c r="C166" s="474" t="s">
        <v>1700</v>
      </c>
      <c r="D166" s="479">
        <f>E125</f>
        <v>0.14625850340136054</v>
      </c>
      <c r="E166" s="491">
        <f>D166*$F$150</f>
        <v>95990.881894322883</v>
      </c>
      <c r="F166"/>
      <c r="G166" s="445"/>
      <c r="H166"/>
    </row>
    <row r="167" spans="2:8" ht="19" hidden="1" customHeight="1" outlineLevel="1">
      <c r="B167" s="2182"/>
      <c r="C167" s="475" t="s">
        <v>468</v>
      </c>
      <c r="D167" s="480">
        <f>E126</f>
        <v>0.84013605442176875</v>
      </c>
      <c r="E167" s="492">
        <f t="shared" ref="E167:E169" si="9">D167*$F$150</f>
        <v>551389.48436971521</v>
      </c>
      <c r="F167"/>
      <c r="G167" s="445"/>
      <c r="H167"/>
    </row>
    <row r="168" spans="2:8" ht="19" hidden="1" customHeight="1" outlineLevel="1">
      <c r="B168" s="2182"/>
      <c r="C168" s="475" t="s">
        <v>201</v>
      </c>
      <c r="D168" s="480">
        <f>E127</f>
        <v>1.020408163265306E-2</v>
      </c>
      <c r="E168" s="492">
        <f t="shared" si="9"/>
        <v>6697.0382716969452</v>
      </c>
      <c r="F168"/>
      <c r="G168" s="445"/>
      <c r="H168"/>
    </row>
    <row r="169" spans="2:8" ht="19" hidden="1" customHeight="1" outlineLevel="1" thickBot="1">
      <c r="B169" s="2183"/>
      <c r="C169" s="476" t="s">
        <v>79</v>
      </c>
      <c r="D169" s="481">
        <f>E128</f>
        <v>3.4013605442176869E-3</v>
      </c>
      <c r="E169" s="493">
        <f t="shared" si="9"/>
        <v>2232.3460905656484</v>
      </c>
      <c r="F169"/>
      <c r="G169" s="445"/>
      <c r="H169"/>
    </row>
    <row r="170" spans="2:8" ht="19" hidden="1" customHeight="1" outlineLevel="1">
      <c r="B170" s="2184" t="s">
        <v>473</v>
      </c>
      <c r="C170" s="474" t="s">
        <v>1700</v>
      </c>
      <c r="D170" s="482">
        <f>E130</f>
        <v>8.3333333333333329E-2</v>
      </c>
      <c r="E170" s="494">
        <f>D170*$F$151</f>
        <v>11295.601067721625</v>
      </c>
      <c r="F170"/>
      <c r="G170" s="445"/>
      <c r="H170"/>
    </row>
    <row r="171" spans="2:8" ht="19" hidden="1" customHeight="1" outlineLevel="1">
      <c r="B171" s="2182"/>
      <c r="C171" s="475" t="s">
        <v>468</v>
      </c>
      <c r="D171" s="480">
        <f>E131</f>
        <v>0.875</v>
      </c>
      <c r="E171" s="492">
        <f t="shared" ref="E171:E172" si="10">D171*$F$151</f>
        <v>118603.81121107706</v>
      </c>
      <c r="F171"/>
      <c r="G171" s="445"/>
      <c r="H171"/>
    </row>
    <row r="172" spans="2:8" ht="19" hidden="1" customHeight="1" outlineLevel="1" thickBot="1">
      <c r="B172" s="2183"/>
      <c r="C172" s="476" t="s">
        <v>201</v>
      </c>
      <c r="D172" s="481">
        <f>E132</f>
        <v>4.1666666666666664E-2</v>
      </c>
      <c r="E172" s="493">
        <f t="shared" si="10"/>
        <v>5647.8005338608127</v>
      </c>
      <c r="F172"/>
      <c r="G172" s="445"/>
      <c r="H172"/>
    </row>
    <row r="173" spans="2:8" ht="19" hidden="1" customHeight="1" outlineLevel="1">
      <c r="B173"/>
      <c r="C173"/>
      <c r="D173"/>
      <c r="E173"/>
      <c r="F173"/>
      <c r="G173"/>
      <c r="H173"/>
    </row>
    <row r="174" spans="2:8" ht="19" hidden="1" customHeight="1" outlineLevel="1">
      <c r="F174"/>
    </row>
    <row r="175" spans="2:8" ht="19" hidden="1" customHeight="1" outlineLevel="1" thickBot="1">
      <c r="B175" s="10" t="s">
        <v>793</v>
      </c>
      <c r="C175" s="10"/>
      <c r="D175" s="10"/>
      <c r="F175"/>
    </row>
    <row r="176" spans="2:8" ht="19" hidden="1" customHeight="1" outlineLevel="1" thickBot="1">
      <c r="B176" s="9"/>
      <c r="C176" s="477" t="s">
        <v>492</v>
      </c>
      <c r="D176" s="1713" t="s">
        <v>57</v>
      </c>
      <c r="E176" s="1717" t="s">
        <v>1587</v>
      </c>
      <c r="F176" s="1717" t="s">
        <v>1586</v>
      </c>
    </row>
    <row r="177" spans="2:6" ht="19" hidden="1" customHeight="1" outlineLevel="1">
      <c r="B177" s="1680" t="str">
        <f>C159</f>
        <v>Automobile</v>
      </c>
      <c r="C177" s="1681">
        <f>E159+E163+E167+E171</f>
        <v>2099673.4597102194</v>
      </c>
      <c r="D177" s="1714">
        <f>C177/$C$181</f>
        <v>0.71956183922091654</v>
      </c>
      <c r="E177" s="1722">
        <f>F177/$F$181</f>
        <v>0.97096128561083916</v>
      </c>
      <c r="F177" s="1718">
        <f>SUMPRODUCT(D71:G71,D74:G74,D78:G78)</f>
        <v>243833.04693408994</v>
      </c>
    </row>
    <row r="178" spans="2:6" ht="19" hidden="1" customHeight="1" outlineLevel="1">
      <c r="B178" s="1682" t="str">
        <f>C160</f>
        <v>Bus</v>
      </c>
      <c r="C178" s="492">
        <f>E160+E164+E168+E172</f>
        <v>51628.827147660486</v>
      </c>
      <c r="D178" s="1715">
        <f>C178/$C$181</f>
        <v>1.7693291138859535E-2</v>
      </c>
      <c r="E178" s="1722">
        <f t="shared" ref="E178:E180" si="11">F178/$F$181</f>
        <v>2.816580542576292E-2</v>
      </c>
      <c r="F178" s="1719">
        <f>SUMPRODUCT(D71:G71,D75:G75,D79:G79)</f>
        <v>7073.1493192294874</v>
      </c>
    </row>
    <row r="179" spans="2:6" ht="19" hidden="1" customHeight="1" outlineLevel="1">
      <c r="B179" s="1683" t="str">
        <f>C161</f>
        <v>Metro / tramway / TER</v>
      </c>
      <c r="C179" s="492">
        <f>E161+E165+E169</f>
        <v>43580.440898960369</v>
      </c>
      <c r="D179" s="1715">
        <f>C179/$C$181</f>
        <v>1.4935094817859096E-2</v>
      </c>
      <c r="E179" s="1723">
        <f t="shared" si="11"/>
        <v>8.7290896339791259E-4</v>
      </c>
      <c r="F179" s="1719">
        <f>SUMPRODUCT(D71:G71,D76:G76,D80:G80)</f>
        <v>219.20961772177066</v>
      </c>
    </row>
    <row r="180" spans="2:6" ht="19" hidden="1" customHeight="1" outlineLevel="1" thickBot="1">
      <c r="B180" s="1684" t="str">
        <f>C158</f>
        <v>Mobilités actives (marche, vélo, etc.)</v>
      </c>
      <c r="C180" s="1685">
        <f>E158+E162+E166+E170</f>
        <v>723106.17224316008</v>
      </c>
      <c r="D180" s="1716">
        <f>C180/$C$181</f>
        <v>0.2478097748223648</v>
      </c>
      <c r="E180" s="1722">
        <f t="shared" si="11"/>
        <v>0</v>
      </c>
      <c r="F180" s="1720">
        <f>SUMPRODUCT(D71:G71,D77:G77,D81:G81)</f>
        <v>0</v>
      </c>
    </row>
    <row r="181" spans="2:6" ht="19" hidden="1" customHeight="1" outlineLevel="1" thickBot="1">
      <c r="B181" s="1686" t="s">
        <v>139</v>
      </c>
      <c r="C181" s="1687">
        <f>SUM(C177:C180)</f>
        <v>2917988.9000000004</v>
      </c>
      <c r="D181" s="1688">
        <f>C181/$C$181</f>
        <v>1</v>
      </c>
      <c r="E181" s="1721">
        <f>SUM(E177:E180)</f>
        <v>1</v>
      </c>
      <c r="F181" s="1721">
        <f>SUM(F177:F180)</f>
        <v>251125.40587104121</v>
      </c>
    </row>
    <row r="182" spans="2:6" ht="19" hidden="1" customHeight="1" outlineLevel="1"/>
    <row r="183" spans="2:6" hidden="1" outlineLevel="1"/>
    <row r="184" spans="2:6" hidden="1" outlineLevel="1"/>
    <row r="185" spans="2:6" hidden="1" outlineLevel="1"/>
    <row r="186" spans="2:6" hidden="1" outlineLevel="1"/>
    <row r="187" spans="2:6" hidden="1" outlineLevel="1"/>
    <row r="188" spans="2:6" hidden="1" outlineLevel="1"/>
    <row r="189" spans="2:6" hidden="1" outlineLevel="1"/>
    <row r="190" spans="2:6" hidden="1" outlineLevel="1"/>
    <row r="191" spans="2:6" hidden="1" outlineLevel="1"/>
    <row r="192" spans="2:6" hidden="1" outlineLevel="1"/>
    <row r="193" spans="2:4" hidden="1" outlineLevel="1"/>
    <row r="194" spans="2:4" hidden="1" outlineLevel="1"/>
    <row r="195" spans="2:4" hidden="1" outlineLevel="1"/>
    <row r="196" spans="2:4" hidden="1" outlineLevel="1"/>
    <row r="197" spans="2:4" hidden="1" outlineLevel="1"/>
    <row r="198" spans="2:4" hidden="1" outlineLevel="1"/>
    <row r="199" spans="2:4" hidden="1" outlineLevel="1"/>
    <row r="200" spans="2:4" hidden="1" outlineLevel="1"/>
    <row r="201" spans="2:4" hidden="1" outlineLevel="1"/>
    <row r="202" spans="2:4" hidden="1" outlineLevel="1"/>
    <row r="203" spans="2:4" hidden="1" outlineLevel="1"/>
    <row r="204" spans="2:4" hidden="1" outlineLevel="1"/>
    <row r="205" spans="2:4" hidden="1" outlineLevel="1"/>
    <row r="206" spans="2:4" hidden="1" outlineLevel="1"/>
    <row r="207" spans="2:4" hidden="1" outlineLevel="1"/>
    <row r="208" spans="2:4" hidden="1" outlineLevel="1">
      <c r="B208" s="5" t="s">
        <v>1779</v>
      </c>
      <c r="C208" s="5">
        <v>2650</v>
      </c>
      <c r="D208" s="5" t="s">
        <v>1781</v>
      </c>
    </row>
    <row r="209" spans="2:4" hidden="1" outlineLevel="1">
      <c r="B209" s="5" t="s">
        <v>1780</v>
      </c>
      <c r="C209" s="252">
        <f>(Résultat!$D$19+Résultat!$D$20)/C208</f>
        <v>0.10850173045985501</v>
      </c>
      <c r="D209" s="5" t="s">
        <v>1782</v>
      </c>
    </row>
    <row r="210" spans="2:4" hidden="1" outlineLevel="1"/>
    <row r="211" spans="2:4" hidden="1" outlineLevel="1"/>
    <row r="212" spans="2:4" collapsed="1"/>
  </sheetData>
  <mergeCells count="41">
    <mergeCell ref="B2:C2"/>
    <mergeCell ref="B4:D4"/>
    <mergeCell ref="C10:K10"/>
    <mergeCell ref="C11:K11"/>
    <mergeCell ref="C6:D6"/>
    <mergeCell ref="C7:D7"/>
    <mergeCell ref="B9:K9"/>
    <mergeCell ref="B83:C83"/>
    <mergeCell ref="B82:C82"/>
    <mergeCell ref="D27:H27"/>
    <mergeCell ref="D26:H26"/>
    <mergeCell ref="C12:K12"/>
    <mergeCell ref="C13:K13"/>
    <mergeCell ref="C14:K14"/>
    <mergeCell ref="D28:H28"/>
    <mergeCell ref="D33:H33"/>
    <mergeCell ref="D32:H32"/>
    <mergeCell ref="D31:H31"/>
    <mergeCell ref="D30:H30"/>
    <mergeCell ref="D29:H29"/>
    <mergeCell ref="B120:B123"/>
    <mergeCell ref="B125:B128"/>
    <mergeCell ref="B130:B132"/>
    <mergeCell ref="B137:B143"/>
    <mergeCell ref="C15:K15"/>
    <mergeCell ref="C137:C138"/>
    <mergeCell ref="C139:C140"/>
    <mergeCell ref="C141:C142"/>
    <mergeCell ref="B49:B52"/>
    <mergeCell ref="B61:B63"/>
    <mergeCell ref="B57:B60"/>
    <mergeCell ref="B53:B56"/>
    <mergeCell ref="B115:B118"/>
    <mergeCell ref="B74:B77"/>
    <mergeCell ref="B78:B81"/>
    <mergeCell ref="B72:B73"/>
    <mergeCell ref="B148:B151"/>
    <mergeCell ref="B158:B161"/>
    <mergeCell ref="B162:B165"/>
    <mergeCell ref="B166:B169"/>
    <mergeCell ref="B170:B172"/>
  </mergeCell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Feuilles de calcul</vt:lpstr>
      </vt:variant>
      <vt:variant>
        <vt:i4>18</vt:i4>
      </vt:variant>
    </vt:vector>
  </HeadingPairs>
  <TitlesOfParts>
    <vt:vector size="18" baseType="lpstr">
      <vt:lpstr>Fiche d'identité</vt:lpstr>
      <vt:lpstr>Résultat</vt:lpstr>
      <vt:lpstr>1. Infrastructures </vt:lpstr>
      <vt:lpstr>Fiche levier - 1</vt:lpstr>
      <vt:lpstr>2. Energie </vt:lpstr>
      <vt:lpstr>Fiche levier - 2</vt:lpstr>
      <vt:lpstr>3.1 - Déplacement match </vt:lpstr>
      <vt:lpstr>Fiche levier - 3.1</vt:lpstr>
      <vt:lpstr>3.2 - Déplacement entraînement</vt:lpstr>
      <vt:lpstr>Fiche levier - 3.2</vt:lpstr>
      <vt:lpstr>4. Articles de sport</vt:lpstr>
      <vt:lpstr>Fiche levier - 4</vt:lpstr>
      <vt:lpstr>5. Alimentaire</vt:lpstr>
      <vt:lpstr>Fiche levier - 5</vt:lpstr>
      <vt:lpstr>6. Déchets</vt:lpstr>
      <vt:lpstr>Fiche levier - 6</vt:lpstr>
      <vt:lpstr>ANNEXE A</vt:lpstr>
      <vt:lpstr>ANNEXE 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Alan Lemoine</cp:lastModifiedBy>
  <cp:revision>10</cp:revision>
  <dcterms:created xsi:type="dcterms:W3CDTF">2024-05-22T20:15:32Z</dcterms:created>
  <dcterms:modified xsi:type="dcterms:W3CDTF">2025-02-17T16:24:26Z</dcterms:modified>
</cp:coreProperties>
</file>